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65" yWindow="0" windowWidth="14730" windowHeight="141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成本法 (元)" sheetId="69"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state="hidden" r:id="rId40"/>
    <sheet name="Sheet1"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V20" i="1"/>
  <c r="V19" i="1"/>
  <c r="V18" i="1"/>
  <c r="W21" i="1" l="1"/>
  <c r="J49" i="15" l="1"/>
  <c r="P30" i="1"/>
  <c r="P29" i="1"/>
  <c r="P27" i="1"/>
  <c r="P26" i="1"/>
  <c r="P25" i="1"/>
  <c r="P24" i="1"/>
  <c r="P28" i="1" s="1"/>
  <c r="N31" i="1"/>
  <c r="O25" i="1"/>
  <c r="O26" i="1"/>
  <c r="O27" i="1"/>
  <c r="O28" i="1"/>
  <c r="O29" i="1"/>
  <c r="O30" i="1"/>
  <c r="O24" i="1"/>
  <c r="P31" i="1" l="1"/>
  <c r="J52" i="15"/>
  <c r="H13" i="4"/>
  <c r="G44" i="43"/>
  <c r="D33" i="43"/>
  <c r="B29" i="1"/>
  <c r="I41" i="40" l="1"/>
  <c r="G41" i="40"/>
  <c r="E41" i="40"/>
  <c r="I66" i="40"/>
  <c r="J66" i="40"/>
  <c r="K66" i="40" s="1"/>
  <c r="L66" i="40" s="1"/>
  <c r="M66" i="40" s="1"/>
  <c r="N66" i="40" s="1"/>
  <c r="O66" i="40" s="1"/>
  <c r="I7" i="40"/>
  <c r="G7" i="40"/>
  <c r="E7" i="40"/>
  <c r="E66" i="40" l="1"/>
  <c r="F66" i="40"/>
  <c r="G66" i="40"/>
  <c r="H66" i="40" s="1"/>
  <c r="D66" i="40"/>
  <c r="I5" i="40"/>
  <c r="G5" i="40"/>
  <c r="E5" i="40"/>
  <c r="E109" i="40"/>
  <c r="F109" i="40" s="1"/>
  <c r="D109" i="40"/>
  <c r="G22" i="4" l="1"/>
  <c r="G23" i="4" s="1"/>
  <c r="E104" i="33" l="1"/>
  <c r="F104" i="33"/>
  <c r="G104" i="33"/>
  <c r="D104" i="33"/>
  <c r="J52" i="67" l="1"/>
  <c r="G89" i="33"/>
  <c r="E89" i="33"/>
  <c r="F89" i="33"/>
  <c r="D89" i="33"/>
  <c r="O19" i="1"/>
  <c r="J49" i="67"/>
  <c r="N18" i="1" l="1"/>
  <c r="N20"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G15" i="3" s="1"/>
  <c r="AC15" i="3"/>
  <c r="H16" i="3"/>
  <c r="G16" i="3" s="1"/>
  <c r="AC16" i="3"/>
  <c r="H17" i="3"/>
  <c r="G17" i="3" s="1"/>
  <c r="AC17" i="3"/>
  <c r="AT5" i="3"/>
  <c r="I5" i="3"/>
  <c r="F19" i="6"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K11" i="1"/>
  <c r="M11" i="1" s="1"/>
  <c r="O11" i="1" s="1"/>
  <c r="B9" i="1"/>
  <c r="K7" i="1"/>
  <c r="M7" i="1" s="1"/>
  <c r="O7" i="1" s="1"/>
  <c r="P7" i="1" s="1"/>
  <c r="G1" i="67"/>
  <c r="U32" i="40"/>
  <c r="AB31" i="40"/>
  <c r="S37" i="40"/>
  <c r="W34"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M26" i="67"/>
  <c r="F36" i="67"/>
  <c r="F13" i="67"/>
  <c r="F9" i="67"/>
  <c r="J15" i="67"/>
  <c r="F16" i="67"/>
  <c r="E9" i="76"/>
  <c r="B7" i="76"/>
  <c r="E7" i="76"/>
  <c r="E10" i="76"/>
  <c r="E11" i="76"/>
  <c r="F26" i="67"/>
  <c r="F6" i="67"/>
  <c r="D7" i="73"/>
  <c r="F20" i="31"/>
  <c r="AO13" i="1"/>
  <c r="M24" i="67"/>
  <c r="E12" i="76"/>
  <c r="M22" i="67"/>
  <c r="M6" i="67"/>
  <c r="M23" i="67"/>
  <c r="F38" i="67"/>
  <c r="C76" i="67"/>
  <c r="D3" i="73"/>
  <c r="M9" i="67"/>
  <c r="F6" i="73"/>
  <c r="E2" i="68"/>
  <c r="E2" i="69"/>
  <c r="F40" i="67"/>
  <c r="E8" i="76"/>
  <c r="D6" i="73"/>
  <c r="M28" i="67"/>
  <c r="D4" i="73"/>
  <c r="B13" i="76"/>
  <c r="F7" i="73"/>
  <c r="L47" i="67"/>
  <c r="F8" i="67"/>
  <c r="F3" i="73"/>
  <c r="B12" i="76"/>
  <c r="B10" i="76"/>
  <c r="M8" i="67"/>
  <c r="B8" i="76"/>
  <c r="D5" i="73"/>
  <c r="F42" i="67"/>
  <c r="B11" i="76"/>
  <c r="E13" i="76"/>
  <c r="B9" i="76"/>
  <c r="F5" i="73"/>
  <c r="F4" i="73"/>
  <c r="K85" i="43" l="1"/>
  <c r="D85" i="43" s="1"/>
  <c r="D22" i="15"/>
  <c r="G29" i="6"/>
  <c r="BL18" i="3"/>
  <c r="BA19" i="3"/>
  <c r="BL15" i="3"/>
  <c r="BA18" i="3"/>
  <c r="AZ18"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C31" i="12" s="1"/>
  <c r="F28" i="15"/>
  <c r="F32" i="67"/>
  <c r="F60" i="67" s="1"/>
  <c r="F28" i="67"/>
  <c r="G1" i="69"/>
  <c r="G1" i="68"/>
  <c r="G1" i="15"/>
  <c r="B6" i="1"/>
  <c r="E6" i="1" s="1"/>
  <c r="F28" i="6"/>
  <c r="BA15" i="3"/>
  <c r="AZ19" i="3"/>
  <c r="BL5" i="3"/>
  <c r="H5" i="3"/>
  <c r="AZ14" i="3"/>
  <c r="F29" i="6"/>
  <c r="F30" i="6" s="1"/>
  <c r="F6" i="1"/>
  <c r="G6" i="1" s="1"/>
  <c r="S33" i="33"/>
  <c r="H69" i="43"/>
  <c r="E19" i="6"/>
  <c r="E115" i="33"/>
  <c r="F115" i="33" s="1"/>
  <c r="G115" i="33" s="1"/>
  <c r="H115" i="33" s="1"/>
  <c r="I115" i="33" s="1"/>
  <c r="J115" i="33" s="1"/>
  <c r="K115" i="33" s="1"/>
  <c r="L115" i="33" s="1"/>
  <c r="M115" i="33" s="1"/>
  <c r="F27" i="33"/>
  <c r="AA27" i="33" s="1"/>
  <c r="C18" i="9"/>
  <c r="D18" i="9" s="1"/>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C28" i="67"/>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N94" i="46"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5"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D9" i="69"/>
  <c r="D9" i="68"/>
  <c r="C36" i="68"/>
  <c r="F9" i="15"/>
  <c r="F37" i="15"/>
  <c r="M9" i="15"/>
  <c r="M22" i="15"/>
  <c r="M23" i="15"/>
  <c r="L48" i="15"/>
  <c r="L48" i="67"/>
  <c r="M26" i="15"/>
  <c r="M24" i="15"/>
  <c r="M8" i="15"/>
  <c r="F16" i="15"/>
  <c r="F38" i="15"/>
  <c r="F40" i="15"/>
  <c r="F36" i="15"/>
  <c r="L47" i="15"/>
  <c r="J15" i="15"/>
  <c r="F8" i="15"/>
  <c r="M6" i="15"/>
  <c r="F26" i="15"/>
  <c r="C76" i="15"/>
  <c r="G1" i="73"/>
  <c r="F13" i="15"/>
  <c r="F6" i="15"/>
  <c r="F42" i="15"/>
  <c r="M28" i="15"/>
  <c r="M88" i="43" l="1"/>
  <c r="N88" i="43" s="1"/>
  <c r="K88" i="43"/>
  <c r="M89" i="43"/>
  <c r="N89" i="43" s="1"/>
  <c r="K89" i="43"/>
  <c r="M90" i="43"/>
  <c r="N90" i="43" s="1"/>
  <c r="K90" i="43"/>
  <c r="M87" i="43"/>
  <c r="N87" i="43" s="1"/>
  <c r="K87" i="43"/>
  <c r="M84" i="43"/>
  <c r="N84" i="43" s="1"/>
  <c r="K84" i="43"/>
  <c r="M86" i="43"/>
  <c r="N86" i="43" s="1"/>
  <c r="K86" i="43"/>
  <c r="M83" i="43"/>
  <c r="N83" i="43" s="1"/>
  <c r="K83" i="43"/>
  <c r="BA5" i="3"/>
  <c r="E301" i="3"/>
  <c r="E91" i="3"/>
  <c r="E28" i="6"/>
  <c r="K14" i="1" s="1"/>
  <c r="AZ15" i="3"/>
  <c r="AZ5" i="3" s="1"/>
  <c r="K6" i="1"/>
  <c r="M6" i="1" s="1"/>
  <c r="O6" i="1" s="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G26" i="4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H26" i="43"/>
  <c r="E15" i="6"/>
  <c r="E64" i="39" s="1"/>
  <c r="E8" i="6"/>
  <c r="F27" i="6" s="1"/>
  <c r="F31" i="6" s="1"/>
  <c r="E13" i="6"/>
  <c r="E58" i="40" s="1"/>
  <c r="E10" i="6"/>
  <c r="E403" i="3"/>
  <c r="E367" i="3"/>
  <c r="E548" i="3"/>
  <c r="U6" i="3"/>
  <c r="E145" i="3"/>
  <c r="E196" i="3"/>
  <c r="E93" i="3"/>
  <c r="E357" i="3"/>
  <c r="E208" i="3"/>
  <c r="E54" i="3"/>
  <c r="E468" i="3"/>
  <c r="E344" i="3"/>
  <c r="E519" i="3"/>
  <c r="G16" i="1"/>
  <c r="F10" i="39" s="1"/>
  <c r="S10" i="39" s="1"/>
  <c r="I24" i="43"/>
  <c r="C24" i="43" s="1"/>
  <c r="S36" i="33"/>
  <c r="J57" i="67"/>
  <c r="J55" i="67" s="1"/>
  <c r="J58" i="67" s="1"/>
  <c r="Q50" i="67" s="1"/>
  <c r="L56" i="67"/>
  <c r="L58" i="67"/>
  <c r="Q60" i="67" s="1"/>
  <c r="J53" i="67"/>
  <c r="F1" i="67" s="1"/>
  <c r="I54" i="67"/>
  <c r="J7" i="36"/>
  <c r="AC7" i="36" s="1"/>
  <c r="V36" i="36" s="1"/>
  <c r="I36" i="36" s="1"/>
  <c r="H7" i="36"/>
  <c r="AB7" i="36" s="1"/>
  <c r="T36" i="36" s="1"/>
  <c r="G36" i="36" s="1"/>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E471" i="3"/>
  <c r="E537" i="3"/>
  <c r="W6" i="3"/>
  <c r="E288" i="3"/>
  <c r="E438" i="3"/>
  <c r="E474" i="3"/>
  <c r="E529" i="3"/>
  <c r="E532" i="3"/>
  <c r="E313" i="3"/>
  <c r="E224" i="3"/>
  <c r="E157" i="3"/>
  <c r="E306" i="3"/>
  <c r="E352" i="3"/>
  <c r="E136" i="3"/>
  <c r="E461" i="3"/>
  <c r="AP6" i="1"/>
  <c r="C36" i="69" s="1"/>
  <c r="J7" i="37"/>
  <c r="AC7" i="37" s="1"/>
  <c r="V42" i="37" s="1"/>
  <c r="I42"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H7" i="34"/>
  <c r="AB7" i="34" s="1"/>
  <c r="T49" i="34" s="1"/>
  <c r="G49" i="34" s="1"/>
  <c r="E67" i="39"/>
  <c r="F67" i="39" s="1"/>
  <c r="J7" i="34"/>
  <c r="W7" i="34" s="1"/>
  <c r="F7" i="34"/>
  <c r="S7" i="34" s="1"/>
  <c r="AA26" i="35"/>
  <c r="S26" i="35"/>
  <c r="AC26" i="35"/>
  <c r="W26" i="35"/>
  <c r="AB26" i="35"/>
  <c r="U26" i="35"/>
  <c r="C9" i="69"/>
  <c r="C9" i="68"/>
  <c r="E72" i="43"/>
  <c r="B70" i="43" s="1"/>
  <c r="E27" i="6"/>
  <c r="K26" i="6" s="1"/>
  <c r="M26" i="6" s="1"/>
  <c r="I26" i="6" s="1"/>
  <c r="S26" i="6" s="1"/>
  <c r="D5" i="43"/>
  <c r="C7" i="43"/>
  <c r="C5" i="43" s="1"/>
  <c r="D10" i="52"/>
  <c r="D125" i="9"/>
  <c r="D11" i="52" s="1"/>
  <c r="B7" i="74"/>
  <c r="F59" i="67"/>
  <c r="H7" i="37"/>
  <c r="AB7" i="37" s="1"/>
  <c r="T42" i="37" s="1"/>
  <c r="G42" i="37" s="1"/>
  <c r="B40" i="1"/>
  <c r="L36" i="43" s="1"/>
  <c r="H7" i="33"/>
  <c r="J7" i="33"/>
  <c r="D65" i="40"/>
  <c r="E63" i="40"/>
  <c r="F48" i="35"/>
  <c r="S7" i="36"/>
  <c r="AA7" i="36"/>
  <c r="R36" i="36" s="1"/>
  <c r="F7" i="33"/>
  <c r="E58" i="21"/>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F7" i="15"/>
  <c r="C16" i="15"/>
  <c r="F43" i="15"/>
  <c r="F7" i="67"/>
  <c r="F43" i="67"/>
  <c r="M29" i="67"/>
  <c r="M29" i="15"/>
  <c r="D86" i="43" l="1"/>
  <c r="J86" i="43"/>
  <c r="D87" i="43"/>
  <c r="J87" i="43"/>
  <c r="D89" i="43"/>
  <c r="J89" i="43"/>
  <c r="J83" i="43"/>
  <c r="D83" i="43"/>
  <c r="D84" i="43"/>
  <c r="J84" i="43"/>
  <c r="D90" i="43"/>
  <c r="J90" i="43"/>
  <c r="D88" i="43"/>
  <c r="J88" i="43"/>
  <c r="K16" i="1"/>
  <c r="M14" i="1"/>
  <c r="E56" i="39"/>
  <c r="E61" i="39"/>
  <c r="W7" i="36"/>
  <c r="W7" i="37"/>
  <c r="M7" i="67"/>
  <c r="J6" i="67" s="1"/>
  <c r="J18" i="67" s="1"/>
  <c r="F50" i="67"/>
  <c r="C49" i="67" s="1"/>
  <c r="C6" i="67"/>
  <c r="C32" i="67" s="1"/>
  <c r="F71" i="67"/>
  <c r="AY6" i="3"/>
  <c r="AY106" i="3" s="1"/>
  <c r="E3" i="6"/>
  <c r="D37" i="11" s="1"/>
  <c r="F71" i="15"/>
  <c r="C6" i="15"/>
  <c r="C32" i="15" s="1"/>
  <c r="M7" i="15"/>
  <c r="J6" i="15" s="1"/>
  <c r="J18" i="15" s="1"/>
  <c r="F50" i="15"/>
  <c r="C49" i="15" s="1"/>
  <c r="Q16" i="1"/>
  <c r="U7" i="36"/>
  <c r="Q61" i="15"/>
  <c r="Q52" i="15"/>
  <c r="Q73" i="15"/>
  <c r="F1" i="15"/>
  <c r="E51" i="40"/>
  <c r="H10" i="39"/>
  <c r="U10" i="39" s="1"/>
  <c r="J10" i="40"/>
  <c r="AC10" i="40" s="1"/>
  <c r="E16" i="6"/>
  <c r="E60" i="40"/>
  <c r="E56" i="40"/>
  <c r="AA10" i="39"/>
  <c r="E62" i="39"/>
  <c r="H10" i="40"/>
  <c r="AB10" i="40" s="1"/>
  <c r="J10" i="39"/>
  <c r="W10" i="39" s="1"/>
  <c r="F10" i="40"/>
  <c r="S10" i="40" s="1"/>
  <c r="AC6" i="3"/>
  <c r="D26" i="43"/>
  <c r="C25" i="43" s="1"/>
  <c r="Q73" i="67"/>
  <c r="Q52" i="67"/>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581" i="3"/>
  <c r="AY57" i="3"/>
  <c r="AY410" i="3"/>
  <c r="AY280" i="3"/>
  <c r="AY482" i="3"/>
  <c r="AY15" i="3"/>
  <c r="AY164" i="3"/>
  <c r="D3" i="21"/>
  <c r="C17" i="4"/>
  <c r="B4" i="52" s="1"/>
  <c r="B43" i="72" s="1"/>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M27" i="15"/>
  <c r="M27" i="67"/>
  <c r="AE6" i="1"/>
  <c r="F41" i="15" s="1"/>
  <c r="C16" i="67"/>
  <c r="F41" i="67"/>
  <c r="E83" i="43" l="1"/>
  <c r="B81" i="43" s="1"/>
  <c r="D3" i="34"/>
  <c r="M18" i="9"/>
  <c r="B118" i="9" s="1"/>
  <c r="E6" i="6"/>
  <c r="L18" i="9"/>
  <c r="D14" i="12"/>
  <c r="D3" i="37"/>
  <c r="D19" i="11"/>
  <c r="C19" i="11" s="1"/>
  <c r="C20" i="11" s="1"/>
  <c r="AY301" i="3"/>
  <c r="AY235" i="3"/>
  <c r="AY80" i="3"/>
  <c r="AY149" i="3"/>
  <c r="AY434" i="3"/>
  <c r="AY159" i="3"/>
  <c r="AY52" i="3"/>
  <c r="AY123" i="3"/>
  <c r="AY566" i="3"/>
  <c r="AY62" i="3"/>
  <c r="AY320" i="3"/>
  <c r="AY339" i="3"/>
  <c r="AY140" i="3"/>
  <c r="AY504" i="3"/>
  <c r="AY86" i="3"/>
  <c r="AY35" i="3"/>
  <c r="AY487" i="3"/>
  <c r="AY584" i="3"/>
  <c r="AY229" i="3"/>
  <c r="AY178" i="3"/>
  <c r="AY317" i="3"/>
  <c r="AY77" i="3"/>
  <c r="AY236" i="3"/>
  <c r="E65" i="39"/>
  <c r="AY107" i="3"/>
  <c r="AY477" i="3"/>
  <c r="AY408" i="3"/>
  <c r="AY545" i="3"/>
  <c r="AY396" i="3"/>
  <c r="AY175" i="3"/>
  <c r="AY537" i="3"/>
  <c r="AY459" i="3"/>
  <c r="AY405" i="3"/>
  <c r="AY531" i="3"/>
  <c r="AY369" i="3"/>
  <c r="AY483" i="3"/>
  <c r="AY81" i="3"/>
  <c r="AY311" i="3"/>
  <c r="AY197" i="3"/>
  <c r="AY452" i="3"/>
  <c r="AY124" i="3"/>
  <c r="AY240" i="3"/>
  <c r="AY359" i="3"/>
  <c r="AY538" i="3"/>
  <c r="AY174" i="3"/>
  <c r="AY576" i="3"/>
  <c r="AY461" i="3"/>
  <c r="AY213" i="3"/>
  <c r="AY331" i="3"/>
  <c r="D3" i="6"/>
  <c r="AY129" i="3"/>
  <c r="AY368" i="3"/>
  <c r="AY422" i="3"/>
  <c r="AY171" i="3"/>
  <c r="AY39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07" i="3"/>
  <c r="AY79" i="3"/>
  <c r="AY195" i="3"/>
  <c r="AY338" i="3"/>
  <c r="AY458" i="3"/>
  <c r="AY556" i="3"/>
  <c r="AY73" i="3"/>
  <c r="AY58" i="3"/>
  <c r="AY521" i="3"/>
  <c r="AY257" i="3"/>
  <c r="AY200" i="3"/>
  <c r="AY568" i="3"/>
  <c r="AY451" i="3"/>
  <c r="AY394" i="3"/>
  <c r="AY151" i="3"/>
  <c r="AY551" i="3"/>
  <c r="AY505" i="3"/>
  <c r="AY445" i="3"/>
  <c r="AY305" i="3"/>
  <c r="AY250" i="3"/>
  <c r="AY21" i="3"/>
  <c r="AY413" i="3"/>
  <c r="AY208" i="3"/>
  <c r="AY528" i="3"/>
  <c r="AY383" i="3"/>
  <c r="AY47" i="3"/>
  <c r="AY17" i="3"/>
  <c r="AY336" i="3"/>
  <c r="AY142" i="3"/>
  <c r="BD6" i="3"/>
  <c r="AY241" i="3"/>
  <c r="AY184" i="3"/>
  <c r="BL6" i="3"/>
  <c r="AY456" i="3"/>
  <c r="AY378" i="3"/>
  <c r="AY135" i="3"/>
  <c r="AY63" i="3"/>
  <c r="AY542" i="3"/>
  <c r="AY506" i="3"/>
  <c r="AY344" i="3"/>
  <c r="AY234" i="3"/>
  <c r="AY158" i="3"/>
  <c r="AY101" i="3"/>
  <c r="AY520" i="3"/>
  <c r="AY215" i="3"/>
  <c r="AY270" i="3"/>
  <c r="AY539" i="3"/>
  <c r="AY455" i="3"/>
  <c r="AY340" i="3"/>
  <c r="AY389" i="3"/>
  <c r="AY53" i="3"/>
  <c r="AY199" i="3"/>
  <c r="BG6" i="3"/>
  <c r="AY430" i="3"/>
  <c r="AY388" i="3"/>
  <c r="AY262" i="3"/>
  <c r="AY185" i="3"/>
  <c r="BE6" i="3"/>
  <c r="AY327" i="3"/>
  <c r="AY460" i="3"/>
  <c r="AY160" i="3"/>
  <c r="AY23" i="3"/>
  <c r="AY400" i="3"/>
  <c r="AY351" i="3"/>
  <c r="AY293" i="3"/>
  <c r="AY54" i="3"/>
  <c r="AY547" i="3"/>
  <c r="AY485" i="3"/>
  <c r="AY248" i="3"/>
  <c r="AY172" i="3"/>
  <c r="AY493" i="3"/>
  <c r="AY515" i="3"/>
  <c r="AY415" i="3"/>
  <c r="AY476" i="3"/>
  <c r="AY337" i="3"/>
  <c r="AY267" i="3"/>
  <c r="AY64" i="3"/>
  <c r="AY474" i="3"/>
  <c r="AY272" i="3"/>
  <c r="AY22" i="3"/>
  <c r="AY421" i="3"/>
  <c r="AY216" i="3"/>
  <c r="AY110" i="3"/>
  <c r="AY399" i="3"/>
  <c r="AY321" i="3"/>
  <c r="AY205" i="3"/>
  <c r="AY550" i="3"/>
  <c r="AY323" i="3"/>
  <c r="AY273" i="3"/>
  <c r="AY27" i="3"/>
  <c r="AY512" i="3"/>
  <c r="AY466" i="3"/>
  <c r="AY221" i="3"/>
  <c r="AY167" i="3"/>
  <c r="AY94" i="3"/>
  <c r="AY509" i="3"/>
  <c r="AY579" i="3"/>
  <c r="AY453" i="3"/>
  <c r="AY313" i="3"/>
  <c r="AY266" i="3"/>
  <c r="AY189" i="3"/>
  <c r="AY519" i="3"/>
  <c r="AY572" i="3"/>
  <c r="AY121" i="3"/>
  <c r="AY291" i="3"/>
  <c r="AY557" i="3"/>
  <c r="AY220" i="3"/>
  <c r="AY559" i="3"/>
  <c r="AY393" i="3"/>
  <c r="AY254" i="3"/>
  <c r="AY555" i="3"/>
  <c r="AY444" i="3"/>
  <c r="AY546" i="3"/>
  <c r="AY457" i="3"/>
  <c r="AY274" i="3"/>
  <c r="BJ6" i="3"/>
  <c r="AY263" i="3"/>
  <c r="AY206" i="3"/>
  <c r="AY569" i="3"/>
  <c r="AY395" i="3"/>
  <c r="AY318" i="3"/>
  <c r="AY67" i="3"/>
  <c r="AY281" i="3"/>
  <c r="AY51" i="3"/>
  <c r="BT6" i="3"/>
  <c r="AY443" i="3"/>
  <c r="AY386" i="3"/>
  <c r="AY143" i="3"/>
  <c r="AY71" i="3"/>
  <c r="AY500" i="3"/>
  <c r="AY315" i="3"/>
  <c r="AY265" i="3"/>
  <c r="AY19" i="3"/>
  <c r="BP6" i="3"/>
  <c r="AY522" i="3"/>
  <c r="AY402" i="3"/>
  <c r="AY479" i="3"/>
  <c r="AY361" i="3"/>
  <c r="AY113" i="3"/>
  <c r="AY583" i="3"/>
  <c r="AY322" i="3"/>
  <c r="AY288" i="3"/>
  <c r="AY102" i="3"/>
  <c r="AY440" i="3"/>
  <c r="AY120" i="3"/>
  <c r="AY530" i="3"/>
  <c r="AY450" i="3"/>
  <c r="AY218" i="3"/>
  <c r="AY586" i="3"/>
  <c r="AY448" i="3"/>
  <c r="AY391" i="3"/>
  <c r="AY128" i="3"/>
  <c r="AY55" i="3"/>
  <c r="AY558" i="3"/>
  <c r="AY346" i="3"/>
  <c r="AY249" i="3"/>
  <c r="AY192" i="3"/>
  <c r="AY578" i="3"/>
  <c r="AY524" i="3"/>
  <c r="AY439" i="3"/>
  <c r="AY471" i="3"/>
  <c r="AY364" i="3"/>
  <c r="AY287" i="3"/>
  <c r="AY48" i="3"/>
  <c r="AY494" i="3"/>
  <c r="AY438" i="3"/>
  <c r="AY88" i="3"/>
  <c r="AY193" i="3"/>
  <c r="AY343" i="3"/>
  <c r="AY191" i="3"/>
  <c r="AY525" i="3"/>
  <c r="AY150" i="3"/>
  <c r="AY126" i="3"/>
  <c r="AY404" i="3"/>
  <c r="AY75" i="3"/>
  <c r="AY585" i="3"/>
  <c r="AY316" i="3"/>
  <c r="AY145" i="3"/>
  <c r="AY374" i="3"/>
  <c r="AY125" i="3"/>
  <c r="AY76" i="3"/>
  <c r="AY401" i="3"/>
  <c r="AY300" i="3"/>
  <c r="AY284" i="3"/>
  <c r="AY371" i="3"/>
  <c r="AY59" i="3"/>
  <c r="AA10" i="40"/>
  <c r="U10" i="40"/>
  <c r="C48" i="67"/>
  <c r="C60" i="67" s="1"/>
  <c r="J5" i="67"/>
  <c r="J24" i="67" s="1"/>
  <c r="C10" i="67"/>
  <c r="C5" i="67" s="1"/>
  <c r="C38" i="67" s="1"/>
  <c r="C10" i="15"/>
  <c r="C5" i="15" s="1"/>
  <c r="C38" i="15" s="1"/>
  <c r="C48" i="15"/>
  <c r="C66" i="15" s="1"/>
  <c r="W10" i="40"/>
  <c r="J5" i="15"/>
  <c r="J24" i="15" s="1"/>
  <c r="F27" i="69"/>
  <c r="F28" i="12"/>
  <c r="C29" i="12" s="1"/>
  <c r="D28" i="12" s="1"/>
  <c r="F27" i="11"/>
  <c r="AB10" i="39"/>
  <c r="AC10" i="39"/>
  <c r="E6" i="3"/>
  <c r="E49" i="34"/>
  <c r="E53" i="34" s="1"/>
  <c r="F53" i="34" s="1"/>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D10" i="69"/>
  <c r="C34" i="69"/>
  <c r="F27" i="68"/>
  <c r="D10" i="68"/>
  <c r="C17" i="15"/>
  <c r="C14" i="67"/>
  <c r="C17" i="67"/>
  <c r="C66" i="67" l="1"/>
  <c r="C28" i="11"/>
  <c r="C27" i="11" s="1"/>
  <c r="C24" i="11"/>
  <c r="C60" i="15"/>
  <c r="C29" i="11"/>
  <c r="D27" i="11" s="1"/>
  <c r="C47" i="11"/>
  <c r="D45" i="11" s="1"/>
  <c r="C47" i="68"/>
  <c r="D45" i="68" s="1"/>
  <c r="C29" i="68"/>
  <c r="D27" i="68" s="1"/>
  <c r="F45" i="68"/>
  <c r="F45" i="69"/>
  <c r="C47" i="69"/>
  <c r="D45" i="69" s="1"/>
  <c r="C29" i="69"/>
  <c r="D27" i="69" s="1"/>
  <c r="I54" i="34"/>
  <c r="J54" i="34"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41" i="43"/>
  <c r="T11" i="43"/>
  <c r="V11" i="43" s="1"/>
  <c r="T8" i="43"/>
  <c r="V8" i="43" s="1"/>
  <c r="T2" i="43"/>
  <c r="V2" i="43" s="1"/>
  <c r="T3" i="43"/>
  <c r="V3" i="43" s="1"/>
  <c r="T5" i="43"/>
  <c r="V5" i="43" s="1"/>
  <c r="C38" i="43"/>
  <c r="G38" i="43" s="1"/>
  <c r="I38" i="43" s="1"/>
  <c r="T16" i="43"/>
  <c r="V16" i="43" s="1"/>
  <c r="H24" i="6"/>
  <c r="R24" i="6" s="1"/>
  <c r="R11" i="1" s="1"/>
  <c r="H22" i="6"/>
  <c r="R22" i="6" s="1"/>
  <c r="R9" i="1" s="1"/>
  <c r="C25" i="1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G42" i="43"/>
  <c r="I42" i="43" s="1"/>
  <c r="G37" i="43"/>
  <c r="I37" i="43" s="1"/>
  <c r="E40" i="43"/>
  <c r="E33" i="43"/>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F11" i="40" l="1"/>
  <c r="J11" i="40"/>
  <c r="H11" i="40"/>
  <c r="C31" i="43"/>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E6" i="76"/>
  <c r="AB11" i="40" l="1"/>
  <c r="U11" i="40"/>
  <c r="AC11" i="40"/>
  <c r="W11" i="40"/>
  <c r="AA11" i="40"/>
  <c r="S11" i="40"/>
  <c r="E2" i="76"/>
  <c r="B2" i="43"/>
  <c r="C6" i="68" s="1"/>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F7" i="35"/>
  <c r="F35" i="67"/>
  <c r="M21" i="15"/>
  <c r="B6" i="76"/>
  <c r="M21" i="67"/>
  <c r="F35" i="15"/>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Q69" i="67" l="1"/>
  <c r="Q68" i="67" s="1"/>
  <c r="H36"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7"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4"/>
  <c r="L51" i="15"/>
  <c r="D2" i="37"/>
  <c r="D2" i="35"/>
  <c r="B3" i="33" l="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8" i="1"/>
  <c r="AO7" i="1"/>
  <c r="AO10" i="1"/>
  <c r="AO9" i="1"/>
  <c r="AO11" i="1"/>
  <c r="L46" i="15" l="1"/>
  <c r="B2" i="15" s="1"/>
  <c r="B3" i="15" s="1"/>
  <c r="B3" i="34"/>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B6" i="70" l="1"/>
  <c r="B2" i="70" s="1"/>
  <c r="B3" i="70" s="1"/>
  <c r="D21" i="9"/>
  <c r="D102" i="9"/>
  <c r="D103" i="9"/>
  <c r="C35"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6" i="74"/>
  <c r="D6" i="74" s="1"/>
  <c r="G118" i="9"/>
  <c r="F118" i="9" s="1"/>
  <c r="F119" i="9" s="1"/>
  <c r="F5" i="52" s="1"/>
  <c r="B53" i="72" s="1"/>
  <c r="B3" i="40" l="1"/>
  <c r="C6" i="69" s="1"/>
  <c r="C7" i="68"/>
  <c r="C5" i="68" s="1"/>
  <c r="G4" i="52"/>
  <c r="B52" i="72" s="1"/>
  <c r="F4" i="52"/>
  <c r="B51" i="72" s="1"/>
  <c r="E118" i="9"/>
  <c r="C7" i="69" l="1"/>
  <c r="C5" i="69" s="1"/>
  <c r="C23" i="68"/>
  <c r="C20" i="68"/>
  <c r="E4" i="52"/>
  <c r="B48" i="72" s="1"/>
  <c r="D118" i="9"/>
  <c r="C23" i="69" l="1"/>
  <c r="C20" i="69"/>
  <c r="C28" i="68"/>
  <c r="C27" i="68" s="1"/>
  <c r="C25" i="68"/>
  <c r="C22" i="68" s="1"/>
  <c r="D4" i="52"/>
  <c r="B47" i="72" s="1"/>
  <c r="D119" i="9"/>
  <c r="D5" i="52" s="1"/>
  <c r="B49" i="72" s="1"/>
  <c r="C28" i="69" l="1"/>
  <c r="C27" i="69" s="1"/>
  <c r="C25" i="69"/>
  <c r="C22" i="69" s="1"/>
  <c r="C31" i="68"/>
  <c r="C52" i="68" s="1"/>
  <c r="B2" i="68" s="1"/>
  <c r="C31" i="69" l="1"/>
  <c r="C52" i="69" s="1"/>
  <c r="B2" i="69" s="1"/>
  <c r="C57" i="68"/>
  <c r="C56" i="68" s="1"/>
  <c r="B3" i="68"/>
  <c r="C19" i="9"/>
  <c r="C57" i="69" l="1"/>
  <c r="C56" i="69" s="1"/>
  <c r="C102" i="9"/>
  <c r="G19" i="9"/>
  <c r="G21" i="9" s="1"/>
  <c r="D22" i="9"/>
  <c r="C21" i="9"/>
  <c r="B3" i="69"/>
  <c r="C20" i="9"/>
  <c r="G20" i="9" l="1"/>
  <c r="C32" i="9" s="1"/>
  <c r="D34" i="9" s="1"/>
  <c r="C103" i="9"/>
  <c r="I118" i="9" l="1"/>
  <c r="I4" i="52" s="1"/>
  <c r="D35" i="9"/>
  <c r="H118" i="9" l="1"/>
  <c r="D14" i="74" s="1"/>
  <c r="H102" i="9"/>
  <c r="D7" i="53" s="1"/>
  <c r="B21" i="72" s="1"/>
  <c r="C105" i="9"/>
  <c r="C104" i="9" l="1"/>
  <c r="H4" i="52"/>
  <c r="H119" i="9"/>
  <c r="H5" i="52" s="1"/>
  <c r="H101" i="9"/>
  <c r="H107" i="9" s="1"/>
  <c r="E14" i="74"/>
  <c r="F14" i="74"/>
  <c r="B5" i="74"/>
  <c r="M48" i="9" l="1"/>
  <c r="D5" i="53"/>
  <c r="D6" i="53" s="1"/>
  <c r="B22" i="72" s="1"/>
  <c r="D45" i="9"/>
  <c r="C85" i="9" s="1"/>
  <c r="C5" i="74"/>
  <c r="D5" i="74"/>
  <c r="D122" i="9"/>
  <c r="H108" i="9"/>
  <c r="M49" i="9"/>
  <c r="D13" i="53"/>
  <c r="D52" i="9" l="1"/>
  <c r="C64" i="9"/>
  <c r="C63" i="9" s="1"/>
  <c r="C67" i="9" s="1"/>
  <c r="C68" i="9" s="1"/>
  <c r="D54" i="9" s="1"/>
  <c r="C78" i="9"/>
  <c r="C73" i="9" s="1"/>
  <c r="C93" i="9"/>
  <c r="C86" i="9" s="1"/>
  <c r="C95" i="9" s="1"/>
  <c r="D55" i="9"/>
  <c r="M53" i="9" s="1"/>
  <c r="B20" i="72"/>
  <c r="D53" i="9"/>
  <c r="C72" i="9"/>
  <c r="D123" i="9"/>
  <c r="D9" i="52" s="1"/>
  <c r="D8" i="52"/>
  <c r="B30" i="72"/>
  <c r="D14" i="53"/>
  <c r="B32" i="72" s="1"/>
  <c r="L68" i="9"/>
  <c r="M68" i="9" s="1"/>
  <c r="L65" i="9"/>
  <c r="M65" i="9" s="1"/>
  <c r="L67" i="9"/>
  <c r="M67" i="9" s="1"/>
  <c r="L64" i="9"/>
  <c r="M64" i="9" s="1"/>
  <c r="L63" i="9"/>
  <c r="M63" i="9" s="1"/>
  <c r="L66" i="9"/>
  <c r="M66" i="9" s="1"/>
  <c r="C6" i="74"/>
  <c r="D15" i="53"/>
  <c r="B31" i="72" s="1"/>
  <c r="D59" i="9" l="1"/>
  <c r="M55" i="9" s="1"/>
  <c r="C79" i="9"/>
  <c r="C80" i="9" s="1"/>
  <c r="E80" i="9" s="1"/>
  <c r="E81" i="9" s="1"/>
  <c r="M69" i="9"/>
  <c r="N69"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<sst xmlns="http://schemas.openxmlformats.org/spreadsheetml/2006/main" count="8455" uniqueCount="3642">
  <si>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</si>
  <si>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</si>
  <si>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</si>
  <si>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</si>
  <si>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</si>
  <si>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</si>
  <si>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</si>
  <si>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</si>
  <si>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</si>
  <si>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</si>
  <si>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</si>
  <si>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</si>
  <si>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</si>
  <si>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</si>
  <si>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</si>
  <si>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</si>
  <si>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</si>
  <si>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</si>
  <si>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</si>
  <si>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</si>
  <si>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</si>
  <si>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</si>
  <si>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</si>
  <si>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</si>
  <si>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</si>
  <si>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</si>
  <si>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</si>
  <si>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</si>
  <si>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</si>
  <si>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</si>
  <si>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</si>
  <si>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</si>
  <si>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</si>
  <si>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</si>
  <si>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</si>
  <si>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</si>
  <si>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</si>
  <si>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</si>
  <si>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</si>
  <si>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</si>
  <si>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</si>
  <si>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</si>
  <si>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</si>
  <si>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</si>
  <si>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</si>
  <si>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</si>
  <si>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</si>
  <si>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</si>
  <si>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</si>
  <si>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</si>
  <si>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</si>
  <si>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</si>
  <si>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</si>
  <si>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</si>
  <si>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</si>
  <si>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</si>
  <si>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</si>
  <si>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</si>
  <si>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</si>
  <si>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</si>
  <si>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</si>
  <si>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</si>
  <si>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</si>
  <si>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</si>
  <si>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</si>
  <si>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</si>
  <si>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</si>
  <si>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</si>
  <si>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</si>
  <si>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</si>
  <si>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</si>
  <si>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</si>
  <si>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</si>
  <si>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</si>
  <si>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</si>
  <si>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</si>
  <si>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</si>
  <si>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</si>
  <si>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</si>
  <si>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</si>
  <si>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</si>
  <si>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</si>
  <si>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</si>
  <si>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</si>
  <si>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</si>
  <si>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</si>
  <si>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</si>
  <si>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</si>
  <si>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</si>
  <si>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</si>
  <si>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</si>
  <si>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</si>
  <si>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</si>
  <si>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</si>
  <si>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</si>
  <si>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</si>
  <si>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</si>
  <si>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</si>
  <si>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</si>
  <si>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</si>
  <si>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</si>
  <si>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</si>
  <si>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</si>
  <si>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</si>
  <si>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</si>
  <si>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</si>
  <si>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</si>
  <si>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</si>
  <si>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</si>
  <si>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</si>
  <si>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</si>
  <si>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</si>
  <si>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</si>
  <si>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</si>
  <si>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</si>
  <si>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</si>
  <si>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</si>
  <si>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</si>
  <si>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</si>
  <si>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</si>
  <si>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</si>
  <si>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</si>
  <si>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</si>
  <si>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</si>
  <si>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</si>
  <si>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</si>
  <si>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</si>
  <si>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</si>
  <si>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</si>
  <si>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</si>
  <si>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</si>
  <si>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</si>
  <si>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</si>
  <si>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</si>
  <si>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</si>
  <si>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</si>
  <si>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</si>
  <si>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</si>
  <si>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</si>
  <si>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</si>
  <si>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</si>
  <si>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</si>
  <si>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</si>
  <si>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</si>
  <si>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</si>
  <si>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</si>
  <si>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</si>
  <si>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</si>
  <si>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</si>
  <si>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</si>
  <si>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</si>
  <si>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</si>
  <si>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</si>
  <si>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</si>
  <si>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</si>
  <si>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</si>
  <si>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</si>
  <si>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</si>
  <si>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</si>
  <si>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</si>
  <si>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</si>
  <si>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</si>
  <si>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</si>
  <si>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</si>
  <si>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</si>
  <si>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</si>
  <si>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</si>
  <si>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</si>
  <si>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</si>
  <si>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</si>
  <si>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</si>
  <si>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</si>
  <si>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</si>
  <si>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</si>
  <si>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</si>
  <si>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</si>
  <si>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</si>
  <si>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</si>
  <si>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</si>
  <si>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</si>
  <si>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</si>
  <si>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</si>
  <si>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</si>
  <si>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</si>
  <si>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</si>
  <si>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</si>
  <si>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</si>
  <si>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</si>
  <si>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</si>
  <si>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</si>
  <si>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</si>
  <si>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</si>
  <si>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</si>
  <si>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</si>
  <si>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</si>
  <si>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</si>
  <si>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</si>
  <si>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</si>
  <si>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</si>
  <si>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</si>
  <si>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</si>
  <si>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</si>
  <si>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</si>
  <si>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</si>
  <si>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</si>
  <si>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</si>
  <si>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</si>
  <si>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</si>
  <si>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</si>
  <si>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</si>
  <si>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</si>
  <si>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</si>
  <si>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</si>
  <si>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</si>
  <si>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</si>
  <si>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</si>
  <si>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</si>
  <si>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</si>
  <si>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</si>
  <si>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</si>
  <si>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</si>
  <si>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</si>
  <si>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</si>
  <si>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</si>
  <si>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</si>
  <si>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</si>
  <si>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</si>
  <si>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</si>
  <si>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</si>
  <si>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</si>
  <si>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</si>
  <si>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</si>
  <si>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</si>
  <si>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</si>
  <si>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</si>
  <si>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</si>
  <si>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</si>
  <si>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</si>
  <si>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</si>
  <si>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</si>
  <si>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</si>
  <si>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</si>
  <si>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</si>
  <si>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</si>
  <si>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</si>
  <si>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</si>
  <si>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</si>
  <si>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</si>
  <si>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</si>
  <si>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</si>
  <si>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</si>
  <si>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</si>
  <si>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</si>
  <si>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</si>
  <si>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</si>
  <si>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</si>
  <si>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</si>
  <si>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</si>
  <si>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</si>
  <si>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</si>
  <si>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</si>
  <si>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</si>
  <si>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</si>
  <si>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</si>
  <si>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</si>
  <si>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</si>
  <si>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</si>
  <si>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</si>
  <si>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</si>
  <si>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</si>
  <si>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</si>
  <si>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</si>
  <si>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</si>
  <si>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</si>
  <si>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</si>
  <si>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</si>
  <si>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</si>
  <si>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</si>
  <si>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</si>
  <si>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</si>
  <si>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</si>
  <si>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</si>
  <si>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</si>
  <si>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</si>
  <si>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</si>
  <si>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</si>
  <si>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</si>
  <si>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</si>
  <si>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</si>
  <si>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</si>
  <si>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</si>
  <si>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</si>
  <si>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</si>
  <si>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</si>
  <si>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</si>
  <si>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</si>
  <si>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</si>
  <si>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</si>
  <si>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</si>
  <si>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</si>
  <si>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</si>
  <si>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</si>
  <si>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</si>
  <si>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</si>
  <si>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</si>
  <si>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</si>
  <si>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</si>
  <si>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</si>
  <si>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</si>
  <si>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</si>
  <si>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</si>
  <si>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</si>
  <si>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</si>
  <si>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</si>
  <si>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</si>
  <si>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</si>
  <si>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</si>
  <si>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</si>
  <si>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</si>
  <si>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</si>
  <si>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</si>
  <si>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</si>
  <si>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</si>
  <si>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</si>
  <si>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</si>
  <si>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</si>
  <si>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</si>
  <si>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</si>
  <si>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</si>
  <si>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</si>
  <si>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</si>
  <si>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</si>
  <si>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</si>
  <si>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</si>
  <si>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</si>
  <si>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</si>
  <si>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</si>
  <si>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</si>
  <si>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</si>
  <si>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</si>
  <si>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</si>
  <si>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</si>
  <si>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</si>
  <si>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</si>
  <si>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</si>
  <si>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</si>
  <si>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</si>
  <si>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</si>
  <si>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</si>
  <si>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</si>
  <si>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</si>
  <si>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</si>
  <si>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</si>
  <si>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</si>
  <si>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</si>
  <si>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</si>
  <si>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</si>
  <si>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</si>
  <si>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</si>
  <si>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</si>
  <si>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</si>
  <si>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</si>
  <si>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</si>
  <si>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</si>
  <si>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</si>
  <si>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</si>
  <si>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</si>
  <si>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</si>
  <si>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</si>
  <si>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</si>
  <si>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</si>
  <si>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</si>
  <si>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</si>
  <si>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</si>
  <si>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</si>
  <si>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</si>
  <si>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</si>
  <si>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</si>
  <si>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</si>
  <si>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</si>
  <si>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</si>
  <si>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</si>
  <si>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</si>
  <si>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</si>
  <si>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</si>
  <si>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</si>
  <si>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</si>
  <si>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</si>
  <si>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</si>
  <si>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</si>
  <si>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</si>
  <si>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</si>
  <si>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</si>
  <si>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</si>
  <si>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</si>
  <si>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</si>
  <si>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</si>
  <si>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</si>
  <si>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</si>
  <si>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</si>
  <si>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</si>
  <si>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</si>
  <si>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</si>
  <si>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</si>
  <si>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</si>
  <si>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</si>
  <si>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</si>
  <si>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</si>
  <si>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</si>
  <si>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</si>
  <si>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</si>
  <si>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</si>
  <si>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</si>
  <si>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</si>
  <si>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</si>
  <si>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</si>
  <si>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</si>
  <si>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</si>
  <si>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</si>
  <si>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</si>
  <si>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</si>
  <si>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</si>
  <si>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</si>
  <si>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</si>
  <si>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</si>
  <si>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</si>
  <si>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</si>
  <si>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</si>
  <si>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</si>
  <si>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</si>
  <si>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</si>
  <si>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</si>
  <si>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</si>
  <si>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</si>
  <si>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</si>
  <si>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</si>
  <si>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</si>
  <si>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</si>
  <si>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</si>
  <si>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</si>
  <si>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</si>
  <si>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</si>
  <si>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</si>
  <si>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</si>
  <si>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</si>
  <si>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</si>
  <si>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</si>
  <si>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</si>
  <si>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</si>
  <si>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</si>
  <si>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</si>
  <si>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</si>
  <si>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</si>
  <si>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</si>
  <si>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</si>
  <si>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</si>
  <si>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</si>
  <si>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</si>
  <si>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</si>
  <si>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</si>
  <si>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</si>
  <si>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</si>
  <si>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</si>
  <si>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</si>
  <si>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</si>
  <si>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</si>
  <si>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</si>
  <si>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</si>
  <si>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</si>
  <si>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</si>
  <si>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</si>
  <si>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</si>
  <si>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</si>
  <si>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</si>
  <si>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</si>
  <si>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</si>
  <si>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</si>
  <si>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</si>
  <si>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</si>
  <si>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</si>
  <si>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</si>
  <si>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</si>
  <si>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</si>
  <si>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</si>
  <si>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</si>
  <si>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</si>
  <si>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</si>
  <si>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</si>
  <si>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</si>
  <si>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</si>
  <si>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</si>
  <si>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</si>
  <si>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</si>
  <si>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</si>
  <si>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</si>
  <si>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</si>
  <si>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</si>
  <si>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</si>
  <si>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</si>
  <si>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</si>
  <si>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</si>
  <si>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</si>
  <si>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</si>
  <si>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</si>
  <si>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</si>
  <si>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</si>
  <si>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</si>
  <si>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</si>
  <si>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</si>
  <si>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</si>
  <si>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</si>
  <si>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</si>
  <si>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</si>
  <si>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</si>
  <si>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</si>
  <si>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</si>
  <si>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</si>
  <si>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</si>
  <si>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</si>
  <si>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</si>
  <si>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</si>
  <si>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</si>
  <si>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</si>
  <si>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</si>
  <si>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</si>
  <si>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</si>
  <si>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</si>
  <si>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</si>
  <si>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</si>
  <si>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</si>
  <si>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</si>
  <si>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</si>
  <si>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</si>
  <si>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</si>
  <si>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</si>
  <si>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</si>
  <si>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</si>
  <si>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</si>
  <si>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</si>
  <si>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</si>
  <si>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</si>
  <si>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</si>
  <si>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</si>
  <si>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</si>
  <si>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</si>
  <si>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</si>
  <si>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</si>
  <si>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</si>
  <si>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</si>
  <si>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</si>
  <si>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</si>
  <si>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</si>
  <si>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</si>
  <si>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</si>
  <si>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</si>
  <si>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</si>
  <si>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</si>
  <si>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</si>
  <si>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</si>
  <si>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</si>
  <si>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</si>
  <si>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</si>
  <si>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</si>
  <si>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</si>
  <si>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</si>
  <si>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</si>
  <si>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</si>
  <si>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</si>
  <si>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</si>
  <si>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</si>
  <si>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</si>
  <si>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</si>
  <si>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</si>
  <si>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</si>
  <si>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</si>
  <si>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</si>
  <si>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</si>
  <si>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</si>
  <si>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</si>
  <si>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</si>
  <si>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</si>
  <si>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</si>
  <si>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</si>
  <si>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</si>
  <si>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</si>
  <si>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</si>
  <si>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</si>
  <si>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</si>
  <si>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</si>
  <si>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</si>
  <si>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</si>
  <si>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</si>
  <si>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</si>
  <si>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</si>
  <si>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</si>
  <si>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</si>
  <si>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</si>
  <si>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</si>
  <si>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</si>
  <si>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</si>
  <si>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</si>
  <si>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</si>
  <si>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</si>
  <si>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</si>
  <si>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</si>
  <si>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</si>
  <si>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</si>
  <si>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</si>
  <si>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</si>
  <si>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</si>
  <si>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</si>
  <si>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</si>
  <si>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</si>
  <si>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</si>
  <si>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</si>
  <si>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</si>
  <si>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</si>
  <si>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</si>
  <si>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</si>
  <si>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</si>
  <si>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</si>
  <si>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</si>
  <si>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</si>
  <si>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</si>
  <si>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</si>
  <si>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</si>
  <si>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</si>
  <si>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</si>
  <si>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</si>
  <si>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</si>
  <si>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</si>
  <si>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</si>
  <si>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</si>
  <si>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</si>
  <si>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</si>
  <si>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</si>
  <si>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</si>
  <si>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</si>
  <si>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</si>
  <si>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</si>
  <si>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</si>
  <si>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</si>
  <si>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</si>
  <si>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</si>
  <si>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</si>
  <si>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</si>
  <si>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</si>
  <si>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</si>
  <si>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</si>
  <si>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</si>
  <si>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</si>
  <si>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</si>
  <si>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</si>
  <si>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</si>
  <si>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</si>
  <si>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</si>
  <si>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</si>
  <si>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</si>
  <si>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</si>
  <si>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</si>
  <si>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</si>
  <si>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</si>
  <si>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</si>
  <si>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</si>
  <si>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</si>
  <si>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</si>
  <si>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</si>
  <si>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</si>
  <si>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</si>
  <si>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</si>
  <si>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</si>
  <si>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</si>
  <si>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</si>
  <si>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</si>
  <si>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</si>
  <si>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</si>
  <si>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</si>
  <si>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</si>
  <si>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</si>
  <si>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</si>
  <si>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</si>
  <si>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</si>
  <si>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</si>
  <si>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</si>
  <si>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</si>
  <si>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</si>
  <si>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</si>
  <si>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</si>
  <si>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</si>
  <si>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</si>
  <si>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</si>
  <si>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</si>
  <si>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</si>
  <si>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</si>
  <si>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</si>
  <si>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</si>
  <si>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</si>
  <si>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</si>
  <si>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</si>
  <si>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</si>
  <si>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</si>
  <si>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</si>
  <si>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</si>
  <si>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</si>
  <si>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</si>
  <si>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</si>
  <si>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</si>
  <si>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</si>
  <si>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</si>
  <si>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</si>
  <si>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</si>
  <si>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</si>
  <si>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</si>
  <si>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</si>
  <si>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</si>
  <si>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</si>
  <si>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</si>
  <si>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</si>
  <si>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</si>
  <si>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</si>
  <si>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</si>
  <si>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</si>
  <si>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</si>
  <si>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</si>
  <si>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</si>
  <si>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</si>
  <si>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</si>
  <si>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</si>
  <si>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</si>
  <si>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</si>
  <si>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</si>
  <si>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</si>
  <si>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</si>
  <si>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</si>
  <si>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</si>
  <si>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</si>
  <si>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</si>
  <si>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</si>
  <si>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</si>
  <si>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</si>
  <si>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</si>
  <si>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</si>
  <si>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</si>
  <si>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</si>
  <si>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</si>
  <si>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</si>
  <si>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</si>
  <si>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</si>
  <si>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</si>
  <si>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</si>
  <si>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</si>
  <si>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</si>
  <si>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</si>
  <si>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</si>
  <si>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</si>
  <si>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</si>
  <si>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</si>
  <si>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</si>
  <si>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</si>
  <si>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</si>
  <si>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</si>
  <si>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</si>
  <si>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</si>
  <si>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</si>
  <si>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</si>
  <si>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</si>
  <si>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</si>
  <si>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</si>
  <si>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</si>
  <si>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</si>
  <si>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</si>
  <si>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</si>
  <si>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</si>
  <si>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</si>
  <si>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</si>
  <si>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</si>
  <si>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</si>
  <si>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</si>
  <si>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</si>
  <si>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</si>
  <si>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</si>
  <si>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</si>
  <si>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</si>
  <si>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</si>
  <si>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</si>
  <si>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</si>
  <si>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</si>
  <si>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</si>
  <si>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</si>
  <si>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</si>
  <si>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</si>
  <si>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</si>
  <si>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</si>
  <si>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</si>
  <si>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</si>
  <si>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</si>
  <si>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</si>
  <si>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</si>
  <si>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</si>
  <si>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</si>
  <si>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</si>
  <si>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</si>
  <si>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</si>
  <si>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</si>
  <si>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</si>
  <si>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</si>
  <si>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</si>
  <si>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</si>
  <si>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</si>
  <si>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</si>
  <si>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</si>
  <si>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</si>
  <si>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</si>
  <si>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</si>
  <si>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</si>
  <si>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</si>
  <si>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</si>
  <si>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</si>
  <si>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</si>
  <si>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</si>
  <si>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</si>
  <si>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</si>
  <si>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</si>
  <si>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</si>
  <si>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</si>
  <si>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</si>
  <si>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</si>
  <si>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</si>
  <si>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</si>
  <si>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</si>
  <si>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</si>
  <si>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</si>
  <si>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</si>
  <si>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</si>
  <si>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</si>
  <si>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</si>
  <si>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</si>
  <si>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</si>
  <si>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</si>
  <si>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</si>
  <si>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</si>
  <si>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</si>
  <si>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</si>
  <si>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</si>
  <si>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</si>
  <si>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</si>
  <si>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</si>
  <si>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</si>
  <si>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</si>
  <si>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</si>
  <si>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</si>
  <si>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</si>
  <si>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</si>
  <si>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</si>
  <si>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</si>
  <si>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</si>
  <si>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</si>
  <si>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</si>
  <si>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</si>
  <si>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</si>
  <si>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</si>
  <si>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</si>
  <si>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</si>
  <si>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</si>
  <si>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</si>
  <si>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</si>
  <si>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</si>
  <si>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</si>
  <si>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</si>
  <si>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</si>
  <si>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</si>
  <si>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</si>
  <si>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</si>
  <si>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</si>
  <si>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</si>
  <si>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</si>
  <si>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</si>
  <si>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</si>
  <si>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</si>
  <si>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</si>
  <si>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</si>
  <si>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</si>
  <si>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</si>
  <si>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</si>
  <si>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</si>
  <si>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</si>
  <si>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</si>
  <si>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</si>
  <si>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</si>
  <si>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</si>
  <si>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</si>
  <si>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</si>
  <si>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</si>
  <si>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</si>
  <si>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</si>
  <si>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</si>
  <si>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</si>
  <si>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</si>
  <si>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</si>
  <si>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</si>
  <si>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</si>
  <si>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</si>
  <si>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</si>
  <si>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</si>
  <si>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</si>
  <si>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</si>
  <si>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</si>
  <si>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</si>
  <si>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</si>
  <si>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</si>
  <si>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</si>
  <si>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</si>
  <si>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</si>
  <si>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</si>
  <si>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</si>
  <si>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</si>
  <si>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</si>
  <si>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</si>
  <si>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</si>
  <si>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</si>
  <si>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</si>
  <si>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</si>
  <si>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</si>
  <si>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</si>
  <si>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</si>
  <si>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</si>
  <si>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</si>
  <si>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</si>
  <si>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</si>
  <si>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</si>
  <si>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</si>
  <si>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</si>
  <si>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</si>
  <si>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</si>
  <si>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</si>
  <si>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</si>
  <si>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</si>
  <si>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</si>
  <si>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</si>
  <si>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</si>
  <si>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</si>
  <si>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</si>
  <si>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</si>
  <si>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</si>
  <si>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</si>
  <si>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</si>
  <si>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</si>
  <si>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</si>
  <si>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</si>
  <si>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</si>
  <si>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</si>
  <si>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</si>
  <si>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</si>
  <si>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</si>
  <si>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</si>
  <si>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</si>
  <si>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</si>
  <si>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</si>
  <si>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</si>
  <si>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</si>
  <si>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</si>
  <si>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</si>
  <si>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</si>
  <si>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</si>
  <si>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</si>
  <si>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</si>
  <si>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</si>
  <si>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</si>
  <si>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</si>
  <si>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</si>
  <si>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</si>
  <si>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</si>
  <si>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</si>
  <si>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</si>
  <si>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</si>
  <si>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</si>
  <si>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</si>
  <si>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</si>
  <si>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</si>
  <si>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</si>
  <si>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</si>
  <si>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</si>
  <si>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</si>
  <si>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</si>
  <si>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</si>
  <si>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</si>
  <si>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</si>
  <si>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</si>
  <si>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</si>
  <si>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</si>
  <si>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</si>
  <si>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</si>
  <si>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</si>
  <si>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</si>
  <si>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</si>
  <si>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</si>
  <si>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</si>
  <si>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</si>
  <si>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</si>
  <si>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</si>
  <si>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</si>
  <si>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</si>
  <si>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</si>
  <si>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</si>
  <si>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</si>
  <si>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</si>
  <si>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</si>
  <si>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</si>
  <si>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</si>
  <si>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</si>
  <si>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</si>
  <si>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</si>
  <si>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</si>
  <si>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</si>
  <si>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</si>
  <si>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</si>
  <si>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</si>
  <si>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</si>
  <si>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</si>
  <si>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</si>
  <si>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</si>
  <si>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</si>
  <si>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</si>
  <si>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</si>
  <si>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</si>
  <si>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</si>
  <si>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</si>
  <si>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</si>
  <si>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</si>
  <si>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</si>
  <si>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</si>
  <si>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</si>
  <si>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</si>
  <si>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</si>
  <si>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</si>
  <si>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</si>
  <si>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</si>
  <si>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</si>
  <si>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</si>
  <si>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</si>
  <si>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</si>
  <si>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</si>
  <si>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</si>
  <si>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</si>
  <si>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</si>
  <si>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</si>
  <si>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</si>
  <si>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</si>
  <si>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</si>
  <si>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</si>
  <si>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</si>
  <si>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</si>
  <si>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</si>
  <si>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</si>
  <si>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</si>
  <si>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</si>
  <si>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</si>
  <si>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</si>
  <si>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</si>
  <si>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</si>
  <si>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</si>
  <si>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</si>
  <si>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</si>
  <si>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</si>
  <si>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</si>
  <si>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</si>
  <si>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</si>
  <si>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</si>
  <si>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</si>
  <si>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</si>
  <si>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</si>
  <si>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</si>
  <si>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</si>
  <si>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</si>
  <si>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</si>
  <si>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</si>
  <si>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</si>
  <si>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</si>
  <si>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</si>
  <si>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</si>
  <si>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</si>
  <si>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</si>
  <si>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</si>
  <si>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</si>
  <si>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</si>
  <si>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</si>
  <si>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</si>
  <si>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</si>
  <si>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</si>
  <si>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</si>
  <si>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</si>
  <si>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</si>
  <si>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</si>
  <si>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</si>
  <si>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</si>
  <si>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</si>
  <si>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</si>
  <si>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</si>
  <si>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</si>
  <si>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</si>
  <si>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</si>
  <si>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</si>
  <si>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</si>
  <si>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</si>
  <si>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</si>
  <si>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</si>
  <si>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</si>
  <si>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</si>
  <si>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</si>
  <si>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</si>
  <si>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</si>
  <si>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</si>
  <si>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</si>
  <si>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</si>
  <si>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</si>
  <si>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</si>
  <si>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</si>
  <si>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</si>
  <si>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</si>
  <si>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</si>
  <si>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</si>
  <si>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</si>
  <si>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</si>
  <si>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</si>
  <si>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</si>
  <si>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</si>
  <si>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</si>
  <si>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</si>
  <si>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</si>
  <si>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</si>
  <si>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</si>
  <si>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</si>
  <si>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</si>
  <si>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</si>
  <si>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</si>
  <si>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</si>
  <si>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</si>
  <si>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</si>
  <si>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</si>
  <si>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</si>
  <si>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</si>
  <si>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</si>
  <si>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</si>
  <si>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</si>
  <si>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</si>
  <si>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</si>
  <si>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</si>
  <si>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</si>
  <si>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</si>
  <si>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</si>
  <si>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</si>
  <si>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</si>
  <si>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</si>
  <si>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</si>
  <si>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</si>
  <si>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</si>
  <si>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</si>
  <si>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</si>
  <si>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</si>
  <si>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</si>
  <si>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</si>
  <si>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</si>
  <si>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</si>
  <si>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</si>
  <si>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</si>
  <si>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</si>
  <si>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</si>
  <si>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</si>
  <si>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</si>
  <si>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</si>
  <si>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</si>
  <si>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</si>
  <si>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</si>
  <si>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</si>
  <si>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</si>
  <si>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</si>
  <si>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</si>
  <si>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</si>
  <si>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</si>
  <si>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</si>
  <si>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</si>
  <si>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</si>
  <si>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</si>
  <si>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</si>
  <si>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</si>
  <si>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</si>
  <si>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</si>
  <si>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</si>
  <si>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</si>
  <si>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</si>
  <si>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</si>
  <si>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</si>
  <si>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</si>
  <si>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</si>
  <si>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</si>
  <si>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</si>
  <si>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</si>
  <si>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</si>
  <si>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</si>
  <si>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</si>
  <si>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</si>
  <si>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</si>
  <si>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</si>
  <si>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</si>
  <si>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</si>
  <si>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</si>
  <si>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</si>
  <si>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</si>
  <si>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</si>
  <si>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</si>
  <si>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</si>
  <si>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</si>
  <si>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</si>
  <si>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</si>
  <si>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</si>
  <si>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</si>
  <si>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</si>
  <si>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</si>
  <si>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</si>
  <si>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</si>
  <si>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</si>
  <si>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</si>
  <si>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</si>
  <si>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</si>
  <si>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</si>
  <si>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</si>
  <si>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</si>
  <si>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</si>
  <si>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</si>
  <si>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</si>
  <si>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</si>
  <si>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</si>
  <si>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</si>
  <si>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</si>
  <si>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</si>
  <si>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</si>
  <si>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</si>
  <si>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</si>
  <si>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</si>
  <si>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</si>
  <si>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</si>
  <si>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</si>
  <si>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</si>
  <si>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</si>
  <si>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</si>
  <si>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</si>
  <si>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</si>
  <si>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</si>
  <si>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</si>
  <si>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</si>
  <si>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</si>
  <si>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</si>
  <si>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</si>
  <si>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</si>
  <si>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</si>
  <si>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</si>
  <si>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</si>
  <si>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</si>
  <si>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</si>
  <si>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</si>
  <si>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</si>
  <si>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</si>
  <si>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</si>
  <si>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</si>
  <si>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</si>
  <si>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</si>
  <si>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</si>
  <si>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</si>
  <si>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</si>
  <si>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</si>
  <si>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</si>
  <si>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</si>
  <si>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</si>
  <si>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</si>
  <si>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</si>
  <si>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</si>
  <si>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</si>
  <si>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</si>
  <si>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</si>
  <si>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</si>
  <si>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</si>
  <si>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</si>
  <si>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</si>
  <si>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</si>
  <si>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</si>
  <si>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</si>
  <si>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</si>
  <si>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</si>
  <si>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</si>
  <si>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</si>
  <si>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</si>
  <si>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</si>
  <si>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</si>
  <si>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</si>
  <si>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</si>
  <si>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</si>
  <si>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</si>
  <si>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</si>
  <si>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</si>
  <si>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</si>
  <si>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</si>
  <si>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</si>
  <si>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</si>
  <si>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</si>
  <si>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</si>
  <si>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</si>
  <si>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</si>
  <si>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</si>
  <si>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</si>
  <si>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</si>
  <si>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</si>
  <si>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</si>
  <si>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</si>
  <si>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</si>
  <si>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</si>
  <si>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</si>
  <si>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</si>
  <si>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</si>
  <si>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</si>
  <si>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</si>
  <si>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</si>
  <si>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</si>
  <si>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</si>
  <si>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</si>
  <si>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</si>
  <si>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</si>
  <si>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</si>
  <si>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</si>
  <si>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</si>
  <si>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</si>
  <si>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</si>
  <si>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</si>
  <si>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</si>
  <si>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</si>
  <si>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</si>
  <si>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</si>
  <si>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</si>
  <si>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</si>
  <si>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</si>
  <si>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</si>
  <si>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</si>
  <si>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</si>
  <si>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</si>
  <si>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</si>
  <si>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</si>
  <si>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</si>
  <si>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</si>
  <si>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</si>
  <si>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</si>
  <si>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</si>
  <si>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</si>
  <si>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</si>
  <si>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</si>
  <si>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</si>
  <si>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</si>
  <si>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</si>
  <si>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</si>
  <si>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</si>
  <si>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</si>
  <si>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</si>
  <si>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</si>
  <si>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</si>
  <si>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</si>
  <si>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</si>
  <si>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</si>
  <si>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</si>
  <si>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</si>
  <si>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</si>
  <si>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</si>
  <si>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</si>
  <si>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</si>
  <si>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</si>
  <si>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</si>
  <si>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</si>
  <si>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</si>
  <si>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</si>
  <si>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</si>
  <si>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</si>
  <si>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</si>
  <si>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</si>
  <si>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</si>
  <si>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</si>
  <si>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</si>
  <si>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</si>
  <si>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</si>
  <si>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</si>
  <si>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</si>
  <si>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</si>
  <si>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</si>
  <si>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</si>
  <si>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</si>
  <si>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</si>
  <si>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</si>
  <si>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</si>
  <si>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</si>
  <si>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</si>
  <si>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</si>
  <si>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</si>
  <si>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</si>
  <si>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</si>
  <si>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</si>
  <si>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</si>
  <si>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</si>
  <si>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</si>
  <si>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</si>
  <si>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</si>
  <si>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</si>
  <si>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</si>
  <si>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</si>
  <si>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</si>
  <si>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</si>
  <si>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</si>
  <si>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</si>
  <si>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</si>
  <si>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</si>
  <si>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</si>
  <si>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</si>
  <si>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</si>
  <si>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</si>
  <si>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</si>
  <si>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</si>
  <si>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</si>
  <si>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</si>
  <si>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</si>
  <si>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</si>
  <si>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</si>
  <si>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</si>
  <si>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</si>
  <si>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</si>
  <si>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</si>
  <si>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</si>
  <si>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</si>
  <si>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</si>
  <si>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</si>
  <si>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</si>
  <si>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</si>
  <si>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</si>
  <si>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</si>
  <si>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</si>
  <si>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</si>
  <si>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</si>
  <si>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</si>
  <si>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</si>
  <si>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</si>
  <si>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</si>
  <si>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</si>
  <si>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</si>
  <si>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</si>
  <si>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</si>
  <si>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</si>
  <si>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</si>
  <si>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</si>
  <si>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</si>
  <si>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</si>
  <si>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</si>
  <si>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</si>
  <si>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</si>
  <si>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</si>
  <si>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</si>
  <si>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</si>
  <si>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</si>
  <si>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</si>
  <si>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</si>
  <si>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</si>
  <si>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</si>
  <si>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</si>
  <si>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</si>
  <si>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</si>
  <si>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</si>
  <si>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</si>
  <si>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</si>
  <si>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</si>
  <si>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</si>
  <si>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</si>
  <si>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</si>
  <si>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</si>
  <si>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</si>
  <si>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</si>
  <si>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</si>
  <si>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</si>
  <si>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</si>
  <si>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</si>
  <si>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</si>
  <si>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</si>
  <si>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</si>
  <si>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</si>
  <si>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</si>
  <si>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</si>
  <si>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</si>
  <si>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</si>
  <si>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</si>
  <si>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</si>
  <si>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</si>
  <si>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</si>
  <si>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</si>
  <si>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</si>
  <si>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</si>
  <si>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</si>
  <si>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</si>
  <si>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</si>
  <si>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</si>
  <si>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</si>
  <si>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</si>
  <si>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</si>
  <si>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</si>
  <si>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</si>
  <si>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</si>
  <si>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</si>
  <si>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</si>
  <si>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</si>
  <si>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</si>
  <si>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</si>
  <si>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</si>
  <si>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</si>
  <si>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</si>
  <si>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</si>
  <si>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</si>
  <si>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</si>
  <si>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</si>
  <si>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</si>
  <si>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</si>
  <si>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</si>
  <si>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</si>
  <si>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</si>
  <si>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</si>
  <si>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</si>
  <si>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</si>
  <si>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</si>
  <si>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</si>
  <si>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</si>
  <si>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</si>
  <si>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</si>
  <si>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</si>
  <si>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</si>
  <si>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</si>
  <si>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</si>
  <si>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</si>
  <si>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</si>
  <si>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</si>
  <si>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</si>
  <si>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</si>
  <si>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</si>
  <si>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</si>
  <si>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</si>
  <si>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</si>
  <si>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</si>
  <si>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</si>
  <si>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</si>
  <si>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</si>
  <si>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</si>
  <si>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</si>
  <si>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</si>
  <si>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</si>
  <si>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</si>
  <si>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</si>
  <si>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</si>
  <si>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</si>
  <si>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</si>
  <si>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</si>
  <si>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</si>
  <si>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</si>
  <si>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</si>
  <si>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</si>
  <si>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</si>
  <si>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</si>
  <si>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</si>
  <si>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</si>
  <si>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</si>
  <si>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</si>
  <si>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</si>
  <si>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</si>
  <si>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</si>
  <si>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</si>
  <si>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</si>
  <si>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</si>
  <si>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</si>
  <si>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</si>
  <si>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</si>
  <si>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</si>
  <si>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</si>
  <si>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</si>
  <si>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</si>
  <si>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</si>
  <si>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</si>
  <si>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</si>
  <si>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</si>
  <si>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</si>
  <si>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</si>
  <si>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</si>
  <si>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</si>
  <si>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</si>
  <si>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</si>
  <si>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</si>
  <si>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</si>
  <si>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</si>
  <si>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</si>
  <si>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</si>
  <si>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</si>
  <si>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</si>
  <si>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</si>
  <si>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</si>
  <si>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</si>
  <si>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</si>
  <si>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</si>
  <si>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</si>
  <si>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</si>
  <si>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</si>
  <si>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</si>
  <si>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</si>
  <si>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</si>
  <si>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</si>
  <si>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</si>
  <si>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</si>
  <si>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</si>
  <si>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</si>
  <si>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</si>
  <si>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</si>
  <si>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</si>
  <si>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</si>
  <si>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</si>
  <si>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</si>
  <si>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</si>
  <si>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</si>
  <si>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</si>
  <si>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</si>
  <si>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</si>
  <si>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</si>
  <si>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</si>
  <si>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</si>
  <si>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</si>
  <si>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</si>
  <si>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</si>
  <si>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</si>
  <si>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</si>
  <si>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</si>
  <si>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</si>
  <si>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</si>
  <si>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</si>
  <si>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</si>
  <si>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</si>
  <si>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</si>
  <si>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</si>
  <si>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</si>
  <si>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</si>
  <si>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</si>
  <si>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</si>
  <si>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</si>
  <si>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</si>
  <si>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</si>
  <si>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</si>
  <si>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</si>
  <si>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</si>
  <si>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</si>
  <si>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</si>
  <si>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</si>
  <si>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</si>
  <si>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</si>
  <si>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</si>
  <si>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</si>
  <si>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</si>
  <si>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</si>
  <si>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</si>
  <si>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</si>
  <si>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</si>
  <si>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</si>
  <si>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</si>
  <si>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</si>
  <si>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</si>
  <si>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</si>
  <si>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</si>
  <si>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</si>
  <si>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</si>
  <si>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</si>
  <si>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</si>
  <si>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</si>
  <si>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</si>
  <si>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</si>
  <si>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</si>
  <si>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</si>
  <si>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</si>
  <si>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</si>
  <si>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</si>
  <si>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</si>
  <si>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</si>
  <si>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</si>
  <si>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</si>
  <si>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</si>
  <si>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</si>
  <si>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</si>
  <si>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</si>
  <si>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</si>
  <si>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</si>
  <si>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</si>
  <si>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</si>
  <si>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</si>
  <si>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</si>
  <si>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</si>
  <si>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</si>
  <si>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</si>
  <si>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</si>
  <si>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</si>
  <si>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</si>
  <si>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</si>
  <si>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</si>
  <si>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</si>
  <si>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</si>
  <si>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</si>
  <si>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</si>
  <si>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</si>
  <si>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</si>
  <si>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</si>
  <si>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</si>
  <si>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</si>
  <si>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</si>
  <si>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</si>
  <si>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</si>
  <si>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</si>
  <si>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</si>
  <si>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</si>
  <si>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</si>
  <si>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</si>
  <si>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</si>
  <si>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</si>
  <si>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</si>
  <si>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</si>
  <si>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</si>
  <si>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</si>
  <si>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</si>
  <si>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</si>
  <si>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</si>
  <si>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</si>
  <si>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</si>
  <si>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</si>
  <si>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</si>
  <si>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</si>
  <si>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</si>
  <si>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</si>
  <si>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</si>
  <si>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</si>
  <si>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</si>
  <si>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</si>
  <si>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</si>
  <si>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</si>
  <si>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</si>
  <si>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</si>
  <si>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</si>
  <si>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</si>
  <si>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</si>
  <si>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</si>
  <si>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</si>
  <si>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</si>
  <si>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</si>
  <si>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</si>
  <si>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</si>
  <si>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</si>
  <si>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</si>
  <si>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</si>
  <si>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</si>
  <si>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</si>
  <si>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</si>
  <si>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</si>
  <si>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</si>
  <si>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</si>
  <si>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</si>
  <si>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</si>
  <si>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</si>
  <si>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</si>
  <si>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</si>
  <si>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</si>
  <si>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</si>
  <si>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</si>
  <si>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</si>
  <si>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</si>
  <si>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</si>
  <si>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</si>
  <si>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</si>
  <si>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</si>
  <si>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</si>
  <si>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</si>
  <si>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</si>
  <si>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</si>
  <si>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</si>
  <si>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</si>
  <si>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</si>
  <si>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</si>
  <si>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</si>
  <si>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</si>
  <si>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</si>
  <si>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</si>
  <si>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</si>
  <si>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</si>
  <si>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</si>
  <si>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</si>
  <si>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</si>
  <si>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</si>
  <si>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</si>
  <si>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</si>
  <si>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</si>
  <si>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</si>
  <si>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</si>
  <si>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</si>
  <si>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</si>
  <si>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</si>
  <si>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</si>
  <si>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</si>
  <si>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</si>
  <si>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</si>
  <si>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</si>
  <si>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</si>
  <si>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</si>
  <si>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</si>
  <si>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</si>
  <si>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</si>
  <si>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</si>
  <si>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</si>
  <si>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</si>
  <si>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</si>
  <si>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</si>
  <si>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</si>
  <si>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</si>
  <si>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</si>
  <si>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</si>
  <si>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</si>
  <si>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</si>
  <si>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</si>
  <si>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</si>
  <si>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</si>
  <si>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</si>
  <si>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</si>
  <si>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</si>
  <si>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</si>
  <si>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</si>
  <si>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</si>
  <si>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</si>
  <si>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</si>
  <si>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</si>
  <si>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</si>
  <si>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</si>
  <si>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</si>
  <si>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</si>
  <si>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</si>
  <si>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</si>
  <si>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</si>
  <si>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</si>
  <si>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</si>
  <si>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</si>
  <si>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</si>
  <si>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</si>
  <si>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</si>
  <si>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</si>
  <si>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</si>
  <si>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</si>
  <si>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</si>
  <si>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</si>
  <si>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</si>
  <si>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</si>
  <si>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</si>
  <si>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</si>
  <si>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</si>
  <si>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</si>
  <si>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</si>
  <si>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</si>
  <si>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</si>
  <si>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</si>
  <si>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</si>
  <si>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</si>
  <si>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</si>
  <si>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</si>
  <si>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</si>
  <si>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</si>
  <si>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</si>
  <si>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</si>
  <si>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</si>
  <si>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</si>
  <si>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</si>
  <si>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</si>
  <si>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</si>
  <si>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</si>
  <si>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</si>
  <si>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</si>
  <si>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</si>
  <si>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</si>
  <si>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</si>
  <si>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</si>
  <si>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</si>
  <si>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</si>
  <si>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</si>
  <si>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</si>
  <si>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</si>
  <si>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</si>
  <si>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</si>
  <si>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</si>
  <si>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</si>
  <si>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</si>
  <si>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</si>
  <si>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</si>
  <si>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</si>
  <si>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</si>
  <si>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</si>
  <si>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</si>
  <si>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</si>
  <si>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</si>
  <si>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</si>
  <si>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</si>
  <si>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</si>
  <si>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</si>
  <si>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</si>
  <si>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</si>
  <si>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</si>
  <si>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</si>
  <si>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</si>
  <si>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</si>
  <si>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</si>
  <si>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</si>
  <si>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</si>
  <si>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</si>
  <si>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</si>
  <si>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</si>
  <si>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</si>
  <si>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</si>
  <si>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</si>
  <si>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</si>
  <si>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</si>
  <si>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</si>
  <si>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</si>
  <si>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</si>
  <si>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</si>
  <si>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</si>
  <si>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</si>
  <si>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</si>
  <si>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</si>
  <si>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</si>
  <si>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</si>
  <si>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</si>
  <si>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</si>
  <si>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</si>
  <si>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</si>
  <si>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</si>
  <si>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</si>
  <si>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</si>
  <si>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</si>
  <si>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</si>
  <si>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</si>
  <si>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</si>
  <si>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</si>
  <si>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</si>
  <si>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</si>
  <si>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</si>
  <si>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</si>
  <si>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</si>
  <si>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</si>
  <si>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</si>
  <si>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</si>
  <si>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</si>
  <si>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</si>
  <si>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</si>
  <si>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</si>
  <si>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</si>
  <si>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</si>
  <si>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</si>
  <si>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</si>
  <si>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</si>
  <si>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</si>
  <si>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</si>
  <si>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</si>
  <si>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</si>
  <si>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</si>
  <si>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</si>
  <si>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</si>
  <si>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</si>
  <si>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</si>
  <si>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</si>
  <si>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</si>
  <si>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</si>
  <si>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</si>
  <si>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</si>
  <si>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</si>
  <si>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</si>
  <si>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</si>
  <si>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</si>
  <si>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</si>
  <si>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</si>
  <si>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</si>
  <si>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</si>
  <si>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</si>
  <si>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</si>
  <si>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</si>
  <si>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</si>
  <si>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</si>
  <si>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</si>
  <si>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</si>
  <si>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</si>
  <si>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</si>
  <si>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</si>
  <si>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</si>
  <si>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</si>
  <si>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</si>
  <si>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</si>
  <si>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</si>
  <si>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</si>
  <si>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</si>
  <si>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</si>
  <si>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</si>
  <si>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</si>
  <si>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</si>
  <si>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</si>
  <si>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</si>
  <si>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</si>
  <si>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</si>
  <si>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</si>
  <si>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</si>
  <si>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</si>
  <si>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</si>
  <si>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</si>
  <si>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</si>
  <si>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</si>
  <si>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</si>
  <si>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</si>
  <si>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</si>
  <si>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</si>
  <si>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</si>
  <si>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</si>
  <si>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</si>
  <si>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</si>
  <si>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</si>
  <si>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</si>
  <si>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</si>
  <si>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</si>
  <si>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</si>
  <si>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</si>
  <si>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</si>
  <si>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</si>
  <si>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</si>
  <si>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</si>
  <si>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</si>
  <si>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</si>
  <si>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</si>
  <si>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</si>
  <si>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</si>
  <si>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</si>
  <si>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</si>
  <si>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</si>
  <si>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</si>
  <si>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</si>
  <si>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</si>
  <si>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</si>
  <si>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</si>
  <si>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</si>
  <si>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</si>
  <si>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</si>
  <si>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</si>
  <si>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</si>
  <si>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</si>
  <si>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</si>
  <si>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</si>
  <si>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</si>
  <si>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</si>
  <si>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</si>
  <si>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</si>
  <si>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</si>
  <si>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</si>
  <si>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</si>
  <si>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</si>
  <si>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</si>
  <si>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</si>
  <si>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</si>
  <si>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</si>
  <si>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</si>
  <si>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</si>
  <si>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</si>
  <si>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</si>
  <si>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</si>
  <si>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</si>
  <si>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</si>
  <si>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</si>
  <si>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</si>
  <si>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</si>
  <si>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</si>
  <si>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</si>
  <si>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</si>
  <si>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</si>
  <si>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</si>
  <si>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</si>
  <si>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</si>
  <si>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</si>
  <si>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</si>
  <si>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</si>
  <si>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</si>
  <si>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</si>
  <si>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</si>
  <si>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</si>
  <si>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</si>
  <si>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</si>
  <si>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</si>
  <si>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</si>
  <si>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</si>
  <si>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</si>
  <si>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</si>
  <si>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</si>
  <si>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</si>
  <si>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</si>
  <si>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</si>
  <si>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</si>
  <si>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</si>
  <si>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</si>
  <si>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</si>
  <si>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</si>
  <si>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</si>
  <si>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</si>
  <si>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</si>
  <si>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</si>
  <si>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</si>
  <si>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</si>
  <si>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</si>
  <si>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</si>
  <si>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</si>
  <si>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</si>
  <si>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</si>
  <si>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</si>
  <si>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</si>
  <si>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</si>
  <si>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</si>
  <si>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</si>
  <si>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</si>
  <si>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</si>
  <si>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</si>
  <si>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</si>
  <si>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</si>
  <si>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</si>
  <si>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</si>
  <si>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</si>
  <si>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</si>
  <si>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</si>
  <si>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</si>
  <si>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</si>
  <si>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</si>
  <si>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</si>
  <si>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</si>
  <si>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</si>
  <si>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</si>
  <si>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</si>
  <si>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</si>
  <si>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</si>
  <si>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</si>
  <si>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</si>
  <si>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</si>
  <si>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</si>
  <si>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</si>
  <si>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</si>
  <si>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</si>
  <si>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</si>
  <si>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</si>
  <si>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</si>
  <si>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</si>
  <si>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</si>
  <si>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</si>
  <si>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</si>
  <si>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</si>
  <si>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</si>
  <si>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</si>
  <si>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</si>
  <si>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</si>
  <si>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</si>
  <si>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</si>
  <si>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</si>
  <si>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</si>
  <si>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</si>
  <si>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</si>
  <si>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</si>
  <si>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</si>
  <si>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</si>
  <si>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</si>
  <si>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</si>
  <si>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</si>
  <si>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</si>
  <si>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</si>
  <si>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</si>
  <si>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</si>
  <si>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</si>
  <si>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</si>
  <si>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</si>
  <si>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</si>
  <si>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</si>
  <si>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</si>
  <si>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</si>
  <si>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</si>
  <si>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</si>
  <si>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</si>
  <si>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</si>
  <si>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</si>
  <si>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</si>
  <si>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</si>
  <si>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</si>
  <si>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</si>
  <si>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</si>
  <si>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</si>
  <si>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</si>
  <si>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</si>
  <si>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</si>
  <si>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</si>
  <si>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</si>
  <si>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</si>
  <si>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</si>
  <si>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</si>
  <si>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</si>
  <si>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</si>
  <si>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</si>
  <si>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</si>
  <si>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</si>
  <si>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</si>
  <si>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</si>
  <si>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</si>
  <si>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</si>
  <si>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</si>
  <si>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</si>
  <si>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</si>
  <si>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</si>
  <si>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</si>
  <si>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</si>
  <si>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</si>
  <si>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</si>
  <si>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</si>
  <si>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</si>
  <si>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</si>
  <si>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</si>
  <si>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</si>
  <si>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</si>
  <si>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</si>
  <si>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</si>
  <si>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</si>
  <si>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</si>
  <si>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</si>
  <si>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</si>
  <si>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</si>
  <si>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</si>
  <si>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</si>
  <si>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</si>
  <si>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</si>
  <si>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</si>
  <si>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</si>
  <si>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</si>
  <si>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</si>
  <si>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</si>
  <si>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</si>
  <si>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</si>
  <si>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</si>
  <si>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</si>
  <si>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</si>
  <si>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</si>
  <si>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</si>
  <si>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</si>
  <si>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</si>
  <si>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</si>
  <si>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</si>
  <si>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</si>
  <si>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</si>
  <si>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</si>
  <si>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</si>
  <si>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</si>
  <si>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</si>
  <si>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</si>
  <si>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</si>
  <si>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</si>
  <si>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</si>
  <si>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</si>
  <si>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</si>
  <si>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</si>
  <si>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</si>
  <si>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</si>
  <si>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</si>
  <si>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</si>
  <si>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</si>
  <si>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</si>
  <si>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</si>
  <si>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</si>
  <si>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</si>
  <si>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</si>
  <si>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</si>
  <si>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</si>
  <si>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</si>
  <si>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</si>
  <si>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</si>
  <si>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</si>
  <si>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</si>
  <si>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</si>
  <si>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</si>
  <si>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</si>
  <si>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</si>
  <si>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</si>
  <si>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</si>
  <si>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</si>
  <si>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</si>
  <si>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</si>
  <si>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</si>
  <si>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</si>
  <si>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</si>
  <si>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</si>
  <si>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</si>
  <si>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</si>
  <si>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</si>
  <si>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</si>
  <si>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</si>
  <si>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</si>
  <si>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</si>
  <si>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</si>
  <si>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</si>
  <si>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</si>
  <si>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</si>
  <si>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</si>
  <si>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</si>
  <si>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</si>
  <si>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</si>
  <si>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</si>
  <si>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</si>
  <si>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</si>
  <si>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</si>
  <si>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</si>
  <si>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</si>
  <si>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</si>
  <si>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</si>
  <si>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</si>
  <si>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</si>
  <si>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</si>
  <si>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</si>
  <si>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</si>
  <si>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</si>
  <si>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</si>
  <si>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</si>
  <si>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</si>
  <si>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</si>
  <si>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</si>
  <si>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</si>
  <si>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</si>
  <si>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</si>
  <si>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</si>
  <si>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</si>
  <si>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</si>
  <si>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</si>
  <si>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</si>
  <si>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</si>
  <si>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</si>
  <si>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</si>
  <si>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</si>
  <si>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</si>
  <si>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</si>
  <si>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</si>
  <si>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</si>
  <si>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</si>
  <si>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</si>
  <si>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</si>
  <si>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</si>
  <si>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</si>
  <si>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</si>
  <si>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</si>
  <si>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</si>
  <si>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</si>
  <si>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</si>
  <si>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</si>
  <si>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</si>
  <si>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</si>
  <si>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</si>
  <si>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</si>
  <si>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</si>
  <si>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</si>
  <si>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</si>
  <si>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</si>
  <si>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</si>
  <si>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</si>
  <si>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</si>
  <si>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</si>
  <si>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</si>
  <si>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</si>
  <si>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</si>
  <si>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</si>
  <si>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</si>
  <si>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</si>
  <si>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</si>
  <si>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</si>
  <si>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</si>
  <si>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</si>
  <si>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</si>
  <si>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</si>
  <si>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</si>
  <si>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</si>
  <si>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</si>
  <si>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</si>
  <si>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</si>
  <si>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</si>
  <si>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</si>
  <si>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</si>
  <si>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</si>
  <si>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</si>
  <si>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</si>
  <si>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</si>
  <si>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</si>
  <si>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</si>
  <si>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</si>
  <si>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</si>
  <si>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</si>
  <si>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</si>
  <si>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</si>
  <si>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</si>
  <si>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</si>
  <si>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</si>
  <si>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</si>
  <si>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</si>
  <si>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</si>
  <si>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</si>
  <si>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</si>
  <si>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</si>
  <si>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</si>
  <si>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</si>
  <si>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</si>
  <si>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</si>
  <si>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</si>
  <si>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</si>
  <si>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</si>
  <si>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</si>
  <si>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</si>
  <si>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</si>
  <si>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</si>
  <si>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</si>
  <si>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</si>
  <si>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</si>
  <si>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</si>
  <si>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</si>
  <si>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</si>
  <si>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</si>
  <si>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</si>
  <si>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</si>
  <si>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</si>
  <si>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</si>
  <si>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</si>
  <si>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</si>
  <si>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</si>
  <si>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</si>
  <si>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</si>
  <si>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</si>
  <si>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</si>
  <si>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</si>
  <si>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</si>
  <si>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</si>
  <si>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</si>
  <si>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</si>
  <si>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</si>
  <si>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</si>
  <si>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</si>
  <si>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</si>
  <si>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</si>
  <si>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</si>
  <si>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</si>
  <si>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</si>
  <si>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</si>
  <si>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</si>
  <si>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</si>
  <si>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</si>
  <si>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</si>
  <si>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</si>
  <si>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</si>
  <si>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</si>
  <si>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</si>
  <si>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</si>
  <si>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</si>
  <si>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</si>
  <si>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</si>
  <si>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</si>
  <si>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</si>
  <si>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</si>
  <si>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</si>
  <si>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</si>
  <si>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</si>
  <si>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</si>
  <si>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</si>
  <si>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</si>
  <si>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</si>
  <si>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</si>
  <si>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</si>
  <si>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</si>
  <si>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</si>
  <si>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</si>
  <si>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</si>
  <si>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</si>
  <si>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</si>
  <si>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</si>
  <si>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</si>
  <si>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</si>
  <si>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</si>
  <si>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</si>
  <si>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</si>
  <si>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</si>
  <si>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</si>
  <si>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</si>
  <si>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</si>
  <si>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</si>
  <si>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</si>
  <si>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</si>
  <si>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</si>
  <si>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</si>
  <si>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</si>
  <si>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</si>
  <si>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</si>
  <si>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</si>
  <si>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</si>
  <si>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</si>
  <si>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</si>
  <si>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</si>
  <si>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</si>
  <si>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</si>
  <si>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</si>
  <si>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</si>
  <si>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</si>
  <si>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</si>
  <si>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</si>
  <si>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</si>
  <si>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</si>
  <si>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</si>
  <si>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</si>
  <si>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</si>
  <si>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</si>
  <si>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</si>
  <si>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</si>
  <si>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</si>
  <si>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</si>
  <si>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</si>
  <si>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</si>
  <si>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</si>
  <si>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</si>
  <si>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</si>
  <si>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</si>
  <si>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</si>
  <si>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</si>
  <si>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</si>
  <si>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</si>
  <si>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</si>
  <si>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</si>
  <si>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</si>
  <si>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</si>
  <si>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</si>
  <si>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</si>
  <si>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</si>
  <si>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</si>
  <si>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</si>
  <si>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</si>
  <si>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</si>
  <si>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</si>
  <si>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</si>
  <si>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</si>
  <si>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</si>
  <si>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</si>
  <si>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</si>
  <si>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</si>
  <si>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</si>
  <si>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</si>
  <si>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</si>
  <si>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</si>
  <si>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</si>
  <si>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</si>
  <si>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</si>
  <si>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</si>
  <si>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</si>
  <si>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</si>
  <si>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</si>
  <si>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</si>
  <si>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</si>
  <si>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</si>
  <si>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</si>
  <si>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</si>
  <si>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</si>
  <si>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</si>
  <si>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</si>
  <si>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</si>
  <si>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</si>
  <si>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</si>
  <si>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</si>
  <si>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</si>
  <si>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</si>
  <si>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</si>
  <si>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</si>
  <si>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</si>
  <si>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</si>
  <si>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</si>
  <si>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</si>
  <si>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</si>
  <si>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</si>
  <si>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</si>
  <si>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</si>
  <si>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</si>
  <si>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</si>
  <si>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</si>
  <si>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</si>
  <si>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</si>
  <si>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</si>
  <si>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</si>
  <si>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</si>
  <si>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</si>
  <si>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</si>
  <si>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</si>
  <si>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</si>
  <si>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</si>
  <si>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</si>
  <si>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</si>
  <si>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</si>
  <si>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</si>
  <si>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</si>
  <si>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</si>
  <si>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</si>
  <si>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</si>
  <si>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</si>
  <si>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</si>
  <si>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</si>
  <si>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</si>
  <si>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</si>
  <si>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</si>
  <si>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</si>
  <si>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</si>
  <si>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</si>
  <si>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</si>
  <si>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</si>
  <si>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</si>
  <si>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</si>
  <si>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</si>
  <si>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</si>
  <si>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</si>
  <si>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</si>
  <si>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</si>
  <si>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</si>
  <si>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</si>
  <si>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</si>
  <si>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</si>
  <si>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</si>
  <si>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</si>
  <si>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</si>
  <si>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</si>
  <si>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</si>
  <si>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</si>
  <si>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</si>
  <si>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</si>
  <si>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</si>
  <si>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</si>
  <si>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</si>
  <si>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</si>
  <si>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</si>
  <si>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</si>
  <si>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</si>
  <si>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</si>
  <si>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</si>
  <si>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</si>
  <si>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</si>
  <si>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</si>
  <si>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</si>
  <si>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</si>
  <si>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</si>
  <si>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</si>
  <si>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</si>
  <si>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</si>
  <si>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</si>
  <si>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</si>
  <si>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</si>
  <si>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</si>
  <si>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</si>
  <si>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</si>
  <si>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</si>
  <si>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</si>
  <si>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</si>
  <si>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</si>
  <si>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</si>
  <si>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</si>
  <si>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</si>
  <si>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</si>
  <si>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</si>
  <si>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</si>
  <si>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</si>
  <si>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</si>
  <si>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</si>
  <si>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</si>
  <si>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</si>
  <si>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</si>
  <si>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</si>
  <si>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</si>
  <si>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</si>
  <si>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</si>
  <si>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</si>
  <si>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</si>
  <si>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</si>
  <si>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</si>
  <si>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</si>
  <si>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</si>
  <si>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</si>
  <si>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</si>
  <si>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</si>
  <si>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</si>
  <si>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</si>
  <si>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</si>
  <si>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</si>
  <si>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</si>
  <si>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</si>
  <si>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</si>
  <si>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</si>
  <si>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</si>
  <si>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</si>
  <si>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</si>
  <si>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</si>
  <si>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</si>
  <si>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</si>
  <si>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</si>
  <si>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</si>
  <si>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</si>
  <si>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</si>
  <si>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</si>
  <si>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</si>
  <si>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</si>
  <si>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</si>
  <si>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</si>
  <si>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</si>
  <si>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</si>
  <si>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</si>
  <si>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</si>
  <si>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</si>
  <si>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</si>
  <si>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</si>
  <si>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</si>
  <si>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</si>
  <si>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</si>
  <si>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</si>
  <si>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</si>
  <si>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</si>
  <si>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</si>
  <si>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</si>
  <si>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</si>
  <si>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</si>
  <si>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</si>
  <si>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</si>
  <si>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</si>
  <si>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</si>
  <si>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</si>
  <si>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</si>
  <si>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</si>
  <si>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</si>
  <si>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</si>
  <si>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</si>
  <si>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</si>
  <si>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</si>
  <si>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</si>
  <si>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</si>
  <si>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</si>
  <si>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</si>
  <si>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</si>
  <si>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</si>
  <si>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</si>
  <si>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</si>
  <si>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</si>
  <si>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</si>
  <si>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</si>
  <si>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</si>
  <si>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</si>
  <si>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</si>
  <si>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</si>
  <si>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</si>
  <si>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</si>
  <si>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</si>
  <si>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</si>
  <si>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</si>
  <si>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</si>
  <si>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</si>
  <si>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</si>
  <si>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</si>
  <si>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</si>
  <si>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</si>
  <si>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</si>
  <si>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</si>
  <si>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</si>
  <si>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</si>
  <si>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</si>
  <si>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</si>
  <si>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</si>
  <si>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</si>
  <si>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</si>
  <si>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</si>
  <si>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</si>
  <si>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</si>
  <si>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</si>
  <si>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</si>
  <si>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</si>
  <si>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</si>
  <si>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</si>
  <si>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</si>
  <si>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</si>
  <si>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</si>
  <si>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</si>
  <si>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</si>
  <si>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</si>
  <si>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</si>
  <si>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</si>
  <si>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</si>
  <si>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</si>
  <si>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</si>
  <si>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</si>
  <si>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</si>
  <si>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</si>
  <si>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</si>
  <si>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</si>
  <si>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</si>
  <si>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</si>
  <si>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</si>
  <si>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</si>
  <si>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</si>
  <si>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</si>
  <si>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</si>
  <si>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</si>
  <si>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</si>
  <si>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</si>
  <si>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</si>
  <si>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</si>
  <si>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</si>
  <si>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</si>
  <si>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</si>
  <si>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</si>
  <si>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</si>
  <si>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</si>
  <si>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</si>
  <si>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</si>
  <si>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</si>
  <si>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</si>
  <si>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</si>
  <si>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</si>
  <si>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</si>
  <si>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</si>
  <si>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</si>
  <si>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</si>
  <si>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</si>
  <si>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</si>
  <si>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</si>
  <si>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</si>
  <si>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</si>
  <si>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</si>
  <si>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</si>
  <si>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</si>
  <si>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</si>
  <si>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</si>
  <si>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</si>
  <si>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</si>
  <si>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</si>
  <si>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</si>
  <si>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</si>
  <si>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</si>
  <si>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</si>
  <si>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</si>
  <si>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</si>
  <si>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</si>
  <si>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</si>
  <si>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</si>
  <si>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</si>
  <si>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</si>
  <si>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</si>
  <si>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</si>
  <si>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</si>
  <si>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</si>
  <si>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</si>
  <si>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</si>
  <si>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</si>
  <si>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</si>
  <si>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</si>
  <si>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</si>
  <si>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</si>
  <si>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</si>
  <si>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</si>
  <si>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</si>
  <si>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</si>
  <si>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</si>
  <si>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</si>
  <si>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</si>
  <si>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</si>
  <si>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</si>
  <si>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</si>
  <si>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</si>
  <si>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</si>
  <si>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</si>
  <si>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</si>
  <si>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</si>
  <si>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</si>
  <si>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</si>
  <si>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</si>
  <si>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</si>
  <si>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</si>
  <si>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</si>
  <si>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</si>
  <si>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</si>
  <si>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</si>
  <si>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</si>
  <si>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</si>
  <si>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</si>
  <si>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</si>
  <si>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</si>
  <si>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</si>
  <si>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</si>
  <si>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</si>
  <si>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</si>
  <si>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</si>
  <si>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</si>
  <si>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</si>
  <si>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</si>
  <si>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</si>
  <si>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</si>
  <si>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</si>
  <si>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</si>
  <si>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</si>
  <si>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</si>
  <si>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</si>
  <si>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</si>
  <si>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</si>
  <si>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</si>
  <si>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</si>
  <si>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</si>
  <si>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</si>
  <si>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</si>
  <si>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</si>
  <si>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</si>
  <si>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</si>
  <si>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</si>
  <si>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</si>
  <si>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</si>
  <si>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</si>
  <si>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</si>
  <si>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</si>
  <si>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</si>
  <si>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</si>
  <si>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</si>
  <si>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</si>
  <si>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</si>
  <si>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</si>
  <si>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</si>
  <si>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</si>
  <si>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</si>
  <si>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</si>
  <si>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</si>
  <si>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</si>
  <si>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</si>
  <si>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</si>
  <si>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</si>
  <si>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</si>
  <si>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</si>
  <si>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</si>
  <si>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</si>
  <si>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</si>
  <si>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</si>
  <si>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</si>
  <si>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</si>
  <si>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</si>
  <si>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</si>
  <si>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</si>
  <si>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</si>
  <si>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</si>
  <si>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</si>
  <si>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</si>
  <si>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</si>
  <si>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</si>
  <si>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</si>
  <si>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</si>
  <si>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</si>
  <si>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</si>
  <si>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</si>
  <si>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</si>
  <si>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</si>
  <si>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</si>
  <si>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</si>
  <si>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</si>
  <si>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</si>
  <si>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</si>
  <si>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</si>
  <si>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</si>
  <si>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</si>
  <si>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</si>
  <si>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</si>
  <si>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</si>
  <si>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</si>
  <si>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</si>
  <si>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</si>
  <si>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</si>
  <si>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</si>
  <si>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</si>
  <si>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</si>
  <si>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</si>
  <si>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</si>
  <si>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</si>
  <si>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</si>
  <si>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</si>
  <si>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</si>
  <si>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</si>
  <si>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</si>
  <si>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</si>
  <si>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</si>
  <si>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</si>
  <si>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</si>
  <si>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</si>
  <si>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</si>
  <si>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</si>
  <si>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</si>
  <si>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</si>
  <si>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</si>
  <si>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</si>
  <si>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</si>
  <si>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</si>
  <si>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</si>
  <si>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</si>
  <si>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</si>
  <si>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</si>
  <si>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</si>
  <si>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</si>
  <si>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</si>
  <si>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</si>
  <si>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</si>
  <si>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</si>
  <si>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</si>
  <si>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</si>
  <si>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</si>
  <si>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</si>
  <si>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</si>
  <si>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</si>
  <si>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</si>
  <si>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</si>
  <si>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</si>
  <si>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</si>
  <si>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</si>
  <si>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</si>
  <si>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</si>
  <si>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</si>
  <si>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</si>
  <si>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</si>
  <si>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</si>
  <si>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</si>
  <si>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</si>
  <si>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</si>
  <si>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</si>
  <si>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</si>
  <si>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</si>
  <si>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</si>
  <si>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</si>
  <si>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</si>
  <si>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</si>
  <si>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</si>
  <si>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</si>
  <si>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</si>
  <si>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</si>
  <si>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</si>
  <si>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</si>
  <si>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</si>
  <si>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</si>
  <si>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</si>
  <si>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</si>
  <si>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</si>
  <si>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</si>
  <si>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</si>
  <si>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</si>
  <si>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</si>
  <si>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</si>
  <si>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</si>
  <si>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</si>
  <si>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</si>
  <si>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</si>
  <si>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</si>
  <si>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</si>
  <si>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</si>
  <si>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</si>
  <si>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</si>
  <si>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</si>
  <si>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</si>
  <si>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</si>
  <si>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</si>
  <si>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</si>
  <si>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</si>
  <si>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</si>
  <si>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</si>
  <si>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</si>
  <si>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</si>
  <si>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</si>
  <si>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</si>
  <si>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</si>
  <si>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</si>
  <si>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</si>
  <si>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</si>
  <si>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</si>
  <si>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</si>
  <si>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</si>
  <si>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</si>
  <si>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</si>
  <si>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</si>
  <si>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</si>
  <si>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</si>
  <si>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</si>
  <si>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</si>
  <si>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</si>
  <si>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</si>
  <si>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</si>
  <si>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</si>
  <si>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</si>
  <si>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</si>
  <si>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</si>
  <si>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</si>
  <si>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</si>
  <si>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</si>
  <si>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</si>
  <si>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</si>
  <si>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</si>
  <si>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</si>
  <si>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</si>
  <si>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</si>
  <si>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</si>
  <si>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</si>
  <si>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</si>
  <si>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</si>
  <si>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</si>
  <si>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</si>
  <si>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</si>
  <si>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</si>
  <si>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</si>
  <si>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</si>
  <si>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</si>
  <si>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</si>
  <si>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</si>
  <si>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</si>
  <si>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</si>
  <si>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</si>
  <si>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</si>
  <si>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</si>
  <si>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</si>
  <si>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</si>
  <si>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</si>
  <si>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</si>
  <si>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</si>
  <si>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</si>
  <si>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</si>
  <si>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</si>
  <si>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</si>
  <si>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</si>
  <si>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</si>
  <si>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</si>
  <si>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</si>
  <si>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</si>
  <si>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</si>
  <si>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</si>
  <si>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</si>
  <si>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</si>
  <si>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</si>
  <si>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</si>
  <si>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</si>
  <si>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</si>
  <si>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</si>
  <si>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</si>
  <si>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</si>
  <si>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</si>
  <si>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</si>
  <si>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</si>
  <si>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</si>
  <si>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</si>
  <si>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</si>
  <si>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</si>
  <si>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</si>
  <si>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</si>
  <si>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</si>
  <si>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</si>
  <si>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</si>
  <si>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</si>
  <si>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</si>
  <si>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</si>
  <si>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</si>
  <si>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</si>
  <si>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</si>
  <si>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</si>
  <si>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</si>
  <si>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</si>
  <si>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</si>
  <si>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</si>
  <si>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</si>
  <si>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</si>
  <si>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</si>
  <si>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</si>
  <si>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</si>
  <si>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</si>
  <si>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</si>
  <si>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</si>
  <si>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</si>
  <si>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</si>
  <si>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</si>
  <si>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</si>
  <si>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</si>
  <si>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</si>
  <si>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</si>
  <si>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</si>
  <si>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</si>
  <si>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</si>
  <si>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</si>
  <si>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</si>
  <si>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</si>
  <si>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</si>
  <si>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</si>
  <si>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</si>
  <si>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</si>
  <si>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</si>
  <si>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</si>
  <si>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</si>
  <si>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</si>
  <si>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</si>
  <si>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</si>
  <si>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</si>
  <si>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</si>
  <si>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</si>
  <si>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</si>
  <si>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</si>
  <si>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</si>
  <si>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</si>
  <si>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</si>
  <si>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</si>
  <si>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</si>
  <si>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</si>
  <si>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</si>
  <si>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</si>
  <si>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</si>
  <si>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</si>
  <si>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</si>
  <si>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</si>
  <si>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</si>
  <si>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</si>
  <si>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</si>
  <si>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</si>
  <si>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</si>
  <si>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</si>
  <si>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</si>
  <si>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</si>
  <si>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</si>
  <si>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</si>
  <si>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</si>
  <si>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</si>
  <si>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</si>
  <si>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</si>
  <si>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</si>
  <si>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</si>
  <si>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</si>
  <si>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</si>
  <si>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</si>
  <si>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</si>
  <si>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</si>
  <si>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</si>
  <si>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</si>
  <si>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</si>
  <si>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</si>
  <si>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</si>
  <si>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</si>
  <si>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</si>
  <si>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</si>
  <si>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</si>
  <si>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</si>
  <si>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</si>
  <si>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</si>
  <si>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</si>
  <si>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</si>
  <si>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</si>
  <si>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</si>
  <si>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</si>
  <si>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</si>
  <si>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</si>
  <si>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</si>
  <si>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</si>
  <si>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</si>
  <si>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</si>
  <si>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</si>
  <si>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</si>
  <si>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</si>
  <si>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</si>
  <si>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</si>
  <si>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</si>
  <si>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</si>
  <si>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</si>
  <si>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</si>
  <si>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</si>
  <si>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</si>
  <si>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</si>
  <si>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</si>
  <si>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</si>
  <si>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</si>
  <si>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</si>
  <si>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</si>
  <si>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</si>
  <si>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</si>
  <si>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</si>
  <si>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</si>
  <si>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</si>
  <si>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</si>
  <si>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</si>
  <si>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</si>
  <si>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</si>
  <si>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</si>
  <si>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</si>
  <si>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</si>
  <si>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</si>
  <si>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</si>
  <si>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</si>
  <si>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</si>
  <si>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</si>
  <si>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</si>
  <si>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</si>
  <si>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</si>
  <si>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</si>
  <si>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</si>
  <si>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</si>
  <si>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</si>
  <si>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</si>
  <si>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</si>
  <si>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</si>
  <si>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</si>
  <si>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</si>
  <si>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</si>
  <si>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</si>
  <si>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</si>
  <si>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</si>
  <si>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</si>
  <si>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</si>
  <si>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</si>
  <si>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</si>
  <si>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</si>
  <si>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</si>
  <si>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</si>
  <si>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</si>
  <si>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</si>
  <si>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</si>
  <si>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</si>
  <si>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</si>
  <si>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</si>
  <si>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</si>
  <si>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</si>
  <si>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</si>
  <si>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</si>
  <si>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</si>
  <si>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</si>
  <si>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</si>
  <si>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</si>
  <si>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</si>
  <si>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</si>
  <si>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</si>
  <si>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</si>
  <si>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</si>
  <si>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</si>
  <si>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</si>
  <si>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</si>
  <si>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</si>
  <si>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</si>
  <si>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</si>
  <si>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</si>
  <si>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</si>
  <si>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</si>
  <si>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</si>
  <si>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</si>
  <si>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</si>
  <si>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</si>
  <si>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</si>
  <si>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</si>
  <si>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</si>
  <si>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</si>
  <si>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</si>
  <si>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</si>
  <si>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</si>
  <si>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</si>
  <si>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</si>
  <si>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</si>
  <si>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</si>
  <si>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</si>
  <si>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</si>
  <si>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</si>
  <si>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</si>
  <si>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</si>
  <si>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</si>
  <si>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</si>
  <si>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</si>
  <si>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</si>
  <si>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</si>
  <si>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</si>
  <si>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</si>
  <si>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</si>
  <si>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</si>
  <si>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</si>
  <si>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</si>
  <si>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</si>
  <si>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</si>
  <si>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</si>
  <si>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</si>
  <si>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</si>
  <si>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</si>
  <si>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</si>
  <si>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</si>
  <si>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</si>
  <si>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</si>
  <si>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</si>
  <si>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</si>
  <si>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</si>
  <si>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</si>
  <si>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</si>
  <si>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</si>
  <si>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</si>
  <si>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</si>
  <si>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</si>
  <si>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</si>
  <si>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</si>
  <si>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</si>
  <si>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</si>
  <si>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</si>
  <si>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</si>
  <si>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</si>
  <si>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</si>
  <si>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</si>
  <si>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</si>
  <si>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</si>
  <si>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</si>
  <si>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</si>
  <si>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</si>
  <si>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</si>
  <si>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</si>
  <si>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</si>
  <si>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</si>
  <si>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</si>
  <si>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</si>
  <si>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</si>
  <si>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</si>
  <si>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</si>
  <si>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</si>
  <si>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</si>
  <si>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</si>
  <si>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</si>
  <si>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</si>
  <si>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</si>
  <si>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</si>
  <si>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</si>
  <si>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</si>
  <si>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</si>
  <si>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</si>
  <si>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</si>
  <si>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</si>
  <si>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</si>
  <si>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</si>
  <si>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</si>
  <si>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</si>
  <si>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</si>
  <si>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</si>
  <si>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不临街</t>
  </si>
  <si>
    <t>自定义</t>
  </si>
  <si>
    <t>企业</t>
  </si>
  <si>
    <t>不临65条商业街</t>
  </si>
  <si>
    <t>容积率修正</t>
  </si>
  <si>
    <t>平整</t>
  </si>
  <si>
    <t>全部缴纳</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</si>
  <si>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</si>
  <si>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</si>
  <si>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</si>
  <si>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</si>
  <si>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</si>
  <si>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</si>
  <si>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</si>
  <si>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</si>
  <si>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</si>
  <si>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</si>
  <si>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</si>
  <si>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</si>
  <si>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</si>
  <si>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</si>
  <si>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成交土地单价(元/㎡)</t>
  </si>
  <si>
    <t>成交每亩价(万元/亩)</t>
  </si>
  <si>
    <t>成交楼面价(元/㎡)</t>
  </si>
  <si>
    <t>溢价率(%)</t>
  </si>
  <si>
    <t>出让年限(年)</t>
  </si>
  <si>
    <t xml:space="preserve">-- </t>
  </si>
  <si>
    <t xml:space="preserve"> 已成交 </t>
  </si>
  <si>
    <t xml:space="preserve"> 40年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</si>
  <si>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</si>
  <si>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</si>
  <si>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</si>
  <si>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</si>
  <si>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</si>
  <si>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</si>
  <si>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</si>
  <si>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其他：</t>
  </si>
  <si>
    <r>
      <t xml:space="preserve">  </t>
    </r>
    <r>
      <rPr>
        <sz val="11"/>
        <color indexed="8"/>
        <rFont val="宋体"/>
        <family val="3"/>
        <charset val="134"/>
      </rPr>
      <t>海港区：设区市住宅</t>
    </r>
    <r>
      <rPr>
        <sz val="11"/>
        <color indexed="8"/>
        <rFont val="Arial"/>
        <family val="2"/>
      </rPr>
      <t>148</t>
    </r>
    <r>
      <rPr>
        <sz val="11"/>
        <color indexed="8"/>
        <rFont val="宋体"/>
        <family val="3"/>
        <charset val="134"/>
      </rPr>
      <t>元</t>
    </r>
    <r>
      <rPr>
        <sz val="11"/>
        <color indexed="8"/>
        <rFont val="Arial"/>
        <family val="2"/>
      </rPr>
      <t>/</t>
    </r>
    <r>
      <rPr>
        <sz val="11"/>
        <color indexed="8"/>
        <rFont val="宋体"/>
        <family val="3"/>
        <charset val="134"/>
      </rPr>
      <t>平方米，非住宅</t>
    </r>
    <r>
      <rPr>
        <sz val="11"/>
        <color indexed="8"/>
        <rFont val="Arial"/>
        <family val="2"/>
      </rPr>
      <t>97</t>
    </r>
    <r>
      <rPr>
        <sz val="11"/>
        <color indexed="8"/>
        <rFont val="宋体"/>
        <family val="3"/>
        <charset val="134"/>
      </rPr>
      <t>元</t>
    </r>
    <r>
      <rPr>
        <sz val="11"/>
        <color indexed="8"/>
        <rFont val="Arial"/>
        <family val="2"/>
      </rPr>
      <t>/</t>
    </r>
    <r>
      <rPr>
        <sz val="11"/>
        <color indexed="8"/>
        <rFont val="宋体"/>
        <family val="3"/>
        <charset val="134"/>
      </rPr>
      <t>平方米</t>
    </r>
    <phoneticPr fontId="3" type="noConversion"/>
  </si>
  <si>
    <t>区县</t>
  </si>
  <si>
    <t>土地位置</t>
  </si>
  <si>
    <t>商业比例(%)</t>
  </si>
  <si>
    <t>截止时间</t>
  </si>
  <si>
    <t>开发区金山北路以西</t>
  </si>
  <si>
    <t>秦皇岛市</t>
  </si>
  <si>
    <t>K2024-1</t>
  </si>
  <si>
    <t xml:space="preserve"> 海港区 </t>
  </si>
  <si>
    <t xml:space="preserve"> 开发区金山北路以西 </t>
  </si>
  <si>
    <t xml:space="preserve"> 商业/办公用地 </t>
  </si>
  <si>
    <t xml:space="preserve"> &lt;4.000 </t>
  </si>
  <si>
    <t xml:space="preserve"> 挂牌 </t>
  </si>
  <si>
    <t xml:space="preserve"> 其他商服用地 </t>
  </si>
  <si>
    <t xml:space="preserve"> -- </t>
  </si>
  <si>
    <t xml:space="preserve"> 河北绿一色房地产有限公司  </t>
  </si>
  <si>
    <t>海港区纬一路以南、宁静山路以西</t>
  </si>
  <si>
    <t>2023-26</t>
  </si>
  <si>
    <t xml:space="preserve"> 海港区纬一路以南、宁静山路以西 </t>
  </si>
  <si>
    <t xml:space="preserve"> &lt;2.500 </t>
  </si>
  <si>
    <t xml:space="preserve"> 秦皇岛明曦房地产开发有限公司  </t>
  </si>
  <si>
    <t>海港区迎宾路以东、规划一路以北、规划二路以南</t>
  </si>
  <si>
    <t>2023-20</t>
  </si>
  <si>
    <t xml:space="preserve"> 海港区迎宾路以东、规划一路以北、规划二路以南 </t>
  </si>
  <si>
    <t xml:space="preserve"> 1.000≤ 并且 &lt;3.500 </t>
  </si>
  <si>
    <t xml:space="preserve"> 秦皇岛绿地房地产开发有限公司  </t>
  </si>
  <si>
    <t>东、南、北均至规划绿线;西至用地范围线。</t>
  </si>
  <si>
    <t>2023-31</t>
  </si>
  <si>
    <t xml:space="preserve"> 东、南、北均至规划绿线;西至用地范围线。 </t>
  </si>
  <si>
    <t xml:space="preserve"> &lt;0.400 </t>
  </si>
  <si>
    <t xml:space="preserve"> 旅馆用地 </t>
  </si>
  <si>
    <t xml:space="preserve"> 秦皇岛绎康房地产开发有限公司  </t>
  </si>
  <si>
    <t>东至祖山连接线;南、西、北均至用地范围线</t>
  </si>
  <si>
    <t>2023-32</t>
  </si>
  <si>
    <t xml:space="preserve"> 东至祖山连接线;南、西、北均至用地范围线 </t>
  </si>
  <si>
    <t>开发区峨眉山路以西、黑龙江道以北</t>
  </si>
  <si>
    <t>K2023-8</t>
  </si>
  <si>
    <t xml:space="preserve"> 开发区峨眉山路以西、黑龙江道以北 </t>
  </si>
  <si>
    <t xml:space="preserve"> &lt;1.500 </t>
  </si>
  <si>
    <t xml:space="preserve"> 秦皇岛兴龙房地产集团有限公司 、秦皇岛中秦渤海轮毂有限公司  </t>
  </si>
  <si>
    <t>南至兴茂街规划绿线,东至兴澄路规划绿线,西至规划范围线,北至规划范围线</t>
  </si>
  <si>
    <t>2023-13</t>
  </si>
  <si>
    <t xml:space="preserve"> 南至兴茂街规划绿线,东至兴澄路规划绿线,西至规划范围线,北至规划范围线 </t>
  </si>
  <si>
    <t xml:space="preserve"> ≤2.300 </t>
  </si>
  <si>
    <t xml:space="preserve"> 商务金融用地 </t>
  </si>
  <si>
    <t xml:space="preserve"> 秦皇岛阡越房地产开发有限公司  </t>
  </si>
  <si>
    <t>海港区河北大街以北、文体路以东</t>
  </si>
  <si>
    <t>2022-09</t>
  </si>
  <si>
    <t xml:space="preserve"> 海港区河北大街以北、文体路以东 </t>
  </si>
  <si>
    <t xml:space="preserve"> 小于0.3 </t>
  </si>
  <si>
    <t xml:space="preserve"> 零售商业用地 </t>
  </si>
  <si>
    <t xml:space="preserve"> 秦皇岛市泽惠保障性安居工程建设开发有限公司  </t>
  </si>
  <si>
    <t>海港区河滨路以北、文育路以西</t>
  </si>
  <si>
    <t>2022-01</t>
  </si>
  <si>
    <t xml:space="preserve"> 海港区河滨路以北、文育路以西 </t>
  </si>
  <si>
    <t xml:space="preserve"> 小于3.7 </t>
  </si>
  <si>
    <t xml:space="preserve"> 秦皇岛市北戴河旅游建设开发公司  </t>
  </si>
  <si>
    <t>西部快速路以北、南岭路以东</t>
  </si>
  <si>
    <t>2021-17</t>
  </si>
  <si>
    <t xml:space="preserve"> 西部快速路以北、南岭路以东 </t>
  </si>
  <si>
    <t xml:space="preserve"> 小于2.2 </t>
  </si>
  <si>
    <t xml:space="preserve"> 秦皇岛迈富房地产开发有限公司  </t>
  </si>
  <si>
    <t>海龙街以南、北大街以西、规划河道以东</t>
  </si>
  <si>
    <t>2021-21</t>
  </si>
  <si>
    <t xml:space="preserve"> 海龙街以南、北大街以西、规划河道以东 </t>
  </si>
  <si>
    <t xml:space="preserve"> 小于1.5 </t>
  </si>
  <si>
    <t xml:space="preserve"> 秦皇岛众融房地产开发有限公司  </t>
  </si>
  <si>
    <t>东港路以东、北二环以南、规划兴电路以西、规划二路以北</t>
  </si>
  <si>
    <t>2021-13</t>
  </si>
  <si>
    <t xml:space="preserve"> 东港路以东、北二环以南、规划兴电路以西、规划二路以北 </t>
  </si>
  <si>
    <t xml:space="preserve"> 秦皇岛拓鸿贸易有限公司  </t>
  </si>
  <si>
    <t>民族北路以西、北二环以北</t>
  </si>
  <si>
    <t>2021-09</t>
  </si>
  <si>
    <t xml:space="preserve"> 民族北路以西、北二环以北 </t>
  </si>
  <si>
    <t xml:space="preserve"> 小于0.4 </t>
  </si>
  <si>
    <t xml:space="preserve"> 秦皇岛增春能源科技发展有限公司  </t>
  </si>
  <si>
    <t>揽月街以南、规划路以北、红旗北路以东</t>
  </si>
  <si>
    <t>2021-08</t>
  </si>
  <si>
    <t xml:space="preserve"> 揽月街以南、规划路以北、红旗北路以东 </t>
  </si>
  <si>
    <t xml:space="preserve"> 小于2 </t>
  </si>
  <si>
    <t xml:space="preserve"> 秦皇岛丰渺科技发展有限公司  </t>
  </si>
  <si>
    <t>海港区下平山村、石门寨连接线以北</t>
  </si>
  <si>
    <t>2021-07</t>
  </si>
  <si>
    <t xml:space="preserve"> 海港区下平山村、石门寨连接线以北 </t>
  </si>
  <si>
    <t xml:space="preserve"> 秦皇岛北北能源销售有限公司  </t>
  </si>
  <si>
    <t>开发区祁连山路以西、渤海道以南</t>
  </si>
  <si>
    <t>K2021-4</t>
  </si>
  <si>
    <t xml:space="preserve"> 开发区祁连山路以西、渤海道以南 </t>
  </si>
  <si>
    <t xml:space="preserve"> 小于1.8 </t>
  </si>
  <si>
    <t xml:space="preserve"> 秦皇岛中鹏房地产开发有限公司  </t>
  </si>
  <si>
    <t>兴民街以南,兴澄路以东、规划支路以西</t>
  </si>
  <si>
    <t>2020-08</t>
  </si>
  <si>
    <t xml:space="preserve"> 兴民街以南,兴澄路以东、规划支路以西 </t>
  </si>
  <si>
    <t xml:space="preserve"> 秦皇岛兴桐房地产开发有限公司  </t>
  </si>
  <si>
    <t>海港区西部快速路以北、南岭东路以西</t>
  </si>
  <si>
    <t>4417.25-515.25</t>
  </si>
  <si>
    <t xml:space="preserve"> 海港区西部快速路以北、南岭东路以西 </t>
  </si>
  <si>
    <t xml:space="preserve"> 小于3.5 </t>
  </si>
  <si>
    <t xml:space="preserve"> 秦皇岛市金岳房地产开发有限公司  </t>
  </si>
  <si>
    <t>海港区西部快速路以北、规划法云寺东路以东</t>
  </si>
  <si>
    <t>4416.50-514.25</t>
  </si>
  <si>
    <t xml:space="preserve"> 海港区西部快速路以北、规划法云寺东路以东 </t>
  </si>
  <si>
    <t xml:space="preserve"> 秦皇岛坤银能源有限公司  </t>
  </si>
  <si>
    <t>开发区天池路以西</t>
  </si>
  <si>
    <t>K2020-1</t>
  </si>
  <si>
    <t xml:space="preserve"> 开发区天池路以西 </t>
  </si>
  <si>
    <t xml:space="preserve"> 小于或等于1 </t>
  </si>
  <si>
    <t xml:space="preserve"> 秦皇岛市泰盛能源管理有限公司  </t>
  </si>
  <si>
    <t>开发区牡丹江道以南、金山北路以西</t>
  </si>
  <si>
    <t>K2020-2</t>
  </si>
  <si>
    <t xml:space="preserve"> 开发区牡丹江道以南、金山北路以西 </t>
  </si>
  <si>
    <t xml:space="preserve"> 小于4 </t>
  </si>
  <si>
    <t xml:space="preserve"> 孙国洋 、周耀兴  </t>
  </si>
  <si>
    <t>新102国道以南、民族北路以西、规划路以北</t>
  </si>
  <si>
    <t>2019-12</t>
  </si>
  <si>
    <t xml:space="preserve"> 新102国道以南、民族北路以西、规划路以北 </t>
  </si>
  <si>
    <t xml:space="preserve"> 秦皇岛海发房地产经纪公司  </t>
  </si>
  <si>
    <t>西至规划路道路红线;南、北、东至规划用地范围线</t>
  </si>
  <si>
    <t>2019-16</t>
  </si>
  <si>
    <t xml:space="preserve"> 西至规划路道路红线;南、北、东至规划用地范围线 </t>
  </si>
  <si>
    <t xml:space="preserve"> 小于0.5 </t>
  </si>
  <si>
    <t xml:space="preserve"> 青龙满族自治县祖山新绎旅游发展有限公司  </t>
  </si>
  <si>
    <t>南至祖山连接线道路红线和规划用地范围线;东至规划路道路红线;西、北至规划用地范围线</t>
  </si>
  <si>
    <t>2019-15</t>
  </si>
  <si>
    <t xml:space="preserve"> 南至祖山连接线道路红线和规划用地范围线;东至规划路道路红线;西、北至规划用地范围线 </t>
  </si>
  <si>
    <t>规划北大街以东、海宝路以西、海天街以南、海安街以北</t>
  </si>
  <si>
    <t>2019-08</t>
  </si>
  <si>
    <t xml:space="preserve"> 规划北大街以东、海宝路以西、海天街以南、海安街以北 </t>
  </si>
  <si>
    <t xml:space="preserve"> 大于1并且小于1.5 </t>
  </si>
  <si>
    <t>用地范围线以东、海泰东街以南、滨河大道以西、海天街以北</t>
  </si>
  <si>
    <t>2019-09</t>
  </si>
  <si>
    <t xml:space="preserve"> 用地范围线以东、海泰东街以南、滨河大道以西、海天街以北 </t>
  </si>
  <si>
    <t>承秦出海路复线以东、圆明山大街以南、规划支十八路以西、规划支十四路以北</t>
  </si>
  <si>
    <t>2019-01</t>
  </si>
  <si>
    <t xml:space="preserve"> 承秦出海路复线以东、圆明山大街以南、规划支十八路以西、规划支十四路以北 </t>
  </si>
  <si>
    <t xml:space="preserve"> 小于0.7 </t>
  </si>
  <si>
    <t xml:space="preserve"> 秦皇岛润地房地产开发有限公司  </t>
  </si>
  <si>
    <t>承秦出海路复线以东、规划支十四路以南、规划支十八路以西、规划绿地以北</t>
  </si>
  <si>
    <t>2019-04</t>
  </si>
  <si>
    <t xml:space="preserve"> 承秦出海路复线以东、规划支十四路以南、规划支十八路以西、规划绿地以北 </t>
  </si>
  <si>
    <t xml:space="preserve"> 秦皇岛润地房地产开有限公司  </t>
  </si>
  <si>
    <t>规划海宝路以东、规划海天街以南、规划滨河大道以西、规划海安街以北</t>
  </si>
  <si>
    <t>2018-21</t>
  </si>
  <si>
    <t xml:space="preserve"> 规划海宝路以东、规划海天街以南、规划滨河大道以西、规划海安街以北 </t>
  </si>
  <si>
    <t xml:space="preserve"> &lt;3.5 </t>
  </si>
  <si>
    <t xml:space="preserve"> 住宿餐饮用地 </t>
  </si>
  <si>
    <t>海港区驻操营镇板厂峪村</t>
  </si>
  <si>
    <t>2018-19</t>
  </si>
  <si>
    <t xml:space="preserve"> 海港区驻操营镇板厂峪村 </t>
  </si>
  <si>
    <t xml:space="preserve"> &lt;0.1 </t>
  </si>
  <si>
    <t xml:space="preserve"> 旅投秦皇岛旅游开发有限公司  </t>
  </si>
  <si>
    <t>楼面地价</t>
  </si>
  <si>
    <t>工业项目</t>
  </si>
  <si>
    <t>仓储</t>
    <phoneticPr fontId="7" type="noConversion"/>
  </si>
  <si>
    <t>与级别开发程度不一致</t>
  </si>
  <si>
    <t>收益法</t>
  </si>
  <si>
    <t>成本法</t>
  </si>
  <si>
    <t>砖混</t>
  </si>
  <si>
    <r>
      <t>1-5</t>
    </r>
    <r>
      <rPr>
        <sz val="10"/>
        <color indexed="8"/>
        <rFont val="宋体"/>
        <family val="3"/>
        <charset val="134"/>
      </rPr>
      <t>层</t>
    </r>
    <phoneticPr fontId="3" type="noConversion"/>
  </si>
  <si>
    <t>混合</t>
    <phoneticPr fontId="3" type="noConversion"/>
  </si>
  <si>
    <t>平房</t>
    <phoneticPr fontId="3" type="noConversion"/>
  </si>
  <si>
    <t>钢混</t>
    <phoneticPr fontId="3" type="noConversion"/>
  </si>
  <si>
    <t>结构</t>
    <phoneticPr fontId="3" type="noConversion"/>
  </si>
  <si>
    <t>成新度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</si>
</sst>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49" fontId="109" fillId="2" borderId="10" xfId="0"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100" fillId="2" borderId="24" xfId="0"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10" fontId="113" fillId="0"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153087</xdr:colOff>
      <xdr:row>30</xdr:row>
      <xdr:rowOff>133959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7748239" cy="53520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估价对象为房地产，为所有。根据《国有土地使用证》[]，估价对象（分摊）出让国有建设用地使用权面积为38090.49平方米，建筑面积为9908.9平方米。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估价对象为房地产,属开发建设的工业项目，该项目尚在开发建设中。根据《国有土地使用证》[]，估价对象（分摊）出让国有建设用地使用权面积为38090.49平方米，规划建筑面积为9908.9平方米。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2024年6月6日</v>
      </c>
    </row>
    <row r="13" spans="1:2" s="1201" customFormat="1">
      <c r="A13" s="1199" t="s">
        <v>529</v>
      </c>
      <c r="B13" s="1200"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17217</v>
      </c>
    </row>
    <row r="21" spans="1:2" s="1201" customFormat="1">
      <c r="A21" s="1199" t="s">
        <v>537</v>
      </c>
      <c r="B21" s="1200">
        <f ca="1">'预评函-2'!D7</f>
        <v>17375</v>
      </c>
    </row>
    <row r="22" spans="1:2" s="1201" customFormat="1">
      <c r="A22" s="1199" t="s">
        <v>538</v>
      </c>
      <c r="B22" s="1200" t="str">
        <f ca="1">'预评函-2'!D6</f>
        <v>壹亿柒仟贰佰壹拾柒万元整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17217</v>
      </c>
    </row>
    <row r="31" spans="1:2" s="1201" customFormat="1">
      <c r="A31" s="1199" t="s">
        <v>576</v>
      </c>
      <c r="B31" s="1200">
        <f ca="1">'预评函-2'!D15</f>
        <v>17375</v>
      </c>
    </row>
    <row r="32" spans="1:2" s="1201" customFormat="1">
      <c r="A32" s="1199" t="s">
        <v>543</v>
      </c>
      <c r="B32" s="1200" t="str">
        <f ca="1">'预评函-2'!D14</f>
        <v>壹亿柒仟贰佰壹拾柒万元整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9908.9000000000015</v>
      </c>
    </row>
    <row r="44" spans="1:2" s="1201" customFormat="1">
      <c r="A44" s="1199" t="s">
        <v>575</v>
      </c>
      <c r="B44" s="1200" t="str">
        <f>'预评函-3'!C2</f>
        <v>(分摊)土地面积</v>
      </c>
    </row>
    <row r="45" spans="1:2" s="1201" customFormat="1">
      <c r="A45" s="1199" t="s">
        <v>547</v>
      </c>
      <c r="B45" s="1200">
        <f>'预评函-3'!C4</f>
        <v>38090.49</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2580</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2581</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499" t="s">
        <v>2583</v>
      </c>
      <c r="J2" s="3499"/>
      <c r="K2" s="3499"/>
      <c r="L2" s="3499"/>
      <c r="M2" s="3499"/>
      <c r="N2" s="3499"/>
      <c r="O2" s="3499"/>
      <c r="P2" s="3499"/>
      <c r="Q2" s="3499"/>
      <c r="R2" s="3499"/>
    </row>
    <row r="3" spans="1:18">
      <c r="A3" s="3017" t="s">
        <v>2504</v>
      </c>
      <c r="B3" s="3018">
        <f>项目基本情况!D3</f>
        <v>45449</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2.5299999999999998</v>
      </c>
      <c r="D5" s="3022">
        <f>IF(ISERROR(ROUND(POWER(1+E5,A5-C5)*(POWER(1+E5,C5)-1)/(POWER(1+E5,A5)-1),3)),0,ROUND(POWER(1+E5,A5-C5)*(POWER(1+E5,C5)-1)/(POWER(1+E5,A5)-1),4))</f>
        <v>0.1193</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12.54</v>
      </c>
      <c r="D6" s="3022">
        <f>IF(ISERROR(ROUND(POWER(1+E6,A6-C6)*(POWER(1+E6,C6)-1)/(POWER(1+E6,A6)-1),3)),0,ROUND(POWER(1+E6,A6-C6)*(POWER(1+E6,C6)-1)/(POWER(1+E6,A6)-1),4))</f>
        <v>0.4521</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32.549999999999997</v>
      </c>
      <c r="D7" s="3022">
        <f>IF(ISERROR(ROUND(POWER(1+E7,A7-C7)*(POWER(1+E7,C7)-1)/(POWER(1+E7,A7)-1),3)),0,ROUND(POWER(1+E7,A7-C7)*(POWER(1+E7,C7)-1)/(POWER(1+E7,A7)-1),4))</f>
        <v>0.77049999999999996</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7" sqref="D47"/>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7"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房地产</v>
      </c>
      <c r="T2" s="1742"/>
      <c r="U2" s="1742"/>
      <c r="V2" s="1742"/>
      <c r="W2" s="1742"/>
      <c r="X2" s="1742"/>
      <c r="Y2" s="1742"/>
      <c r="Z2" s="1742"/>
      <c r="AA2" s="1742"/>
      <c r="AB2" s="1742"/>
    </row>
    <row r="3" spans="1:30">
      <c r="A3" s="302" t="s">
        <v>2169</v>
      </c>
      <c r="B3" s="2370"/>
      <c r="C3" s="2371" t="s">
        <v>2170</v>
      </c>
      <c r="D3" s="2370">
        <v>45449</v>
      </c>
      <c r="E3" s="2660"/>
      <c r="F3" s="2660"/>
      <c r="G3" s="2660"/>
      <c r="H3" s="2660"/>
      <c r="I3" s="2660"/>
      <c r="J3" s="2468"/>
      <c r="K3" s="2365"/>
      <c r="L3" s="2366"/>
      <c r="M3" s="2366"/>
      <c r="N3" s="2367"/>
      <c r="O3" s="1574"/>
      <c r="P3" s="2367"/>
      <c r="Q3" s="2367"/>
      <c r="R3" s="2367"/>
      <c r="S3" s="1680"/>
      <c r="T3" s="1742"/>
      <c r="U3" s="1742"/>
      <c r="V3" s="1742"/>
      <c r="W3" s="1742"/>
      <c r="X3" s="1742"/>
      <c r="Y3" s="1742"/>
      <c r="Z3" s="1742"/>
      <c r="AA3" s="1742"/>
      <c r="AB3" s="1742"/>
    </row>
    <row r="4" spans="1:30" ht="13.5" thickBot="1">
      <c r="A4" s="1089"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4"/>
      <c r="P4" s="2367"/>
      <c r="Q4" s="2367"/>
      <c r="R4" s="2367"/>
      <c r="S4" s="1680"/>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3378</v>
      </c>
      <c r="C8" s="2387"/>
      <c r="D8" s="3503" t="s">
        <v>2176</v>
      </c>
      <c r="E8" s="2388" t="s">
        <v>3382</v>
      </c>
      <c r="F8" s="2389"/>
      <c r="G8" s="2660"/>
      <c r="H8" s="2660"/>
      <c r="I8" s="2660"/>
      <c r="J8" s="2436"/>
      <c r="K8" s="2611"/>
      <c r="L8" s="2610"/>
      <c r="M8" s="2610"/>
      <c r="N8" s="2436"/>
      <c r="O8" s="2447"/>
      <c r="P8" s="2436"/>
      <c r="Q8" s="2436"/>
      <c r="R8" s="2436"/>
    </row>
    <row r="9" spans="1:30" ht="13.5" thickBot="1">
      <c r="A9" s="2390" t="s">
        <v>2177</v>
      </c>
      <c r="B9" s="2391" t="s">
        <v>3382</v>
      </c>
      <c r="C9" s="2392"/>
      <c r="D9" s="3504"/>
      <c r="E9" s="2391"/>
      <c r="F9" s="2393"/>
      <c r="G9" s="2662"/>
      <c r="H9" s="2662"/>
      <c r="I9" s="2662"/>
      <c r="J9" s="2436"/>
      <c r="K9" s="2613"/>
      <c r="L9" s="2610"/>
      <c r="M9" s="2610"/>
      <c r="N9" s="2436"/>
      <c r="O9" s="2447"/>
      <c r="P9" s="2436"/>
      <c r="Q9" s="2436"/>
      <c r="R9" s="2436"/>
    </row>
    <row r="10" spans="1:30" ht="13.5" thickTop="1">
      <c r="A10" s="2394" t="s">
        <v>2178</v>
      </c>
      <c r="B10" s="2395" t="s">
        <v>3477</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3443</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2"/>
    </row>
    <row r="13" spans="1:30">
      <c r="A13" s="3420" t="s">
        <v>3335</v>
      </c>
      <c r="B13" s="2404" t="s">
        <v>2189</v>
      </c>
      <c r="C13" s="855"/>
      <c r="D13" s="855"/>
      <c r="E13" s="855"/>
      <c r="F13" s="855"/>
      <c r="G13" s="855">
        <v>59384</v>
      </c>
      <c r="H13" s="855">
        <f>G13</f>
        <v>59384</v>
      </c>
      <c r="I13" s="855"/>
      <c r="J13" s="3059"/>
      <c r="K13" s="2610"/>
      <c r="L13" s="2610"/>
      <c r="M13" s="2436"/>
      <c r="N13" s="2447"/>
      <c r="O13" s="2436"/>
      <c r="P13" s="2436"/>
      <c r="Q13" s="2436"/>
      <c r="AD13" s="1742"/>
    </row>
    <row r="14" spans="1:30">
      <c r="A14" s="1080"/>
      <c r="B14" s="2404" t="s">
        <v>2190</v>
      </c>
      <c r="C14" s="2405"/>
      <c r="D14" s="2405"/>
      <c r="E14" s="2405"/>
      <c r="F14" s="2405"/>
      <c r="G14" s="2405">
        <v>50</v>
      </c>
      <c r="H14" s="2405">
        <v>50</v>
      </c>
      <c r="I14" s="2405"/>
      <c r="J14" s="3060"/>
      <c r="K14" s="2610"/>
      <c r="L14" s="2610"/>
      <c r="M14" s="2436"/>
      <c r="N14" s="2447"/>
      <c r="O14" s="2436"/>
      <c r="P14" s="2436"/>
      <c r="Q14" s="2436"/>
      <c r="AD14" s="1742"/>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f>IF(A13="出让",IF(G13="","",ROUNDDOWN(MIN((G13-$D$3)/365,G14),2)),G14)</f>
        <v>38.17</v>
      </c>
      <c r="H15" s="2407">
        <f>IF(A13="出让",IF(H13="","",ROUNDDOWN(MIN((H13-$D$3)/365,H14),2)),H14)</f>
        <v>38.17</v>
      </c>
      <c r="I15" s="2407" t="str">
        <f>IF(A13="出让",IF(I13="","",ROUNDDOWN(MIN((I13-$D$3)/365,I14),2)),I14)</f>
        <v/>
      </c>
      <c r="J15" s="3061"/>
      <c r="K15" s="2448"/>
      <c r="L15" s="2448"/>
      <c r="M15" s="2506"/>
      <c r="N15" s="2448"/>
      <c r="O15" s="2506"/>
      <c r="P15" s="2436"/>
      <c r="Q15" s="2436"/>
      <c r="AD15" s="1742"/>
    </row>
    <row r="16" spans="1:30">
      <c r="A16" s="2397" t="s">
        <v>2192</v>
      </c>
      <c r="B16" s="3510"/>
      <c r="C16" s="3511"/>
      <c r="D16" s="3512"/>
      <c r="E16" s="2410" t="s">
        <v>2193</v>
      </c>
      <c r="F16" s="3513"/>
      <c r="G16" s="3514"/>
      <c r="H16" s="3514"/>
      <c r="I16" s="3515"/>
      <c r="J16" s="2436"/>
      <c r="K16" s="2614"/>
      <c r="L16" s="2448"/>
      <c r="M16" s="2448"/>
      <c r="N16" s="2506"/>
      <c r="O16" s="2448"/>
      <c r="P16" s="2506"/>
      <c r="Q16" s="2436"/>
      <c r="R16" s="2436"/>
    </row>
    <row r="17" spans="1:28">
      <c r="A17" s="313" t="s">
        <v>2194</v>
      </c>
      <c r="B17" s="302" t="s">
        <v>2195</v>
      </c>
      <c r="C17" s="8">
        <f>'数据-汇总表'!E3</f>
        <v>9908.9000000000015</v>
      </c>
      <c r="D17" s="2319" t="s">
        <v>2196</v>
      </c>
      <c r="E17" s="3516" t="s">
        <v>2197</v>
      </c>
      <c r="F17" s="3517"/>
      <c r="G17" s="3517"/>
      <c r="H17" s="3517"/>
      <c r="I17" s="3518"/>
      <c r="J17" s="2436"/>
      <c r="K17" s="2615"/>
      <c r="L17" s="2448"/>
      <c r="M17" s="2448"/>
      <c r="N17" s="2506"/>
      <c r="O17" s="2448"/>
      <c r="P17" s="2506"/>
      <c r="Q17" s="2436"/>
      <c r="R17" s="2436"/>
      <c r="S17" s="2436"/>
      <c r="T17" s="2436"/>
      <c r="U17" s="2436"/>
      <c r="V17" s="2436"/>
    </row>
    <row r="18" spans="1:28" ht="24.75" thickBot="1">
      <c r="A18" s="2411" t="s">
        <v>2198</v>
      </c>
      <c r="B18" s="1089" t="s">
        <v>2199</v>
      </c>
      <c r="C18" s="2412">
        <f>'数据-汇总表'!D3</f>
        <v>38090.49</v>
      </c>
      <c r="D18" s="1091" t="s">
        <v>2200</v>
      </c>
      <c r="E18" s="3519" t="s">
        <v>2201</v>
      </c>
      <c r="F18" s="3520"/>
      <c r="G18" s="3520"/>
      <c r="H18" s="3520"/>
      <c r="I18" s="3521"/>
      <c r="J18" s="2436"/>
      <c r="K18" s="2615"/>
      <c r="L18" s="2448"/>
      <c r="M18" s="2448"/>
      <c r="N18" s="2506"/>
      <c r="O18" s="2448"/>
      <c r="P18" s="2506"/>
      <c r="Q18" s="2436"/>
      <c r="R18" s="2436"/>
      <c r="S18" s="2436"/>
      <c r="T18" s="2436"/>
      <c r="U18" s="2436"/>
      <c r="V18" s="2436"/>
    </row>
    <row r="19" spans="1:28" ht="37.5" thickTop="1" thickBot="1">
      <c r="A19" s="327" t="s">
        <v>1055</v>
      </c>
      <c r="B19" s="307"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06" t="s">
        <v>2205</v>
      </c>
      <c r="C20" s="3507"/>
      <c r="D20" s="3508" t="s">
        <v>2206</v>
      </c>
      <c r="E20" s="3509"/>
      <c r="F20" s="2644" t="s">
        <v>1056</v>
      </c>
      <c r="G20" s="2661"/>
      <c r="H20" s="2661"/>
      <c r="I20" s="2661"/>
      <c r="J20" s="2436"/>
      <c r="K20" s="350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6" t="s">
        <v>2209</v>
      </c>
      <c r="E21" s="2632" t="s">
        <v>1057</v>
      </c>
      <c r="F21" s="2645"/>
      <c r="G21" s="2661">
        <v>2015</v>
      </c>
      <c r="H21" s="2661"/>
      <c r="I21" s="2661"/>
      <c r="J21" s="2436"/>
      <c r="K21" s="350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f>2024-G21</f>
        <v>9</v>
      </c>
      <c r="H22" s="2661"/>
      <c r="I22" s="2661"/>
      <c r="J22" s="2436"/>
      <c r="K22" s="350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f>40-(G22+'数据-取费表'!B20)</f>
        <v>30</v>
      </c>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3" t="s">
        <v>2213</v>
      </c>
      <c r="B27" s="320" t="s">
        <v>2214</v>
      </c>
      <c r="C27" s="2413" t="s">
        <v>3630</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3"/>
      <c r="B28" s="302" t="s">
        <v>2215</v>
      </c>
      <c r="C28" s="2415" t="s">
        <v>3383</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3"/>
      <c r="B29" s="302" t="s">
        <v>2216</v>
      </c>
      <c r="C29" s="2417" t="s">
        <v>3384</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4"/>
      <c r="B30" s="302" t="s">
        <v>2217</v>
      </c>
      <c r="C30" s="3525"/>
      <c r="D30" s="3526"/>
      <c r="E30" s="2661"/>
      <c r="F30" s="2661"/>
      <c r="G30" s="2661"/>
      <c r="H30" s="2661"/>
      <c r="I30" s="2661"/>
      <c r="J30" s="2436"/>
      <c r="K30" s="2613"/>
      <c r="L30" s="2610"/>
      <c r="M30" s="2610"/>
      <c r="N30" s="2436"/>
      <c r="O30" s="2447"/>
      <c r="P30" s="2436"/>
      <c r="Q30" s="2436"/>
      <c r="R30" s="2436"/>
      <c r="S30" s="2436"/>
      <c r="T30" s="2436"/>
      <c r="U30" s="2436"/>
      <c r="V30" s="2436"/>
    </row>
    <row r="31" spans="1:28">
      <c r="A31" s="3527" t="s">
        <v>2218</v>
      </c>
      <c r="B31" s="2419" t="s">
        <v>3385</v>
      </c>
      <c r="C31" s="2320"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28"/>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28"/>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t="s">
        <v>3386</v>
      </c>
      <c r="C34" s="2023" t="s">
        <v>3387</v>
      </c>
      <c r="D34" s="2023" t="s">
        <v>3388</v>
      </c>
      <c r="E34" s="2023" t="s">
        <v>3389</v>
      </c>
      <c r="F34" s="2023" t="s">
        <v>3390</v>
      </c>
      <c r="G34" s="2023"/>
      <c r="H34" s="2023"/>
      <c r="I34" s="2661"/>
      <c r="J34" s="2436"/>
      <c r="K34" s="2424">
        <f>COUNTIF(B34:H34,"——")</f>
        <v>0</v>
      </c>
      <c r="L34" s="323" t="s">
        <v>2220</v>
      </c>
      <c r="M34" s="323" t="s">
        <v>2221</v>
      </c>
      <c r="N34" s="323" t="s">
        <v>2222</v>
      </c>
      <c r="O34" s="323" t="s">
        <v>2223</v>
      </c>
      <c r="P34" s="323" t="s">
        <v>2224</v>
      </c>
      <c r="Q34" s="323" t="s">
        <v>2225</v>
      </c>
      <c r="R34" s="323" t="s">
        <v>2226</v>
      </c>
      <c r="S34" s="3522" t="s">
        <v>2227</v>
      </c>
      <c r="T34" s="2425" t="str">
        <f>NUMBERSTRING(7-K34,1)&amp;"通"</f>
        <v>七通</v>
      </c>
      <c r="U34" s="2436"/>
      <c r="V34" s="2436"/>
    </row>
    <row r="35" spans="1:30">
      <c r="A35" s="2426"/>
      <c r="B35" s="3529" t="s">
        <v>2228</v>
      </c>
      <c r="C35" s="3529"/>
      <c r="D35" s="3529"/>
      <c r="E35" s="3529"/>
      <c r="F35" s="663">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2"/>
      <c r="T35" s="329" t="str">
        <f>IF(T34="一通",L35,IF(T34="二通",M35,IF(T34="三通",N35,IF(T34="四通",O35,IF(T34="五通",P35,IF(T34="六通",Q35,R35))))))</f>
        <v>通路、通电、通讯、通上水、通下水、、</v>
      </c>
      <c r="U35" s="2436"/>
      <c r="V35" s="2436"/>
    </row>
    <row r="36" spans="1:30">
      <c r="A36" s="2427"/>
      <c r="B36" s="663" t="s">
        <v>2184</v>
      </c>
      <c r="C36" s="663" t="s">
        <v>2185</v>
      </c>
      <c r="D36" s="663" t="s">
        <v>2183</v>
      </c>
      <c r="E36" s="663"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3450"/>
      <c r="C37" s="2428"/>
      <c r="D37" s="2428"/>
      <c r="E37" s="2428" t="s">
        <v>303</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t="s">
        <v>211</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2232</v>
      </c>
      <c r="B41" s="1754"/>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0"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0"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0"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0"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0"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0"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0"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0" customFormat="1">
      <c r="A51" s="1568"/>
      <c r="B51" s="1568"/>
      <c r="C51" s="1050"/>
      <c r="D51" s="1050"/>
      <c r="E51" s="1050"/>
      <c r="F51" s="1050"/>
      <c r="G51" s="1050"/>
      <c r="H51" s="1050"/>
      <c r="I51" s="1050"/>
      <c r="J51" s="2434"/>
      <c r="K51" s="2435"/>
      <c r="L51" s="2435"/>
      <c r="M51" s="1050"/>
      <c r="N51" s="1050"/>
      <c r="O51" s="1050"/>
      <c r="P51" s="1050"/>
      <c r="Q51" s="1050"/>
      <c r="R51" s="1050"/>
    </row>
    <row r="52" spans="1:22" s="1740" customFormat="1">
      <c r="A52" s="1568"/>
      <c r="B52" s="1568"/>
      <c r="C52" s="1568"/>
      <c r="D52" s="1568"/>
      <c r="E52" s="1568"/>
      <c r="F52" s="1050"/>
      <c r="G52" s="1568"/>
      <c r="H52" s="1568"/>
      <c r="I52" s="1568"/>
      <c r="J52" s="2437"/>
      <c r="K52" s="2435"/>
      <c r="L52" s="2435"/>
      <c r="M52" s="2435"/>
      <c r="N52" s="1568"/>
      <c r="O52" s="1568"/>
      <c r="P52" s="1568"/>
      <c r="Q52" s="1568"/>
      <c r="R52" s="1568"/>
    </row>
    <row r="53" spans="1:22" s="1740" customFormat="1">
      <c r="A53" s="1568"/>
      <c r="B53" s="1568"/>
      <c r="C53" s="1568"/>
      <c r="D53" s="1568"/>
      <c r="E53" s="1568"/>
      <c r="F53" s="1050"/>
      <c r="G53" s="1568"/>
      <c r="H53" s="1568"/>
      <c r="I53" s="1568"/>
      <c r="J53" s="2437"/>
      <c r="K53" s="2435"/>
      <c r="L53" s="2435"/>
      <c r="M53" s="2435"/>
      <c r="N53" s="1568"/>
      <c r="O53" s="1568"/>
      <c r="P53" s="1568"/>
      <c r="Q53" s="1568"/>
      <c r="R53" s="1568"/>
    </row>
    <row r="54" spans="1:22" s="1740" customFormat="1">
      <c r="A54" s="1568"/>
      <c r="B54" s="1568"/>
      <c r="C54" s="1568"/>
      <c r="D54" s="1568"/>
      <c r="E54" s="1568"/>
      <c r="F54" s="1050"/>
      <c r="G54" s="1568"/>
      <c r="H54" s="1568"/>
      <c r="I54" s="1568"/>
      <c r="J54" s="2437"/>
      <c r="K54" s="2435"/>
      <c r="L54" s="2435"/>
      <c r="M54" s="2435"/>
      <c r="N54" s="1568"/>
      <c r="O54" s="1568"/>
      <c r="P54" s="1568"/>
      <c r="Q54" s="1568"/>
      <c r="R54" s="1568"/>
    </row>
    <row r="55" spans="1:22" s="1740" customFormat="1">
      <c r="A55" s="1568"/>
      <c r="B55" s="1568"/>
      <c r="C55" s="1568"/>
      <c r="D55" s="1568"/>
      <c r="E55" s="1568"/>
      <c r="F55" s="1050"/>
      <c r="G55" s="1568"/>
      <c r="H55" s="1568"/>
      <c r="I55" s="1568"/>
      <c r="J55" s="2437"/>
      <c r="K55" s="2435"/>
      <c r="L55" s="2435"/>
      <c r="M55" s="2435"/>
      <c r="N55" s="1568"/>
      <c r="O55" s="1568"/>
      <c r="P55" s="1568"/>
      <c r="Q55" s="1568"/>
      <c r="R55" s="1568"/>
    </row>
    <row r="56" spans="1:22" s="1740"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38090.49</v>
      </c>
      <c r="B3" s="11">
        <f>IF(C3="否",G5-AT5,G5)</f>
        <v>9908.9000000000015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9908.9000000000015</v>
      </c>
      <c r="H5" s="13">
        <f t="shared" ref="H5:AT5" si="0">SUM(H13:H656)</f>
        <v>9908.9000000000015</v>
      </c>
      <c r="I5" s="13">
        <f t="shared" si="0"/>
        <v>9908.9000000000015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9908.9000000000015</v>
      </c>
      <c r="BA5" s="15">
        <f t="shared" si="1"/>
        <v>9908.9000000000015</v>
      </c>
      <c r="BB5" s="15">
        <f t="shared" si="1"/>
        <v>9908.9000000000015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38090.49</v>
      </c>
      <c r="F6" s="13" t="s">
        <v>0</v>
      </c>
      <c r="G6" s="13" t="s">
        <v>1</v>
      </c>
      <c r="H6" s="17">
        <f>SUMIF(I$12:AB$12,"总值",I6:AB6)</f>
        <v>38090.49</v>
      </c>
      <c r="I6" s="13">
        <f t="shared" ref="I6:AB6" si="2">ROUND($A$3*I5/$B$3,2)</f>
        <v>38090.49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38090.49</v>
      </c>
      <c r="AZ6" s="13" t="s">
        <v>2</v>
      </c>
      <c r="BA6" s="13">
        <f>ROUND($AY$6*BA5/$AZ$5,2)</f>
        <v>38090.49</v>
      </c>
      <c r="BB6" s="13">
        <f>ROUND($AY$6*BB5/$AZ$5,2)</f>
        <v>38090.49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3392</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3337</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仓储</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3797" t="s">
        <v>3637</v>
      </c>
      <c r="B13" s="1050" t="s">
        <v>3636</v>
      </c>
      <c r="C13" s="1050">
        <v>1</v>
      </c>
      <c r="D13" s="1623" t="s">
        <v>3391</v>
      </c>
      <c r="E13" s="13">
        <f>IF($C$3="是",ROUND($A$3*G13/$B$3,2),ROUND($A$3*(G13-AT13)/$B$3,2))</f>
        <v>11788.6</v>
      </c>
      <c r="F13" s="29"/>
      <c r="G13" s="30">
        <f>H13+AC13+AT13</f>
        <v>3066.7</v>
      </c>
      <c r="H13" s="17">
        <f>SUMIF(I$12:AB$12,"总值",I13:AB13)</f>
        <v>3066.7</v>
      </c>
      <c r="I13" s="1624">
        <v>3066.7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t="str">
        <f t="shared" ref="AV13:AX17" si="6">A13</f>
        <v>混合</v>
      </c>
      <c r="AW13" s="8" t="str">
        <f t="shared" si="6"/>
        <v>1-5层</v>
      </c>
      <c r="AX13" s="8">
        <f t="shared" si="6"/>
        <v>1</v>
      </c>
      <c r="AY13" s="1347">
        <f>ROUND($AY$6*AZ13/$AZ$5,2)</f>
        <v>11788.6</v>
      </c>
      <c r="AZ13" s="13">
        <f>BA13+BL13</f>
        <v>3066.7</v>
      </c>
      <c r="BA13" s="13">
        <f>SUM(BB13:BK13)</f>
        <v>3066.7</v>
      </c>
      <c r="BB13" s="13">
        <f>IF($D13="是",I13-J13,0)</f>
        <v>3066.7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3797" t="s">
        <v>3637</v>
      </c>
      <c r="B14" s="3797" t="s">
        <v>3638</v>
      </c>
      <c r="C14" s="1050">
        <v>2</v>
      </c>
      <c r="D14" s="1623" t="s">
        <v>3391</v>
      </c>
      <c r="E14" s="13">
        <f>IF($C$3="是",ROUND($A$3*G14/$B$3,2),ROUND($A$3*(G14-AT14)/$B$3,2))</f>
        <v>563.54</v>
      </c>
      <c r="F14" s="29"/>
      <c r="G14" s="30">
        <f>H14+AC14+AT14</f>
        <v>146.6</v>
      </c>
      <c r="H14" s="17">
        <f>SUMIF(I$12:AB$12,"总值",I14:AB14)</f>
        <v>146.6</v>
      </c>
      <c r="I14" s="1624">
        <v>146.6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t="str">
        <f t="shared" si="6"/>
        <v>混合</v>
      </c>
      <c r="AW14" s="8" t="str">
        <f t="shared" si="6"/>
        <v>平房</v>
      </c>
      <c r="AX14" s="8">
        <f t="shared" si="6"/>
        <v>2</v>
      </c>
      <c r="AY14" s="1347">
        <f>ROUND($AY$6*AZ14/$AZ$5,2)</f>
        <v>563.54</v>
      </c>
      <c r="AZ14" s="13">
        <f>BA14+BL14</f>
        <v>146.6</v>
      </c>
      <c r="BA14" s="13">
        <f>SUM(BB14:BK14)</f>
        <v>146.6</v>
      </c>
      <c r="BB14" s="13">
        <f>IF($D14="是",I14-J14,0)</f>
        <v>146.6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3797" t="s">
        <v>3637</v>
      </c>
      <c r="B15" s="3797" t="s">
        <v>3638</v>
      </c>
      <c r="C15" s="1050">
        <v>3</v>
      </c>
      <c r="D15" s="1623" t="s">
        <v>3391</v>
      </c>
      <c r="E15" s="13">
        <f>IF($C$3="是",ROUND($A$3*G15/$B$3,2),ROUND($A$3*(G15-AT15)/$B$3,2))</f>
        <v>1439.22</v>
      </c>
      <c r="F15" s="29"/>
      <c r="G15" s="30">
        <f>H15+AC15+AT15</f>
        <v>374.4</v>
      </c>
      <c r="H15" s="17">
        <f>SUMIF(I$12:AB$12,"总值",I15:AB15)</f>
        <v>374.4</v>
      </c>
      <c r="I15" s="1624">
        <v>374.4</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t="str">
        <f t="shared" si="6"/>
        <v>混合</v>
      </c>
      <c r="AW15" s="8" t="str">
        <f t="shared" si="6"/>
        <v>平房</v>
      </c>
      <c r="AX15" s="8">
        <f t="shared" si="6"/>
        <v>3</v>
      </c>
      <c r="AY15" s="1347">
        <f>ROUND($AY$6*AZ15/$AZ$5,2)</f>
        <v>1439.22</v>
      </c>
      <c r="AZ15" s="13">
        <f>BA15+BL15</f>
        <v>374.4</v>
      </c>
      <c r="BA15" s="13">
        <f>SUM(BB15:BK15)</f>
        <v>374.4</v>
      </c>
      <c r="BB15" s="13">
        <f>IF($D15="是",I15-J15,0)</f>
        <v>374.4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3797" t="s">
        <v>3637</v>
      </c>
      <c r="B16" s="3797" t="s">
        <v>3638</v>
      </c>
      <c r="C16" s="1050">
        <v>4</v>
      </c>
      <c r="D16" s="1623" t="s">
        <v>3391</v>
      </c>
      <c r="E16" s="13">
        <f>IF($C$3="是",ROUND($A$3*G16/$B$3,2),ROUND($A$3*(G16-AT16)/$B$3,2))</f>
        <v>1549.16</v>
      </c>
      <c r="F16" s="29"/>
      <c r="G16" s="30">
        <f>H16+AC16+AT16</f>
        <v>403</v>
      </c>
      <c r="H16" s="17">
        <f>SUMIF(I$12:AB$12,"总值",I16:AB16)</f>
        <v>403</v>
      </c>
      <c r="I16" s="1624">
        <v>403</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t="str">
        <f t="shared" si="6"/>
        <v>混合</v>
      </c>
      <c r="AW16" s="8" t="str">
        <f t="shared" si="6"/>
        <v>平房</v>
      </c>
      <c r="AX16" s="8">
        <f t="shared" si="6"/>
        <v>4</v>
      </c>
      <c r="AY16" s="1347">
        <f>ROUND($AY$6*AZ16/$AZ$5,2)</f>
        <v>1549.16</v>
      </c>
      <c r="AZ16" s="13">
        <f>BA16+BL16</f>
        <v>403</v>
      </c>
      <c r="BA16" s="13">
        <f>SUM(BB16:BK16)</f>
        <v>403</v>
      </c>
      <c r="BB16" s="13">
        <f>IF($D16="是",I16-J16,0)</f>
        <v>403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3797" t="s">
        <v>3637</v>
      </c>
      <c r="B17" s="3797" t="s">
        <v>3638</v>
      </c>
      <c r="C17" s="1050">
        <v>5</v>
      </c>
      <c r="D17" s="1623" t="s">
        <v>3391</v>
      </c>
      <c r="E17" s="13">
        <f>IF($C$3="是",ROUND($A$3*G17/$B$3,2),ROUND($A$3*(G17-AT17)/$B$3,2))</f>
        <v>1101.71</v>
      </c>
      <c r="F17" s="29"/>
      <c r="G17" s="30">
        <f>H17+AC17+AT17</f>
        <v>286.60000000000002</v>
      </c>
      <c r="H17" s="17">
        <f>SUMIF(I$12:AB$12,"总值",I17:AB17)</f>
        <v>286.60000000000002</v>
      </c>
      <c r="I17" s="1624">
        <v>286.60000000000002</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t="str">
        <f t="shared" si="6"/>
        <v>混合</v>
      </c>
      <c r="AW17" s="8" t="str">
        <f t="shared" si="6"/>
        <v>平房</v>
      </c>
      <c r="AX17" s="8">
        <f t="shared" si="6"/>
        <v>5</v>
      </c>
      <c r="AY17" s="1347">
        <f>ROUND($AY$6*AZ17/$AZ$5,2)</f>
        <v>1101.71</v>
      </c>
      <c r="AZ17" s="13">
        <f>BA17+BL17</f>
        <v>286.60000000000002</v>
      </c>
      <c r="BA17" s="13">
        <f>SUM(BB17:BK17)</f>
        <v>286.60000000000002</v>
      </c>
      <c r="BB17" s="13">
        <f>IF($D17="是",I17-J17,0)</f>
        <v>286.60000000000002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797" t="s">
        <v>3637</v>
      </c>
      <c r="B18" s="3797" t="s">
        <v>3638</v>
      </c>
      <c r="C18" s="1050">
        <v>6</v>
      </c>
      <c r="D18" s="1623" t="s">
        <v>3391</v>
      </c>
      <c r="E18" s="32">
        <f t="shared" ref="E18:E112" si="7">IF($C$3="是",ROUND($A$3*G18/$B$3,2),ROUND($A$3*(G18-AT18)/$B$3,2))</f>
        <v>309.83</v>
      </c>
      <c r="F18" s="33"/>
      <c r="G18" s="34">
        <f t="shared" ref="G18:G109" si="8">H18+AC18+AT18</f>
        <v>80.599999999999994</v>
      </c>
      <c r="H18" s="35">
        <f t="shared" ref="H18:H109" si="9">SUMIF(I$12:AB$12,"总值",I18:AB18)</f>
        <v>80.599999999999994</v>
      </c>
      <c r="I18" s="36">
        <v>80.599999999999994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t="str">
        <f t="shared" ref="AV18:AV112" si="11">A18</f>
        <v>混合</v>
      </c>
      <c r="AW18" s="1341" t="str">
        <f t="shared" ref="AW18:AW112" si="12">B18</f>
        <v>平房</v>
      </c>
      <c r="AX18" s="1341">
        <f t="shared" ref="AX18:AX112" si="13">C18</f>
        <v>6</v>
      </c>
      <c r="AY18" s="39">
        <f t="shared" ref="AY18:AY109" si="14">ROUND($AY$6*AZ18/$AZ$5,2)</f>
        <v>309.83</v>
      </c>
      <c r="AZ18" s="32">
        <f t="shared" ref="AZ18:AZ109" si="15">BA18+BL18</f>
        <v>80.599999999999994</v>
      </c>
      <c r="BA18" s="32">
        <f t="shared" ref="BA18:BA109" si="16">SUM(BB18:BK18)</f>
        <v>80.599999999999994</v>
      </c>
      <c r="BB18" s="32">
        <f t="shared" ref="BB18:BB109" si="17">IF($D18="是",I18-J18,0)</f>
        <v>80.599999999999994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3798" t="s">
        <v>3639</v>
      </c>
      <c r="B19" s="3797" t="s">
        <v>3638</v>
      </c>
      <c r="C19" s="1050">
        <v>7</v>
      </c>
      <c r="D19" s="1623" t="s">
        <v>3391</v>
      </c>
      <c r="E19" s="32">
        <f t="shared" si="7"/>
        <v>21338.42</v>
      </c>
      <c r="F19" s="33"/>
      <c r="G19" s="34">
        <f t="shared" si="8"/>
        <v>5551</v>
      </c>
      <c r="H19" s="35">
        <f t="shared" si="9"/>
        <v>5551</v>
      </c>
      <c r="I19" s="36">
        <v>5551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t="str">
        <f t="shared" si="11"/>
        <v>钢混</v>
      </c>
      <c r="AW19" s="1341" t="str">
        <f t="shared" si="12"/>
        <v>平房</v>
      </c>
      <c r="AX19" s="1341">
        <f t="shared" si="13"/>
        <v>7</v>
      </c>
      <c r="AY19" s="39">
        <f t="shared" si="14"/>
        <v>21338.42</v>
      </c>
      <c r="AZ19" s="32">
        <f t="shared" si="15"/>
        <v>5551</v>
      </c>
      <c r="BA19" s="32">
        <f t="shared" si="16"/>
        <v>5551</v>
      </c>
      <c r="BB19" s="32">
        <f t="shared" si="17"/>
        <v>5551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39" t="s">
        <v>1131</v>
      </c>
      <c r="B2" s="3539"/>
      <c r="C2" s="3539"/>
      <c r="D2" s="795" t="s">
        <v>1107</v>
      </c>
      <c r="E2" s="1637" t="s">
        <v>1108</v>
      </c>
      <c r="F2" s="2656"/>
      <c r="G2" s="2647"/>
      <c r="H2" s="2648"/>
      <c r="I2" s="2322" t="s">
        <v>1132</v>
      </c>
      <c r="J2" s="2656"/>
      <c r="K2" s="2656"/>
      <c r="L2" s="2656"/>
      <c r="M2" s="2656"/>
      <c r="N2" s="2658"/>
      <c r="O2" s="2656"/>
      <c r="P2" s="2656"/>
    </row>
    <row r="3" spans="1:16" ht="15.75" thickBot="1">
      <c r="A3" s="3540" t="s">
        <v>1105</v>
      </c>
      <c r="B3" s="3540"/>
      <c r="C3" s="3540"/>
      <c r="D3" s="43">
        <f>'数据-基础表'!AY6</f>
        <v>38090.49</v>
      </c>
      <c r="E3" s="43">
        <f>'数据-基础表'!AZ5</f>
        <v>9908.9000000000015</v>
      </c>
      <c r="F3" s="2656"/>
      <c r="G3" s="1144"/>
      <c r="H3" s="1025" t="s">
        <v>1106</v>
      </c>
      <c r="I3" s="854">
        <f>ROUND('数据-基础表'!B3/'数据-基础表'!A3,2)</f>
        <v>0.26</v>
      </c>
      <c r="J3" s="2656"/>
      <c r="K3" s="2656"/>
      <c r="L3" s="2656"/>
      <c r="M3" s="2656"/>
      <c r="N3" s="2658"/>
      <c r="O3" s="2656"/>
      <c r="P3" s="2656"/>
    </row>
    <row r="4" spans="1:16" ht="15">
      <c r="A4" s="3541"/>
      <c r="B4" s="3542"/>
      <c r="C4" s="3543"/>
      <c r="D4" s="1639" t="s">
        <v>1107</v>
      </c>
      <c r="E4" s="1640" t="s">
        <v>1108</v>
      </c>
      <c r="F4" s="2656"/>
      <c r="G4" s="2649" t="s">
        <v>1133</v>
      </c>
      <c r="H4" s="1025" t="s">
        <v>1113</v>
      </c>
      <c r="I4" s="854">
        <f>ROUND(SUMIF('数据-基础表'!I9:AS9,"地上",'数据-基础表'!I5:AS5)/'数据-基础表'!A3,2)</f>
        <v>0.26</v>
      </c>
      <c r="J4" s="2656"/>
      <c r="K4" s="2656"/>
      <c r="L4" s="2656"/>
      <c r="M4" s="2656"/>
      <c r="N4" s="2658"/>
      <c r="O4" s="2656"/>
      <c r="P4" s="2656"/>
    </row>
    <row r="5" spans="1:16">
      <c r="A5" s="44" t="s">
        <v>1109</v>
      </c>
      <c r="B5" s="3544" t="s">
        <v>1110</v>
      </c>
      <c r="C5" s="3544"/>
      <c r="D5" s="45">
        <f>ROUND($D$3*E5/$E$3,2)</f>
        <v>0</v>
      </c>
      <c r="E5" s="46">
        <f>SUMIF('数据-基础表'!$11:$11,"住宅",'数据-基础表'!$5:$5)</f>
        <v>0</v>
      </c>
      <c r="F5" s="2656"/>
      <c r="G5" s="1144"/>
      <c r="H5" s="1025" t="s">
        <v>1106</v>
      </c>
      <c r="I5" s="854">
        <f>ROUND(E31/D31,2)</f>
        <v>0.26</v>
      </c>
      <c r="J5" s="2656"/>
      <c r="K5" s="2656"/>
      <c r="L5" s="2656"/>
      <c r="M5" s="2656"/>
      <c r="N5" s="2656"/>
      <c r="O5" s="2656"/>
      <c r="P5" s="2656"/>
    </row>
    <row r="6" spans="1:16" ht="15" thickBot="1">
      <c r="A6" s="1642"/>
      <c r="B6" s="3544" t="s">
        <v>1111</v>
      </c>
      <c r="C6" s="3544"/>
      <c r="D6" s="45">
        <f>ROUND($D$3*E6/$E$3,2)</f>
        <v>38090.49</v>
      </c>
      <c r="E6" s="46">
        <f>E3-E5</f>
        <v>9908.9000000000015</v>
      </c>
      <c r="F6" s="2656"/>
      <c r="G6" s="2650" t="s">
        <v>1112</v>
      </c>
      <c r="H6" s="1145" t="s">
        <v>1113</v>
      </c>
      <c r="I6" s="2651">
        <f>ROUND(F31/D31,2)</f>
        <v>0.26</v>
      </c>
      <c r="J6" s="2656"/>
      <c r="K6" s="2656"/>
      <c r="L6" s="2656"/>
      <c r="M6" s="2656"/>
      <c r="N6" s="2656"/>
      <c r="O6" s="2656"/>
      <c r="P6" s="2656"/>
    </row>
    <row r="7" spans="1:16" ht="15.75" thickBot="1">
      <c r="A7" s="3536"/>
      <c r="B7" s="3537"/>
      <c r="C7" s="3538"/>
      <c r="D7" s="1639" t="s">
        <v>1107</v>
      </c>
      <c r="E7" s="1643"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38090.49</v>
      </c>
      <c r="E8" s="48">
        <f>SUMIF('数据-基础表'!BB10:BK10,"地上",'数据-基础表'!BB5:BK5)</f>
        <v>9908.9000000000015</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38090.49</v>
      </c>
      <c r="E16" s="50">
        <f>SUM(E8:E15)</f>
        <v>9908.9000000000015</v>
      </c>
      <c r="F16" s="2656"/>
      <c r="G16" s="2657"/>
      <c r="H16" s="1646" t="s">
        <v>1135</v>
      </c>
      <c r="I16" s="1647"/>
      <c r="J16" s="1138"/>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8"/>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4" t="s">
        <v>3631</v>
      </c>
      <c r="D19" s="45">
        <f>ROUND($D$3*E19/$E$3,2)</f>
        <v>38090.49</v>
      </c>
      <c r="E19" s="53">
        <f t="shared" ref="E19:E26" si="1">SUM(F19:G19)</f>
        <v>9908.9000000000015</v>
      </c>
      <c r="F19" s="2792">
        <f>'数据-基础表'!I5</f>
        <v>9908.9000000000015</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38090.49</v>
      </c>
      <c r="S19" s="1026">
        <f t="shared" si="5"/>
        <v>9908.9000000000015</v>
      </c>
    </row>
    <row r="20" spans="1:19">
      <c r="A20" s="1668"/>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38090.49</v>
      </c>
      <c r="E27" s="1140">
        <f>IF(SUM(E19:E26)='数据-基础表'!BA5,SUM(E19:E26),IF(F27="地上面积有误","面积有误","地下面积有误"))</f>
        <v>9908.9000000000015</v>
      </c>
      <c r="F27" s="1139">
        <f>IF(SUM(F19:F26)=E8,SUM(F19:F26),"地上面积有误")</f>
        <v>9908.9000000000015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38090.49</v>
      </c>
      <c r="S27" s="1025">
        <f>IF(SUM(S19:S26)=$E$3,SUM(S19:S26),SUM(S19:S26)&amp;"误差"&amp;ROUND(SUM(S19:S26)-E3,2))</f>
        <v>9908.9000000000015</v>
      </c>
    </row>
    <row r="28" spans="1:19">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4"/>
      <c r="B31" s="1675"/>
      <c r="C31" s="834" t="s">
        <v>1158</v>
      </c>
      <c r="D31" s="675">
        <f>D27+D30</f>
        <v>38090.49</v>
      </c>
      <c r="E31" s="675">
        <f>E27+E30</f>
        <v>9908.9000000000015</v>
      </c>
      <c r="F31" s="676">
        <f>F27+F30</f>
        <v>9908.9000000000015</v>
      </c>
      <c r="G31" s="677">
        <f>G27+G30</f>
        <v>0</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E32" sqref="AE32"/>
    </sheetView>
  </sheetViews>
  <sheetFormatPr defaultColWidth="13.75" defaultRowHeight="12.75"/>
  <cols>
    <col min="1" max="1" width="20.875" style="1742" customWidth="1"/>
    <col min="2" max="2" width="12" style="1680" customWidth="1"/>
    <col min="3" max="3" width="12.75" style="1680" customWidth="1"/>
    <col min="4" max="4" width="9.125" style="1743"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1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45449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3393</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仓储</v>
      </c>
      <c r="B6" s="1711" t="str">
        <f>IF(A6=0,"","经营性")</f>
        <v>经营性</v>
      </c>
      <c r="C6" s="1712" t="s">
        <v>3</v>
      </c>
      <c r="D6" s="857">
        <f>SUMIF(项目基本情况!C$12:I$12,C6,项目基本情况!C$14:I$14)</f>
        <v>50</v>
      </c>
      <c r="E6" s="856">
        <f>IF(B6="","",SUMIF(项目基本情况!C$12:I$12,C6,项目基本情况!C$13:I$13))</f>
        <v>59384</v>
      </c>
      <c r="F6" s="64">
        <f>SUMIF(项目基本情况!C$12:I$12,C6,项目基本情况!C$15:I$15)</f>
        <v>38.17</v>
      </c>
      <c r="G6" s="65">
        <f>IF(ISERROR(ROUND(POWER(1+H6,D6-F6)*(POWER(1+H6,F6)-1)/(POWER(1+H6,D6)-1),3)),0,ROUND(POWER(1+H6,D6-F6)*(POWER(1+H6,F6)-1)/(POWER(1+H6,D6)-1),3))</f>
        <v>0.92500000000000004</v>
      </c>
      <c r="H6" s="731">
        <v>0.05</v>
      </c>
      <c r="I6" s="731">
        <v>5.5E-2</v>
      </c>
      <c r="J6" s="66">
        <v>7.0000000000000007E-2</v>
      </c>
      <c r="K6" s="1029">
        <f>SUMIF('数据-汇总表'!C$19:C$33,A6,'数据-汇总表'!E$19:E$33)</f>
        <v>9908.9000000000015</v>
      </c>
      <c r="L6" s="732">
        <v>2500</v>
      </c>
      <c r="M6" s="67">
        <f t="shared" ref="M6:M14" si="0">ROUND(K6*L6/10000,0)</f>
        <v>2477</v>
      </c>
      <c r="N6" s="3801">
        <v>0.7</v>
      </c>
      <c r="O6" s="67" t="str">
        <f>IF($N$5="成新度","——",ROUND(M6*N6,0))</f>
        <v>——</v>
      </c>
      <c r="P6" s="68" t="str">
        <f>IF($N$5="成新度","——",M6-O6)</f>
        <v>——</v>
      </c>
      <c r="Q6" s="733">
        <v>0.05</v>
      </c>
      <c r="R6" s="69">
        <f ca="1">SUMIF('数据-汇总表'!C$19:C$33,A6,'数据-汇总表'!R$19:R$27)</f>
        <v>38090.49</v>
      </c>
      <c r="S6" s="51">
        <f>IF('数据-汇总表'!$I$17="按面积比例",SUMIF('数据-汇总表'!C$19:C$33,A6,'数据-汇总表'!K$19:K$33),SUMIF('数据-汇总表'!C$19:C$33,A6,'数据-汇总表'!N$19:N$33))</f>
        <v>0</v>
      </c>
      <c r="T6" s="1171">
        <f>ROUND($L$14*S6/10000,0)</f>
        <v>0</v>
      </c>
      <c r="U6" s="3425">
        <f>W21</f>
        <v>2.0299999999999998</v>
      </c>
      <c r="V6" s="70">
        <v>0.02</v>
      </c>
      <c r="W6" s="70">
        <v>0.15</v>
      </c>
      <c r="X6" s="1039"/>
      <c r="Y6" s="71">
        <f>N6</f>
        <v>0.7</v>
      </c>
      <c r="Z6" s="72"/>
      <c r="AA6" s="66"/>
      <c r="AB6" s="66"/>
      <c r="AC6" s="1039"/>
      <c r="AD6" s="73"/>
      <c r="AE6" s="1040">
        <f ca="1">IF(AN6="",0,SUMIF(INDIRECT("'"&amp;AN6&amp;"'"&amp;"!E:E"),$AE$5,INDIRECT("'"&amp;AN6&amp;"'"&amp;"!F:F")))</f>
        <v>38.17</v>
      </c>
      <c r="AF6" s="1346"/>
      <c r="AG6" s="138">
        <f>IF(AF6="",0,AE6-AF6)</f>
        <v>0</v>
      </c>
      <c r="AH6" s="74"/>
      <c r="AI6" s="76">
        <v>365</v>
      </c>
      <c r="AJ6" s="77"/>
      <c r="AK6" s="78">
        <v>1E-3</v>
      </c>
      <c r="AL6" s="79">
        <v>1.5E-3</v>
      </c>
      <c r="AM6" s="80">
        <v>1E-3</v>
      </c>
      <c r="AN6" s="1713" t="s">
        <v>3633</v>
      </c>
      <c r="AO6" s="52">
        <f ca="1">SUMIF(INDIRECT("'"&amp;AN6&amp;"'"&amp;"!A:A"),"总价",INDIRECT("'"&amp;AN6&amp;"'"&amp;"!B:B"))</f>
        <v>10469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0.92500000000000004</v>
      </c>
      <c r="H16" s="90">
        <f>ROUND(SUMPRODUCT(H6:H13,K6:K13)/SUMPRODUCT((H6:H13&gt;0)*(K6:K13)),3)</f>
        <v>0.05</v>
      </c>
      <c r="I16" s="91"/>
      <c r="J16" s="91"/>
      <c r="K16" s="92">
        <f>SUM(K6:K15)</f>
        <v>9908.9000000000015</v>
      </c>
      <c r="L16" s="93">
        <f>ROUND(M16*10000/SUM(K6:K14),0)</f>
        <v>2500</v>
      </c>
      <c r="M16" s="93">
        <f>SUM(M6:M14)</f>
        <v>2477</v>
      </c>
      <c r="N16" s="94">
        <f>ROUND(SUMPRODUCT(M6:M14,N6:N14)/M16,3)</f>
        <v>0.7</v>
      </c>
      <c r="O16" s="93">
        <f>SUM(O6:O14)</f>
        <v>0</v>
      </c>
      <c r="P16" s="93">
        <f>SUM(P6:P14)</f>
        <v>0</v>
      </c>
      <c r="Q16" s="95">
        <f>ROUND(SUMPRODUCT(Q6:Q13,K6:K13)/SUMPRODUCT((Q6:Q13&gt;0)*(K6:K13)),2)</f>
        <v>0.05</v>
      </c>
      <c r="R16" s="1033">
        <f ca="1">SUM(R6:R13)</f>
        <v>38090.49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v>2013</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ROUND(1-(1-0%)*(2024-'数据-取费表'!N17)/60,2)</f>
        <v>0.82</v>
      </c>
      <c r="O18" s="2668">
        <v>0.5</v>
      </c>
      <c r="P18" s="2668"/>
      <c r="Q18" s="2668"/>
      <c r="R18" s="2668"/>
      <c r="S18" s="2668"/>
      <c r="T18" s="2668"/>
      <c r="U18" s="2668"/>
      <c r="V18" s="2668">
        <f>'数据-基础表'!I13</f>
        <v>3066.7</v>
      </c>
      <c r="W18" s="2668">
        <v>2</v>
      </c>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c r="C19" s="2796" t="s">
        <v>2304</v>
      </c>
      <c r="D19" s="2673"/>
      <c r="E19" s="2670"/>
      <c r="F19" s="2670"/>
      <c r="G19" s="2670"/>
      <c r="H19" s="2670"/>
      <c r="I19" s="2670"/>
      <c r="J19" s="2670"/>
      <c r="K19" s="2669"/>
      <c r="L19" s="2669"/>
      <c r="M19" s="2668"/>
      <c r="N19" s="2668">
        <v>0.8</v>
      </c>
      <c r="O19" s="2668">
        <f>1-O18</f>
        <v>0.5</v>
      </c>
      <c r="P19" s="2668"/>
      <c r="Q19" s="2668"/>
      <c r="R19" s="2668"/>
      <c r="S19" s="2668"/>
      <c r="T19" s="2668"/>
      <c r="U19" s="2668"/>
      <c r="V19" s="2668">
        <f>SUM('数据-基础表'!I14:I19)</f>
        <v>6842.2</v>
      </c>
      <c r="W19" s="2668">
        <v>1.5</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1</v>
      </c>
      <c r="C20" s="2797" t="s">
        <v>2302</v>
      </c>
      <c r="D20" s="2673"/>
      <c r="E20" s="2670"/>
      <c r="F20" s="2670"/>
      <c r="G20" s="2670"/>
      <c r="H20" s="2670"/>
      <c r="I20" s="2670"/>
      <c r="J20" s="2670"/>
      <c r="K20" s="2669"/>
      <c r="L20" s="2669"/>
      <c r="M20" s="2668"/>
      <c r="N20" s="2668">
        <f>ROUND(N18*O18+N19*O19,2)</f>
        <v>0.81</v>
      </c>
      <c r="O20" s="2668"/>
      <c r="P20" s="2668"/>
      <c r="Q20" s="2668"/>
      <c r="R20" s="2668"/>
      <c r="S20" s="2668"/>
      <c r="T20" s="2668"/>
      <c r="U20" s="2668">
        <v>0.8</v>
      </c>
      <c r="V20" s="2668">
        <f>('数据-汇总表'!D3-V18/5-V19)*U20</f>
        <v>24507.960000000003</v>
      </c>
      <c r="W20" s="2668">
        <v>0.15</v>
      </c>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f>ROUND((W18*V18+W19*V19+W20*V20)/(V18+V19),2)</f>
        <v>2.0299999999999998</v>
      </c>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1</v>
      </c>
      <c r="C23" s="2670"/>
      <c r="D23" s="2673"/>
      <c r="E23" s="2670"/>
      <c r="F23" s="2670"/>
      <c r="G23" s="2670"/>
      <c r="H23" s="2670"/>
      <c r="I23" s="2670"/>
      <c r="J23" s="2670"/>
      <c r="K23" s="2669"/>
      <c r="L23" s="2669"/>
      <c r="M23" s="2668"/>
      <c r="N23" s="2668"/>
      <c r="O23" s="3800" t="s">
        <v>3640</v>
      </c>
      <c r="P23" s="3800" t="s">
        <v>3641</v>
      </c>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v>3066.7</v>
      </c>
      <c r="O24" s="2668" t="str">
        <f>'数据-基础表'!A13</f>
        <v>混合</v>
      </c>
      <c r="P24" s="2668">
        <f>ROUND(1-(1-2%)*(2024-$N$17)/50,2)</f>
        <v>0.78</v>
      </c>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v>146.6</v>
      </c>
      <c r="O25" s="2668" t="str">
        <f>'数据-基础表'!A14</f>
        <v>混合</v>
      </c>
      <c r="P25" s="2668">
        <f>P24</f>
        <v>0.78</v>
      </c>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v>374.4</v>
      </c>
      <c r="O26" s="2668" t="str">
        <f>'数据-基础表'!A15</f>
        <v>混合</v>
      </c>
      <c r="P26" s="2668">
        <f>P24</f>
        <v>0.78</v>
      </c>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c r="C27" s="2798" t="s">
        <v>2306</v>
      </c>
      <c r="D27" s="2676"/>
      <c r="E27" s="2658" t="s">
        <v>3478</v>
      </c>
      <c r="F27" s="2658"/>
      <c r="G27" s="2670"/>
      <c r="H27" s="2670"/>
      <c r="I27" s="2670"/>
      <c r="J27" s="2670"/>
      <c r="K27" s="2669"/>
      <c r="L27" s="2669"/>
      <c r="M27" s="2668"/>
      <c r="N27" s="2668">
        <v>403</v>
      </c>
      <c r="O27" s="2668" t="str">
        <f>'数据-基础表'!A16</f>
        <v>混合</v>
      </c>
      <c r="P27" s="2668">
        <f>P24</f>
        <v>0.78</v>
      </c>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7"/>
      <c r="D28" s="2676"/>
      <c r="E28" s="2658"/>
      <c r="F28" s="2658"/>
      <c r="G28" s="2670"/>
      <c r="H28" s="2670"/>
      <c r="I28" s="2670"/>
      <c r="J28" s="2670"/>
      <c r="K28" s="2669"/>
      <c r="L28" s="2669"/>
      <c r="M28" s="2668"/>
      <c r="N28" s="2668">
        <v>286.60000000000002</v>
      </c>
      <c r="O28" s="2668" t="str">
        <f>'数据-基础表'!A17</f>
        <v>混合</v>
      </c>
      <c r="P28" s="2668">
        <f>P24</f>
        <v>0.78</v>
      </c>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ROUND(B28*K16/10000,0)</f>
        <v>198</v>
      </c>
      <c r="C29" s="2799" t="s">
        <v>2293</v>
      </c>
      <c r="D29" s="2676"/>
      <c r="E29" s="2658"/>
      <c r="F29" s="2658"/>
      <c r="G29" s="2670"/>
      <c r="H29" s="2670"/>
      <c r="I29" s="2670"/>
      <c r="J29" s="2670"/>
      <c r="K29" s="2669"/>
      <c r="L29" s="2669"/>
      <c r="M29" s="2668"/>
      <c r="N29" s="2668">
        <v>80.599999999999994</v>
      </c>
      <c r="O29" s="2668" t="str">
        <f>'数据-基础表'!A18</f>
        <v>混合</v>
      </c>
      <c r="P29" s="2668">
        <f>P24</f>
        <v>0.78</v>
      </c>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2670"/>
      <c r="K30" s="2669"/>
      <c r="L30" s="2669"/>
      <c r="M30" s="2668"/>
      <c r="N30" s="2668">
        <v>5551</v>
      </c>
      <c r="O30" s="2668" t="str">
        <f>'数据-基础表'!A19</f>
        <v>钢混</v>
      </c>
      <c r="P30" s="2668">
        <f>ROUND(1-(1-0%)*(2024-N17)/60,2)</f>
        <v>0.82</v>
      </c>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5"/>
      <c r="D31" s="2676"/>
      <c r="E31" s="2658"/>
      <c r="F31" s="2658"/>
      <c r="G31" s="2670"/>
      <c r="H31" s="2670"/>
      <c r="I31" s="2670"/>
      <c r="J31" s="2670"/>
      <c r="K31" s="2669"/>
      <c r="L31" s="2669"/>
      <c r="M31" s="2668"/>
      <c r="N31" s="2668">
        <f>SUM(N24:N30)</f>
        <v>9908.9000000000015</v>
      </c>
      <c r="O31" s="2668"/>
      <c r="P31" s="2668">
        <f>ROUND(SUMPRODUCT(N24:N30,P24:P30)/N31,2)</f>
        <v>0.8</v>
      </c>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7">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3</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3799" t="s">
        <v>303</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9" customFormat="1">
      <c r="A134" s="1740"/>
      <c r="D134" s="1741"/>
      <c r="K134" s="24"/>
      <c r="L134" s="24"/>
    </row>
    <row r="135" spans="1:12" s="1679" customFormat="1">
      <c r="A135" s="1740"/>
      <c r="D135" s="1741"/>
      <c r="K135" s="24"/>
      <c r="L135" s="24"/>
    </row>
    <row r="136" spans="1:12" s="1679" customFormat="1">
      <c r="A136" s="1740"/>
      <c r="D136" s="1741"/>
      <c r="K136" s="24"/>
      <c r="L136" s="24"/>
    </row>
    <row r="137" spans="1:12" s="1679" customFormat="1">
      <c r="A137" s="1740"/>
      <c r="D137" s="1741"/>
      <c r="K137" s="24"/>
      <c r="L137" s="24"/>
    </row>
    <row r="138" spans="1:12" s="1679" customFormat="1">
      <c r="A138" s="1740"/>
      <c r="D138" s="1741"/>
      <c r="K138" s="24"/>
      <c r="L138" s="24"/>
    </row>
    <row r="139" spans="1:12" s="1679" customFormat="1">
      <c r="A139" s="1740"/>
      <c r="D139" s="1741"/>
      <c r="K139" s="24"/>
      <c r="L139" s="24"/>
    </row>
    <row r="140" spans="1:12" s="1679" customFormat="1">
      <c r="A140" s="1740"/>
      <c r="D140" s="1741"/>
      <c r="K140" s="24"/>
      <c r="L140" s="24"/>
    </row>
    <row r="141" spans="1:12" s="1679" customFormat="1">
      <c r="A141" s="1740"/>
      <c r="D141" s="1741"/>
      <c r="K141" s="24"/>
      <c r="L141" s="24"/>
    </row>
    <row r="142" spans="1:12" s="1679" customFormat="1">
      <c r="A142" s="1740"/>
      <c r="D142" s="1741"/>
      <c r="K142" s="24"/>
      <c r="L142" s="24"/>
    </row>
    <row r="143" spans="1:12" s="1679" customFormat="1">
      <c r="A143" s="1740"/>
      <c r="D143" s="1741"/>
      <c r="K143" s="24"/>
      <c r="L143" s="24"/>
    </row>
    <row r="144" spans="1:12" s="1679" customFormat="1">
      <c r="A144" s="1740"/>
      <c r="D144" s="1741"/>
      <c r="K144" s="24"/>
      <c r="L144" s="24"/>
    </row>
    <row r="145" spans="1:12" s="1679" customFormat="1">
      <c r="A145" s="1740"/>
      <c r="D145" s="1741"/>
      <c r="K145" s="24"/>
      <c r="L145" s="24"/>
    </row>
    <row r="146" spans="1:12" s="1679" customFormat="1">
      <c r="A146" s="1740"/>
      <c r="D146" s="1741"/>
      <c r="K146" s="24"/>
      <c r="L146" s="24"/>
    </row>
    <row r="147" spans="1:12" s="1679" customFormat="1">
      <c r="A147" s="1740"/>
      <c r="D147" s="1741"/>
      <c r="K147" s="24"/>
      <c r="L147" s="24"/>
    </row>
    <row r="148" spans="1:12" s="1679" customFormat="1">
      <c r="A148" s="1740"/>
      <c r="D148" s="1741"/>
      <c r="K148" s="24"/>
      <c r="L148" s="24"/>
    </row>
    <row r="149" spans="1:12" s="1679" customFormat="1">
      <c r="A149" s="1740"/>
      <c r="D149" s="1741"/>
      <c r="K149" s="24"/>
      <c r="L149" s="24"/>
    </row>
    <row r="150" spans="1:12" s="1679" customFormat="1">
      <c r="A150" s="1740"/>
      <c r="D150" s="1741"/>
      <c r="K150" s="24"/>
      <c r="L150" s="24"/>
    </row>
    <row r="151" spans="1:12" s="1679" customFormat="1">
      <c r="A151" s="1740"/>
      <c r="D151" s="1741"/>
      <c r="K151" s="24"/>
      <c r="L151" s="24"/>
    </row>
    <row r="152" spans="1:12" s="1679" customFormat="1">
      <c r="A152" s="1740"/>
      <c r="D152" s="1741"/>
      <c r="K152" s="24"/>
      <c r="L152" s="24"/>
    </row>
    <row r="153" spans="1:12" s="1679" customFormat="1">
      <c r="A153" s="1740"/>
      <c r="D153" s="1741"/>
      <c r="K153" s="24"/>
      <c r="L153" s="24"/>
    </row>
    <row r="154" spans="1:12" s="1679" customFormat="1">
      <c r="A154" s="1740"/>
      <c r="D154" s="1741"/>
      <c r="K154" s="24"/>
      <c r="L154" s="24"/>
    </row>
    <row r="155" spans="1:12" s="1679" customFormat="1">
      <c r="A155" s="1740"/>
      <c r="D155" s="1741"/>
      <c r="K155" s="24"/>
      <c r="L155" s="24"/>
    </row>
    <row r="156" spans="1:12" s="1679" customFormat="1">
      <c r="A156" s="1740"/>
      <c r="D156" s="1741"/>
      <c r="K156" s="24"/>
      <c r="L156" s="24"/>
    </row>
    <row r="157" spans="1:12" s="1679" customFormat="1">
      <c r="A157" s="1740"/>
      <c r="D157" s="1741"/>
      <c r="K157" s="24"/>
      <c r="L157" s="24"/>
    </row>
    <row r="158" spans="1:12" s="1679" customFormat="1">
      <c r="A158" s="1740"/>
      <c r="D158" s="1741"/>
      <c r="K158" s="24"/>
      <c r="L158" s="24"/>
    </row>
    <row r="159" spans="1:12" s="1679" customFormat="1">
      <c r="A159" s="1740"/>
      <c r="D159" s="1741"/>
      <c r="K159" s="24"/>
      <c r="L159" s="24"/>
    </row>
    <row r="160" spans="1:12" s="1679" customFormat="1">
      <c r="A160" s="1740"/>
      <c r="D160" s="1741"/>
      <c r="K160" s="24"/>
      <c r="L160" s="24"/>
    </row>
    <row r="161" spans="1:12" s="1679" customFormat="1">
      <c r="A161" s="1740"/>
      <c r="D161" s="1741"/>
      <c r="K161" s="24"/>
      <c r="L161" s="24"/>
    </row>
    <row r="162" spans="1:12" s="1679" customFormat="1">
      <c r="A162" s="1740"/>
      <c r="D162" s="1741"/>
      <c r="K162" s="24"/>
      <c r="L162" s="24"/>
    </row>
    <row r="163" spans="1:12" s="1679" customFormat="1">
      <c r="A163" s="1740"/>
      <c r="D163" s="1741"/>
      <c r="K163" s="24"/>
      <c r="L163" s="24"/>
    </row>
    <row r="164" spans="1:12" s="1679" customFormat="1">
      <c r="A164" s="1740"/>
      <c r="D164" s="1741"/>
      <c r="K164" s="24"/>
      <c r="L164" s="24"/>
    </row>
    <row r="165" spans="1:12" s="1679" customFormat="1">
      <c r="A165" s="1740"/>
      <c r="D165" s="1741"/>
      <c r="K165" s="24"/>
      <c r="L165" s="24"/>
    </row>
    <row r="166" spans="1:12" s="1679" customFormat="1">
      <c r="A166" s="1740"/>
      <c r="D166" s="1741"/>
      <c r="K166" s="24"/>
      <c r="L166" s="24"/>
    </row>
    <row r="167" spans="1:12" s="1679" customFormat="1">
      <c r="A167" s="1740"/>
      <c r="D167" s="1741"/>
      <c r="K167" s="24"/>
      <c r="L167" s="24"/>
    </row>
    <row r="168" spans="1:12" s="1679" customFormat="1">
      <c r="A168" s="1740"/>
      <c r="D168" s="1741"/>
      <c r="K168" s="24"/>
      <c r="L168" s="24"/>
    </row>
    <row r="169" spans="1:12" s="1679" customFormat="1">
      <c r="A169" s="1740"/>
      <c r="D169" s="1741"/>
      <c r="K169" s="24"/>
      <c r="L169" s="24"/>
    </row>
    <row r="170" spans="1:12" s="1679" customFormat="1">
      <c r="A170" s="1740"/>
      <c r="D170" s="1741"/>
      <c r="K170" s="24"/>
      <c r="L170" s="24"/>
    </row>
    <row r="171" spans="1:12" s="1679" customFormat="1">
      <c r="A171" s="1740"/>
      <c r="D171" s="1741"/>
      <c r="K171" s="24"/>
      <c r="L171" s="24"/>
    </row>
    <row r="172" spans="1:12" s="1679" customFormat="1">
      <c r="A172" s="1740"/>
      <c r="D172" s="1741"/>
      <c r="K172" s="24"/>
      <c r="L172" s="24"/>
    </row>
    <row r="173" spans="1:12" s="1679" customFormat="1">
      <c r="A173" s="1740"/>
      <c r="D173" s="1741"/>
      <c r="K173" s="24"/>
      <c r="L173" s="24"/>
    </row>
    <row r="174" spans="1:12" s="1679"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545" t="s">
        <v>2285</v>
      </c>
      <c r="B1" s="3546"/>
      <c r="C1" s="3546"/>
      <c r="D1" s="3546"/>
      <c r="E1" s="3546"/>
      <c r="F1" s="3546"/>
      <c r="G1" s="35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8"/>
      <c r="I2" s="798"/>
      <c r="J2" s="798"/>
      <c r="K2" s="798"/>
      <c r="L2" s="798"/>
      <c r="M2" s="798"/>
      <c r="N2" s="798"/>
      <c r="O2" s="798"/>
      <c r="P2" s="798"/>
      <c r="Q2" s="798"/>
      <c r="R2" s="798"/>
    </row>
    <row r="3" spans="1:29" ht="48">
      <c r="A3" s="2438" t="s">
        <v>2282</v>
      </c>
      <c r="B3" s="2460" t="s">
        <v>2251</v>
      </c>
      <c r="C3" s="2461" t="s">
        <v>2283</v>
      </c>
      <c r="D3" s="2462"/>
      <c r="E3" s="2439" t="s">
        <v>2282</v>
      </c>
      <c r="F3" s="2463" t="s">
        <v>2252</v>
      </c>
      <c r="G3" s="2464" t="s">
        <v>2284</v>
      </c>
      <c r="H3" s="798"/>
      <c r="I3" s="798"/>
      <c r="J3" s="798"/>
      <c r="K3" s="798"/>
      <c r="L3" s="798"/>
      <c r="M3" s="798"/>
      <c r="N3" s="798"/>
      <c r="O3" s="798"/>
      <c r="P3" s="798"/>
      <c r="Q3" s="798"/>
      <c r="R3" s="798"/>
    </row>
    <row r="4" spans="1:29" ht="36.75">
      <c r="A4" s="2439"/>
      <c r="B4" s="323" t="s">
        <v>2253</v>
      </c>
      <c r="C4" s="2465" t="s">
        <v>2254</v>
      </c>
      <c r="D4" s="2462"/>
      <c r="E4" s="2466"/>
      <c r="F4" s="1371" t="s">
        <v>2255</v>
      </c>
      <c r="G4" s="2467" t="s">
        <v>2256</v>
      </c>
      <c r="H4" s="798"/>
      <c r="I4" s="798"/>
      <c r="J4" s="798"/>
      <c r="K4" s="798"/>
      <c r="L4" s="798"/>
      <c r="M4" s="798"/>
      <c r="N4" s="798"/>
      <c r="O4" s="798"/>
      <c r="P4" s="798"/>
      <c r="Q4" s="798"/>
      <c r="R4" s="798"/>
    </row>
    <row r="5" spans="1:29" ht="36.75">
      <c r="A5" s="2439"/>
      <c r="B5" s="323" t="s">
        <v>2257</v>
      </c>
      <c r="C5" s="2465" t="s">
        <v>2258</v>
      </c>
      <c r="D5" s="2462"/>
      <c r="E5" s="2466"/>
      <c r="F5" s="323" t="s">
        <v>2259</v>
      </c>
      <c r="G5" s="2467" t="s">
        <v>2260</v>
      </c>
      <c r="H5" s="798"/>
      <c r="I5" s="798"/>
      <c r="J5" s="798"/>
      <c r="K5" s="798"/>
      <c r="L5" s="798"/>
      <c r="M5" s="798"/>
      <c r="N5" s="798"/>
      <c r="O5" s="798"/>
      <c r="P5" s="798"/>
      <c r="Q5" s="798"/>
      <c r="R5" s="798"/>
    </row>
    <row r="6" spans="1:29" ht="36">
      <c r="A6" s="2439"/>
      <c r="B6" s="323" t="s">
        <v>2261</v>
      </c>
      <c r="C6" s="2467" t="s">
        <v>2256</v>
      </c>
      <c r="D6" s="2462"/>
      <c r="E6" s="2466"/>
      <c r="F6" s="323" t="s">
        <v>2262</v>
      </c>
      <c r="G6" s="2467" t="s">
        <v>2263</v>
      </c>
      <c r="H6" s="798"/>
      <c r="I6" s="798"/>
      <c r="J6" s="798"/>
      <c r="K6" s="798"/>
      <c r="L6" s="798"/>
      <c r="M6" s="798"/>
      <c r="N6" s="798"/>
      <c r="O6" s="798"/>
      <c r="P6" s="798"/>
      <c r="Q6" s="798"/>
      <c r="R6" s="798"/>
    </row>
    <row r="7" spans="1:29" ht="24.75" thickBot="1">
      <c r="A7" s="2439"/>
      <c r="B7" s="323" t="s">
        <v>2259</v>
      </c>
      <c r="C7" s="2467" t="s">
        <v>2260</v>
      </c>
      <c r="D7" s="2468"/>
      <c r="E7" s="2469"/>
      <c r="F7" s="2470" t="s">
        <v>2264</v>
      </c>
      <c r="G7" s="2471" t="s">
        <v>2265</v>
      </c>
      <c r="H7" s="798"/>
      <c r="I7" s="798"/>
      <c r="J7" s="798"/>
      <c r="K7" s="798"/>
      <c r="L7" s="798"/>
      <c r="M7" s="798"/>
      <c r="N7" s="798"/>
      <c r="O7" s="798"/>
      <c r="P7" s="798"/>
      <c r="Q7" s="798"/>
      <c r="R7" s="798"/>
    </row>
    <row r="8" spans="1:29">
      <c r="A8" s="2439"/>
      <c r="B8" s="323" t="s">
        <v>2262</v>
      </c>
      <c r="C8" s="2467" t="s">
        <v>2263</v>
      </c>
      <c r="D8" s="2468"/>
      <c r="E8" s="2468"/>
      <c r="F8" s="2472"/>
      <c r="G8" s="2472"/>
      <c r="H8" s="798"/>
      <c r="I8" s="798"/>
      <c r="J8" s="798"/>
      <c r="K8" s="798"/>
      <c r="L8" s="798"/>
      <c r="M8" s="798"/>
      <c r="N8" s="798"/>
      <c r="O8" s="798"/>
      <c r="P8" s="798"/>
      <c r="Q8" s="798"/>
      <c r="R8" s="798"/>
    </row>
    <row r="9" spans="1:29" ht="24">
      <c r="A9" s="2439"/>
      <c r="B9" s="323" t="s">
        <v>2266</v>
      </c>
      <c r="C9" s="2465" t="s">
        <v>2267</v>
      </c>
      <c r="D9" s="2462"/>
      <c r="E9" s="2468"/>
      <c r="F9" s="2472"/>
      <c r="G9" s="2472"/>
      <c r="H9" s="798"/>
      <c r="I9" s="798"/>
      <c r="J9" s="798"/>
      <c r="K9" s="798"/>
      <c r="L9" s="798"/>
      <c r="M9" s="798"/>
      <c r="N9" s="798"/>
      <c r="O9" s="798"/>
      <c r="P9" s="798"/>
      <c r="Q9" s="798"/>
      <c r="R9" s="798"/>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8"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8"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9908.9000000000015</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45449</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17217</v>
      </c>
      <c r="C5" s="2509">
        <f ca="1">IF(B5=D14,结果表!H102,ROUND(B5*10000/$B$1,0))</f>
        <v>17375</v>
      </c>
      <c r="D5" s="2509" t="e">
        <f ca="1">ROUND(B5*10000/$B$2,0)</f>
        <v>#DIV/0!</v>
      </c>
      <c r="E5" s="2683"/>
      <c r="F5" s="2684"/>
      <c r="G5" s="2684"/>
      <c r="H5" s="2685"/>
      <c r="I5" s="2685"/>
      <c r="J5" s="2685"/>
      <c r="K5" s="2685"/>
    </row>
    <row r="6" spans="1:11" ht="16.5">
      <c r="A6" s="2509" t="s">
        <v>656</v>
      </c>
      <c r="B6" s="2509">
        <f>SUM(G14:G23)</f>
        <v>0</v>
      </c>
      <c r="C6" s="2509">
        <f ca="1">IF(B6=G14,结果表!H108,ROUND(B6*10000/$B$1,0))</f>
        <v>17375</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3358</v>
      </c>
      <c r="D10" s="2509" t="s">
        <v>3359</v>
      </c>
      <c r="E10" s="3438"/>
      <c r="F10" s="3442" t="s">
        <v>3360</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9908.9000000000015</v>
      </c>
      <c r="C14" s="2515"/>
      <c r="D14" s="2515">
        <f ca="1">结果表!H118</f>
        <v>17217</v>
      </c>
      <c r="E14" s="2515">
        <f ca="1">ROUND(D14*10000/B14,0)</f>
        <v>17375</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33" sqref="L33"/>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5" t="s">
        <v>1262</v>
      </c>
      <c r="B1" s="1744"/>
      <c r="C1" s="1745"/>
      <c r="D1" s="1744"/>
      <c r="E1" s="1744"/>
      <c r="F1" s="1746" t="s">
        <v>1263</v>
      </c>
      <c r="G1" s="1559"/>
      <c r="H1" s="1747" t="str">
        <f>IF(G1="现房","——","估价对象范围")</f>
        <v>估价对象范围</v>
      </c>
      <c r="I1" s="1748"/>
    </row>
    <row r="2" spans="1:12" ht="21.75" customHeight="1" thickBot="1">
      <c r="A2" s="3614" t="str">
        <f>项目基本情况!S2</f>
        <v>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1" t="s">
        <v>1265</v>
      </c>
      <c r="B4" s="1752" t="s">
        <v>1266</v>
      </c>
      <c r="C4" s="1753" t="s">
        <v>3634</v>
      </c>
      <c r="D4" s="1753" t="s">
        <v>3633</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4"/>
      <c r="G5" s="1754"/>
      <c r="H5" s="1754"/>
      <c r="I5" s="1371"/>
    </row>
    <row r="6" spans="1:12" ht="12.75">
      <c r="A6" s="3562"/>
      <c r="B6" s="3617"/>
      <c r="C6" s="3622"/>
      <c r="D6" s="3608"/>
      <c r="E6" s="131" t="s">
        <v>1270</v>
      </c>
      <c r="F6" s="1754"/>
      <c r="G6" s="1754"/>
      <c r="H6" s="1754"/>
      <c r="I6" s="1371"/>
    </row>
    <row r="7" spans="1:12" ht="12.75">
      <c r="A7" s="3562"/>
      <c r="B7" s="3617"/>
      <c r="C7" s="3621"/>
      <c r="D7" s="3608"/>
      <c r="E7" s="131" t="s">
        <v>1271</v>
      </c>
      <c r="F7" s="1754"/>
      <c r="G7" s="1754"/>
      <c r="H7" s="1754"/>
      <c r="I7" s="1371"/>
    </row>
    <row r="8" spans="1:12" ht="12.75">
      <c r="A8" s="3562" t="s">
        <v>1272</v>
      </c>
      <c r="B8" s="3617">
        <v>15</v>
      </c>
      <c r="C8" s="3620"/>
      <c r="D8" s="3608"/>
      <c r="E8" s="131" t="s">
        <v>1273</v>
      </c>
      <c r="F8" s="1754"/>
      <c r="G8" s="1754"/>
      <c r="H8" s="1754"/>
      <c r="I8" s="1371"/>
    </row>
    <row r="9" spans="1:12" ht="12.75">
      <c r="A9" s="3562"/>
      <c r="B9" s="3617"/>
      <c r="C9" s="3621"/>
      <c r="D9" s="3608"/>
      <c r="E9" s="131" t="s">
        <v>1274</v>
      </c>
      <c r="F9" s="1754"/>
      <c r="G9" s="1754"/>
      <c r="H9" s="1754"/>
      <c r="I9" s="1371"/>
    </row>
    <row r="10" spans="1:12" ht="12.75">
      <c r="A10" s="3562" t="s">
        <v>1275</v>
      </c>
      <c r="B10" s="3617">
        <v>15</v>
      </c>
      <c r="C10" s="3620"/>
      <c r="D10" s="3608"/>
      <c r="E10" s="131" t="s">
        <v>1276</v>
      </c>
      <c r="F10" s="1754"/>
      <c r="G10" s="1754"/>
      <c r="H10" s="1754"/>
      <c r="I10" s="1371"/>
    </row>
    <row r="11" spans="1:12" ht="12.75">
      <c r="A11" s="3562"/>
      <c r="B11" s="3617"/>
      <c r="C11" s="3621"/>
      <c r="D11" s="3608"/>
      <c r="E11" s="131" t="s">
        <v>1277</v>
      </c>
      <c r="F11" s="1754"/>
      <c r="G11" s="1754"/>
      <c r="H11" s="1754"/>
      <c r="I11" s="1371"/>
    </row>
    <row r="12" spans="1:12" ht="12.75">
      <c r="A12" s="3562" t="s">
        <v>1278</v>
      </c>
      <c r="B12" s="3617">
        <v>15</v>
      </c>
      <c r="C12" s="3620"/>
      <c r="D12" s="3608"/>
      <c r="E12" s="131" t="s">
        <v>1279</v>
      </c>
      <c r="F12" s="1754"/>
      <c r="G12" s="1754"/>
      <c r="H12" s="1754"/>
      <c r="I12" s="1371"/>
    </row>
    <row r="13" spans="1:12" ht="12.75">
      <c r="A13" s="3562"/>
      <c r="B13" s="3617"/>
      <c r="C13" s="3621"/>
      <c r="D13" s="3608"/>
      <c r="E13" s="131" t="s">
        <v>1280</v>
      </c>
      <c r="F13" s="1754"/>
      <c r="G13" s="1754"/>
      <c r="H13" s="1754"/>
      <c r="I13" s="1371"/>
    </row>
    <row r="14" spans="1:12" ht="12.75">
      <c r="A14" s="3562" t="s">
        <v>1281</v>
      </c>
      <c r="B14" s="3617">
        <v>30</v>
      </c>
      <c r="C14" s="3620">
        <v>4</v>
      </c>
      <c r="D14" s="3608">
        <v>6</v>
      </c>
      <c r="E14" s="131" t="s">
        <v>1282</v>
      </c>
      <c r="F14" s="1754"/>
      <c r="G14" s="1754"/>
      <c r="H14" s="1754"/>
      <c r="I14" s="1371"/>
    </row>
    <row r="15" spans="1:12" ht="12.75">
      <c r="A15" s="3562"/>
      <c r="B15" s="3617"/>
      <c r="C15" s="3622"/>
      <c r="D15" s="3608"/>
      <c r="E15" s="131" t="s">
        <v>1283</v>
      </c>
      <c r="F15" s="1754"/>
      <c r="G15" s="1754"/>
      <c r="H15" s="1754"/>
      <c r="I15" s="1371"/>
    </row>
    <row r="16" spans="1:12" ht="12.75">
      <c r="A16" s="3562"/>
      <c r="B16" s="3617"/>
      <c r="C16" s="3621"/>
      <c r="D16" s="3608"/>
      <c r="E16" s="131" t="s">
        <v>1284</v>
      </c>
      <c r="F16" s="1754"/>
      <c r="G16" s="1754"/>
      <c r="H16" s="1754"/>
      <c r="I16" s="1371"/>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639" t="s">
        <v>2130</v>
      </c>
      <c r="F18" s="3640"/>
      <c r="G18" s="3640"/>
      <c r="H18" s="3640"/>
      <c r="I18" s="3640"/>
      <c r="K18" s="302" t="s">
        <v>1289</v>
      </c>
      <c r="L18" s="302">
        <f>IF(C1="",'数据-汇总表'!E3,SUMIF(项目类型,C1,'数据-汇总表'!E17:E26)+SUMIF(项目类型,C1,'数据-汇总表'!I17:I26))</f>
        <v>9908.9000000000015</v>
      </c>
      <c r="M18" s="302">
        <f>IF(C1="",'数据-汇总表'!E3,SUMIF(项目类型,C1,'数据-汇总表'!E17:E26))</f>
        <v>9908.9000000000015</v>
      </c>
    </row>
    <row r="19" spans="1:36" ht="15">
      <c r="A19" s="1758" t="s">
        <v>1290</v>
      </c>
      <c r="B19" s="1759" t="s">
        <v>1291</v>
      </c>
      <c r="C19" s="134">
        <f ca="1">SUMIF(INDIRECT("'"&amp;C4&amp;"'"&amp;"!A:A"),结果表!B19,INDIRECT("'"&amp;C4&amp;"'"&amp;"!B:B"))</f>
        <v>27340</v>
      </c>
      <c r="D19" s="135">
        <f ca="1">SUMIF(INDIRECT("'"&amp;D4&amp;"'"&amp;"!A:A"),结果表!B19,INDIRECT("'"&amp;D4&amp;"'"&amp;"!B:B"))</f>
        <v>10469</v>
      </c>
      <c r="E19" s="1758" t="s">
        <v>1292</v>
      </c>
      <c r="F19" s="1759" t="s">
        <v>1291</v>
      </c>
      <c r="G19" s="136">
        <f ca="1">ROUND(C19*$C$18+D19*$D$18,0)</f>
        <v>17217</v>
      </c>
      <c r="H19" s="1760" t="s">
        <v>1293</v>
      </c>
      <c r="I19" s="129"/>
      <c r="K19" s="302" t="s">
        <v>1294</v>
      </c>
      <c r="L19" s="302">
        <f>IF(C1="",'数据-汇总表'!D3,SUMIF(项目类型,C1,'数据-汇总表'!D17:D26)+SUMIF(项目类型,C1,'数据-汇总表'!H17:H27))</f>
        <v>38090.49</v>
      </c>
      <c r="M19" s="302">
        <f>IF(C1="",'数据-汇总表'!D3,SUMIF(项目类型,C1,'数据-汇总表'!D17:D26))</f>
        <v>38090.49</v>
      </c>
    </row>
    <row r="20" spans="1:36" ht="15">
      <c r="A20" s="1761"/>
      <c r="B20" s="1025" t="s">
        <v>1295</v>
      </c>
      <c r="C20" s="137">
        <f ca="1">SUMIF(INDIRECT("'"&amp;C4&amp;"'"&amp;"!A:A"),结果表!B20,INDIRECT("'"&amp;C4&amp;"'"&amp;"!B:B"))</f>
        <v>27591</v>
      </c>
      <c r="D20" s="138">
        <f ca="1">SUMIF(INDIRECT("'"&amp;D4&amp;"'"&amp;"!A:A"),结果表!B20,INDIRECT("'"&amp;D4&amp;"'"&amp;"!B:B"))</f>
        <v>10565</v>
      </c>
      <c r="E20" s="1761"/>
      <c r="F20" s="1025" t="s">
        <v>1295</v>
      </c>
      <c r="G20" s="139">
        <f ca="1">ROUND(C20*$C$18+D20*$D$18,0)</f>
        <v>17375</v>
      </c>
      <c r="H20" s="807" t="s">
        <v>1296</v>
      </c>
      <c r="I20" s="129"/>
    </row>
    <row r="21" spans="1:36" ht="15" customHeight="1" thickBot="1">
      <c r="A21" s="827"/>
      <c r="B21" s="1762" t="s">
        <v>1297</v>
      </c>
      <c r="C21" s="718">
        <f ca="1">ROUND(C19*10000/L19,0)</f>
        <v>7178</v>
      </c>
      <c r="D21" s="719">
        <f ca="1">ROUND(D19*10000/L19,0)</f>
        <v>2748</v>
      </c>
      <c r="E21" s="827"/>
      <c r="F21" s="1762" t="s">
        <v>1297</v>
      </c>
      <c r="G21" s="140">
        <f ca="1">ROUND(G19*10000/L19,0)</f>
        <v>4520</v>
      </c>
      <c r="H21" s="1763" t="s">
        <v>1296</v>
      </c>
      <c r="I21" s="129"/>
    </row>
    <row r="22" spans="1:36" ht="15" thickBot="1">
      <c r="A22" s="1686" t="s">
        <v>1298</v>
      </c>
      <c r="B22" s="1764"/>
      <c r="C22" s="1765"/>
      <c r="D22" s="720">
        <f ca="1">IF(C19&lt;D19,D19/C19-1,C19/D19-1)</f>
        <v>1.6115197249020921</v>
      </c>
      <c r="E22" s="129"/>
      <c r="F22" s="129"/>
      <c r="G22" s="129"/>
      <c r="H22" s="129"/>
      <c r="I22" s="129"/>
    </row>
    <row r="23" spans="1:36" ht="13.5" thickBot="1">
      <c r="A23" s="1744"/>
      <c r="B23" s="1744"/>
      <c r="C23" s="1744"/>
      <c r="D23" s="1744"/>
      <c r="E23" s="129"/>
      <c r="F23" s="129"/>
      <c r="G23" s="129"/>
      <c r="H23" s="129"/>
      <c r="I23" s="129"/>
    </row>
    <row r="24" spans="1:36" ht="14.25">
      <c r="A24" s="3632" t="s">
        <v>1299</v>
      </c>
      <c r="B24" s="1759" t="s">
        <v>1291</v>
      </c>
      <c r="C24" s="136">
        <f>IF(B30=0,0,D30)</f>
        <v>0</v>
      </c>
      <c r="D24" s="1766"/>
      <c r="E24" s="129"/>
      <c r="F24" s="129"/>
      <c r="G24" s="129"/>
      <c r="H24" s="129"/>
      <c r="I24" s="129"/>
    </row>
    <row r="25" spans="1:36" ht="14.25">
      <c r="A25" s="3633"/>
      <c r="B25" s="1025"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17375</v>
      </c>
      <c r="D32" s="1772" t="s">
        <v>3438</v>
      </c>
      <c r="E32" s="129"/>
      <c r="F32" s="129"/>
      <c r="G32" s="129"/>
      <c r="H32" s="129"/>
      <c r="I32" s="129"/>
    </row>
    <row r="33" spans="1:15" ht="15">
      <c r="A33" s="785" t="s">
        <v>1306</v>
      </c>
      <c r="B33" s="1773"/>
      <c r="C33" s="1774" t="s">
        <v>3442</v>
      </c>
      <c r="D33" s="1775"/>
      <c r="E33" s="1776" t="s">
        <v>1307</v>
      </c>
      <c r="F33" s="1777" t="str">
        <f>IF(D32="楼面单价","取值（单价）","取值（总价）")</f>
        <v>取值（单价）</v>
      </c>
      <c r="G33" s="129"/>
      <c r="H33" s="129"/>
      <c r="I33" s="129"/>
    </row>
    <row r="34" spans="1:15" ht="15">
      <c r="A34" s="1778"/>
      <c r="B34" s="1779" t="s">
        <v>1308</v>
      </c>
      <c r="C34" s="148">
        <f>IF(C33="自定义",F34,C32-C35)</f>
        <v>0</v>
      </c>
      <c r="D34" s="860">
        <f ca="1">IF(C33="自定义",ROUND(C34/C32,3),IF(C33="收益比率",SUMIF(INDIRECT("'"&amp;D33&amp;"'"&amp;"!b:b"),"土地收益比率",INDIRECT("'"&amp;D33&amp;"'"&amp;"!c:c")),SUMIF(INDIRECT("'"&amp;D33&amp;"'"&amp;"!b:b"),"土地成本比率",INDIRECT("'"&amp;D33&amp;"'"&amp;"!c:c"))))</f>
        <v>0</v>
      </c>
      <c r="E34" s="1780" t="s">
        <v>1309</v>
      </c>
      <c r="F34" s="1328"/>
      <c r="G34" s="129"/>
      <c r="H34" s="129"/>
      <c r="I34" s="129"/>
    </row>
    <row r="35" spans="1:15" ht="15.75" thickBot="1">
      <c r="A35" s="1781"/>
      <c r="B35" s="1782"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3" t="s">
        <v>1311</v>
      </c>
      <c r="F35" s="154"/>
      <c r="G35" s="129"/>
      <c r="H35" s="129"/>
      <c r="I35" s="129"/>
    </row>
    <row r="36" spans="1:15" ht="15.75" thickBot="1">
      <c r="A36" s="3609" t="s">
        <v>1312</v>
      </c>
      <c r="B36" s="1784" t="s">
        <v>1313</v>
      </c>
      <c r="C36" s="145"/>
      <c r="D36" s="1785"/>
      <c r="E36" s="1786"/>
      <c r="F36" s="1787"/>
      <c r="G36" s="129"/>
      <c r="H36" s="129"/>
      <c r="I36" s="129"/>
    </row>
    <row r="37" spans="1:15" ht="15.75" thickBot="1">
      <c r="A37" s="3610"/>
      <c r="B37" s="1672" t="s">
        <v>1314</v>
      </c>
      <c r="C37" s="147"/>
      <c r="D37" s="1138"/>
      <c r="E37" s="1138"/>
      <c r="F37" s="1787"/>
      <c r="G37" s="129"/>
      <c r="H37" s="129"/>
      <c r="I37" s="129"/>
    </row>
    <row r="38" spans="1:15" ht="15.75" thickBot="1">
      <c r="A38" s="3611"/>
      <c r="B38" s="1788" t="s">
        <v>1315</v>
      </c>
      <c r="C38" s="673"/>
      <c r="D38" s="1789" t="s">
        <v>1316</v>
      </c>
      <c r="E38" s="1138"/>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5"/>
      <c r="B43" s="1575"/>
      <c r="C43" s="1575"/>
      <c r="D43" s="1575"/>
      <c r="E43" s="1575"/>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9" t="s">
        <v>1326</v>
      </c>
      <c r="B45" s="3630"/>
      <c r="C45" s="3631"/>
      <c r="D45" s="155">
        <f ca="1">ROUND(H101*F45,0)</f>
        <v>17217</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3"/>
      <c r="I46" s="159"/>
      <c r="J46" s="2520">
        <v>1</v>
      </c>
      <c r="K46" s="3550" t="s">
        <v>1331</v>
      </c>
      <c r="L46" s="3550"/>
      <c r="M46" s="3551"/>
      <c r="N46" s="3551"/>
      <c r="O46" s="3551"/>
    </row>
    <row r="47" spans="1:15" ht="12" customHeight="1">
      <c r="A47" s="160" t="s">
        <v>1332</v>
      </c>
      <c r="B47" s="161"/>
      <c r="C47" s="162"/>
      <c r="D47" s="1086" t="s">
        <v>1333</v>
      </c>
      <c r="E47" s="302" t="s">
        <v>1334</v>
      </c>
      <c r="F47" s="163" t="s">
        <v>1335</v>
      </c>
      <c r="G47" s="2543" t="s">
        <v>1336</v>
      </c>
      <c r="H47" s="2544"/>
      <c r="I47" s="159"/>
      <c r="J47" s="2520">
        <v>2</v>
      </c>
      <c r="K47" s="3550" t="s">
        <v>1337</v>
      </c>
      <c r="L47" s="3550"/>
      <c r="M47" s="3552">
        <f>'数据-取费表'!B2</f>
        <v>45449</v>
      </c>
      <c r="N47" s="3552"/>
      <c r="O47" s="3552"/>
    </row>
    <row r="48" spans="1:15" ht="25.5">
      <c r="A48" s="3612" t="s">
        <v>1338</v>
      </c>
      <c r="B48" s="3613"/>
      <c r="C48" s="3613"/>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550" t="s">
        <v>1340</v>
      </c>
      <c r="L48" s="3550"/>
      <c r="M48" s="3553">
        <f ca="1">H101</f>
        <v>17217</v>
      </c>
      <c r="N48" s="3553"/>
      <c r="O48" s="3553"/>
    </row>
    <row r="49" spans="1:35" ht="25.5" customHeight="1">
      <c r="A49" s="2330" t="s">
        <v>1341</v>
      </c>
      <c r="B49" s="3598" t="s">
        <v>1342</v>
      </c>
      <c r="C49" s="3598"/>
      <c r="D49" s="1588">
        <v>0</v>
      </c>
      <c r="E49" s="324" t="s">
        <v>1343</v>
      </c>
      <c r="F49" s="2421" t="s">
        <v>28</v>
      </c>
      <c r="G49" s="3581"/>
      <c r="H49" s="2307" t="s">
        <v>2133</v>
      </c>
      <c r="I49" s="2308"/>
      <c r="J49" s="2520">
        <v>4</v>
      </c>
      <c r="K49" s="3550" t="str">
        <f>IF(项目基本情况!E8="房地产抵押价值","房地产抵押价值","抵押担保权已注销时的房地产抵押价值")</f>
        <v>房地产抵押价值</v>
      </c>
      <c r="L49" s="3550"/>
      <c r="M49" s="3553">
        <f ca="1">IF(项目基本情况!E8="房地产抵押价值",H107,H109)</f>
        <v>17217</v>
      </c>
      <c r="N49" s="3553"/>
      <c r="O49" s="3553"/>
    </row>
    <row r="50" spans="1:35" ht="25.5" customHeight="1">
      <c r="A50" s="2548"/>
      <c r="B50" s="3598" t="s">
        <v>1344</v>
      </c>
      <c r="C50" s="3598"/>
      <c r="D50" s="2549"/>
      <c r="E50" s="332"/>
      <c r="F50" s="2421"/>
      <c r="G50" s="3582"/>
      <c r="H50" s="2309" t="s">
        <v>2134</v>
      </c>
      <c r="I50" s="2308"/>
      <c r="J50" s="3549" t="s">
        <v>1345</v>
      </c>
      <c r="K50" s="3549"/>
      <c r="L50" s="3549"/>
      <c r="M50" s="3549"/>
      <c r="N50" s="3549"/>
      <c r="O50" s="3549"/>
    </row>
    <row r="51" spans="1:35" ht="20.45" customHeight="1">
      <c r="A51" s="2550"/>
      <c r="B51" s="3598" t="s">
        <v>1346</v>
      </c>
      <c r="C51" s="3598"/>
      <c r="D51" s="1086"/>
      <c r="E51" s="327"/>
      <c r="F51" s="2421"/>
      <c r="G51" s="3583"/>
      <c r="H51" s="2309" t="s">
        <v>2135</v>
      </c>
      <c r="I51" s="2308"/>
      <c r="J51" s="2521" t="s">
        <v>1347</v>
      </c>
      <c r="K51" s="3550" t="s">
        <v>1348</v>
      </c>
      <c r="L51" s="3550"/>
      <c r="M51" s="2521" t="s">
        <v>1349</v>
      </c>
      <c r="N51" s="2521" t="s">
        <v>1350</v>
      </c>
      <c r="O51" s="2521" t="s">
        <v>1351</v>
      </c>
    </row>
    <row r="52" spans="1:35" ht="24" customHeight="1">
      <c r="A52" s="2332" t="s">
        <v>1352</v>
      </c>
      <c r="B52" s="3598" t="s">
        <v>1353</v>
      </c>
      <c r="C52" s="3598"/>
      <c r="D52" s="1086">
        <f ca="1">ROUND(D45*'数据-取费表'!B41/(1+'数据-取费表'!C42),0)</f>
        <v>918</v>
      </c>
      <c r="E52" s="2331" t="s">
        <v>1354</v>
      </c>
      <c r="F52" s="2551">
        <f>'数据-取费表'!B41</f>
        <v>5.6000000000000001E-2</v>
      </c>
      <c r="G52" s="2552"/>
      <c r="H52" s="2541"/>
      <c r="I52" s="1804"/>
      <c r="J52" s="2520">
        <v>1</v>
      </c>
      <c r="K52" s="3575" t="s">
        <v>1355</v>
      </c>
      <c r="L52" s="3575"/>
      <c r="M52" s="2522" t="b">
        <f>D48</f>
        <v>0</v>
      </c>
      <c r="N52" s="2520" t="str">
        <f>E48</f>
        <v>销售额×税（费）率</v>
      </c>
      <c r="O52" s="2523">
        <f>F48</f>
        <v>5.6000000000000001E-2</v>
      </c>
    </row>
    <row r="53" spans="1:35" ht="12" customHeight="1">
      <c r="A53" s="2332" t="s">
        <v>1356</v>
      </c>
      <c r="B53" s="3599" t="s">
        <v>2290</v>
      </c>
      <c r="C53" s="3600"/>
      <c r="D53" s="1086">
        <f ca="1">ROUND(D45*'数据-取费表'!B41/(1+'数据-取费表'!C42),0)</f>
        <v>918</v>
      </c>
      <c r="E53" s="2331" t="s">
        <v>1354</v>
      </c>
      <c r="F53" s="2551">
        <f>'数据-取费表'!B41</f>
        <v>5.6000000000000001E-2</v>
      </c>
      <c r="G53" s="2552"/>
      <c r="H53" s="2541"/>
      <c r="I53" s="1804"/>
      <c r="J53" s="2520">
        <v>2</v>
      </c>
      <c r="K53" s="3575" t="s">
        <v>1357</v>
      </c>
      <c r="L53" s="3575"/>
      <c r="M53" s="2522">
        <f t="shared" ref="M53:O54" ca="1" si="0">D55</f>
        <v>9</v>
      </c>
      <c r="N53" s="2520" t="str">
        <f t="shared" si="0"/>
        <v>销售额×税（费）率</v>
      </c>
      <c r="O53" s="2523" t="str">
        <f t="shared" si="0"/>
        <v>免征</v>
      </c>
    </row>
    <row r="54" spans="1:35" ht="12" customHeight="1">
      <c r="A54" s="2332" t="s">
        <v>1358</v>
      </c>
      <c r="B54" s="3599" t="s">
        <v>2291</v>
      </c>
      <c r="C54" s="3600"/>
      <c r="D54" s="1086">
        <f ca="1">C68</f>
        <v>918</v>
      </c>
      <c r="E54" s="327" t="s">
        <v>1359</v>
      </c>
      <c r="F54" s="2551">
        <f>'数据-取费表'!B41</f>
        <v>5.6000000000000001E-2</v>
      </c>
      <c r="G54" s="2552"/>
      <c r="H54" s="2553"/>
      <c r="I54" s="1804"/>
      <c r="J54" s="2520">
        <v>3</v>
      </c>
      <c r="K54" s="3575" t="s">
        <v>1360</v>
      </c>
      <c r="L54" s="3575"/>
      <c r="M54" s="2522">
        <f t="shared" ca="1" si="0"/>
        <v>9745</v>
      </c>
      <c r="N54" s="2520" t="str">
        <f t="shared" si="0"/>
        <v>增值额×税（费）率</v>
      </c>
      <c r="O54" s="2524" t="str">
        <f t="shared" si="0"/>
        <v>免征</v>
      </c>
    </row>
    <row r="55" spans="1:35" ht="24" customHeight="1">
      <c r="A55" s="3635" t="s">
        <v>1361</v>
      </c>
      <c r="B55" s="3613"/>
      <c r="C55" s="3613"/>
      <c r="D55" s="2321">
        <f ca="1">IF(H55="个人住宅",0,ROUND(D45*I55,0))</f>
        <v>9</v>
      </c>
      <c r="E55" s="2331" t="s">
        <v>1362</v>
      </c>
      <c r="F55" s="2551" t="str">
        <f>IF(H55="正常",I55,"免征")</f>
        <v>免征</v>
      </c>
      <c r="G55" s="2552"/>
      <c r="H55" s="2547"/>
      <c r="I55" s="165">
        <f>'数据-取费表'!B49</f>
        <v>5.0000000000000001E-4</v>
      </c>
      <c r="J55" s="2520">
        <f>IF(H59="非个人房产","",4)</f>
        <v>4</v>
      </c>
      <c r="K55" s="3575" t="str">
        <f>IF(H59="非个人房产","——","个人所得税")</f>
        <v>个人所得税</v>
      </c>
      <c r="L55" s="3575"/>
      <c r="M55" s="2525">
        <f ca="1">D59</f>
        <v>164</v>
      </c>
      <c r="N55" s="2037" t="str">
        <f>E59</f>
        <v>差额计税</v>
      </c>
      <c r="O55" s="2526">
        <f>F59</f>
        <v>0.01</v>
      </c>
    </row>
    <row r="56" spans="1:35" ht="24.75">
      <c r="A56" s="3635" t="s">
        <v>1363</v>
      </c>
      <c r="B56" s="3613"/>
      <c r="C56" s="3613"/>
      <c r="D56" s="2321">
        <f ca="1">IF(H56="个人住宅",D57,D58)</f>
        <v>9745</v>
      </c>
      <c r="E56" s="2331" t="s">
        <v>1364</v>
      </c>
      <c r="F56" s="2551" t="str">
        <f>IF(H56="正常",F58,"免征")</f>
        <v>免征</v>
      </c>
      <c r="G56" s="2554" t="s">
        <v>1365</v>
      </c>
      <c r="H56" s="2555"/>
      <c r="I56" s="1805"/>
      <c r="J56" s="2520" t="str">
        <f>IF(项目基本情况!K6="上海银行",IF(J55="",4,J55+1),"")</f>
        <v/>
      </c>
      <c r="K56" s="3556" t="str">
        <f>IF(项目基本情况!K6="上海银行","其他处置费用","")</f>
        <v/>
      </c>
      <c r="L56" s="3557"/>
      <c r="M56" s="2522" t="str">
        <f>IF(项目基本情况!K6="上海银行",M69,"")</f>
        <v/>
      </c>
      <c r="N56" s="3556" t="str">
        <f>IF(项目基本情况!K6="上海银行","包含处置中涉及的律师、诉讼、拍卖、评估等费用","")</f>
        <v/>
      </c>
      <c r="O56" s="3559"/>
    </row>
    <row r="57" spans="1:35" ht="12.75">
      <c r="A57" s="2332" t="s">
        <v>1341</v>
      </c>
      <c r="B57" s="3599" t="s">
        <v>1366</v>
      </c>
      <c r="C57" s="3600"/>
      <c r="D57" s="1588">
        <v>0</v>
      </c>
      <c r="E57" s="324" t="s">
        <v>1343</v>
      </c>
      <c r="F57" s="302"/>
      <c r="G57" s="2552"/>
      <c r="H57" s="2556"/>
      <c r="I57" s="1805"/>
      <c r="J57" s="3575">
        <f>IF(AND(J55="",J56=""),4,IF(项目基本情况!K6="上海银行",结果表!J56+1,结果表!J55+1))</f>
        <v>5</v>
      </c>
      <c r="K57" s="3575" t="s">
        <v>1367</v>
      </c>
      <c r="L57" s="2527" t="s">
        <v>1368</v>
      </c>
      <c r="M57" s="2528"/>
      <c r="N57" s="2529">
        <f ca="1">SUMIF(M52:M56,"&lt;9e307")</f>
        <v>9918</v>
      </c>
      <c r="O57" s="2530"/>
      <c r="P57" s="2687">
        <f ca="1">N57/M49</f>
        <v>0.57605854678515422</v>
      </c>
    </row>
    <row r="58" spans="1:35" ht="24.75">
      <c r="A58" s="2332" t="s">
        <v>1352</v>
      </c>
      <c r="B58" s="3599" t="s">
        <v>1369</v>
      </c>
      <c r="C58" s="3598"/>
      <c r="D58" s="2321">
        <f ca="1">IF(H58="转让取得",C81,C97)</f>
        <v>9745</v>
      </c>
      <c r="E58" s="2331" t="s">
        <v>1364</v>
      </c>
      <c r="F58" s="302" t="s">
        <v>28</v>
      </c>
      <c r="G58" s="2552"/>
      <c r="H58" s="2555"/>
      <c r="I58" s="1805"/>
      <c r="J58" s="3575"/>
      <c r="K58" s="3575"/>
      <c r="L58" s="2527" t="s">
        <v>1370</v>
      </c>
      <c r="M58" s="2531"/>
      <c r="N58" s="2532" t="str">
        <f ca="1">NUMBERSTRING(INT(N57*10000),2)&amp;"元整"</f>
        <v>玖仟玖佰壹拾捌万元整</v>
      </c>
      <c r="O58" s="2533"/>
    </row>
    <row r="59" spans="1:35" ht="24.75" thickBot="1">
      <c r="A59" s="3579" t="s">
        <v>1371</v>
      </c>
      <c r="B59" s="3580"/>
      <c r="C59" s="3580"/>
      <c r="D59" s="2557">
        <f ca="1">IF(H59="非个人房产","——",IF(H59="个人住宅（满五唯一有凭证）",0,IF(H59="个人其他（无凭证）",ROUND(D45*F59,0),ROUND(C67*F59,0))))</f>
        <v>164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577">
        <f>J57+1</f>
        <v>6</v>
      </c>
      <c r="K59" s="3575" t="s">
        <v>1372</v>
      </c>
      <c r="L59" s="2520" t="s">
        <v>1368</v>
      </c>
      <c r="M59" s="2534"/>
      <c r="N59" s="2535">
        <f ca="1">M49-N57</f>
        <v>7299</v>
      </c>
      <c r="O59" s="2536"/>
    </row>
    <row r="60" spans="1:35" ht="12" customHeight="1">
      <c r="A60" s="1806"/>
      <c r="B60" s="1744"/>
      <c r="C60" s="1744"/>
      <c r="D60" s="1744"/>
      <c r="E60" s="1576"/>
      <c r="F60" s="1805"/>
      <c r="G60" s="1805"/>
      <c r="H60" s="1807"/>
      <c r="I60" s="129"/>
      <c r="J60" s="3578"/>
      <c r="K60" s="3575"/>
      <c r="L60" s="2527" t="s">
        <v>1370</v>
      </c>
      <c r="M60" s="2531"/>
      <c r="N60" s="2532" t="str">
        <f ca="1">NUMBERSTRING(INT(N59*10000),2)&amp;"元整"</f>
        <v>柒仟贰佰玖拾玖万元整</v>
      </c>
      <c r="O60" s="2533"/>
    </row>
    <row r="61" spans="1:35" ht="13.5" thickBot="1">
      <c r="A61" s="3634" t="s">
        <v>1373</v>
      </c>
      <c r="B61" s="3634"/>
      <c r="C61" s="3634"/>
      <c r="D61" s="3634"/>
      <c r="E61" s="3634"/>
      <c r="F61" s="1805"/>
      <c r="G61" s="1805"/>
      <c r="H61" s="1807"/>
      <c r="I61" s="129"/>
      <c r="J61" s="2520">
        <f>J59+1</f>
        <v>7</v>
      </c>
      <c r="K61" s="3575" t="s">
        <v>1374</v>
      </c>
      <c r="L61" s="3575"/>
      <c r="M61" s="2537"/>
      <c r="N61" s="2538">
        <f ca="1">ROUND(N59*10000/'数据-汇总表'!E3,0)</f>
        <v>7366</v>
      </c>
      <c r="O61" s="2539"/>
    </row>
    <row r="62" spans="1:35" ht="12.75">
      <c r="A62" s="3594" t="s">
        <v>1375</v>
      </c>
      <c r="B62" s="3595"/>
      <c r="C62" s="2018"/>
      <c r="D62" s="2018" t="s">
        <v>1376</v>
      </c>
      <c r="E62" s="166" t="s">
        <v>1377</v>
      </c>
      <c r="F62" s="1805"/>
      <c r="G62" s="1805"/>
      <c r="H62" s="1807"/>
      <c r="I62" s="129"/>
    </row>
    <row r="63" spans="1:35" ht="12.75">
      <c r="A63" s="173" t="s">
        <v>330</v>
      </c>
      <c r="B63" s="167" t="s">
        <v>1378</v>
      </c>
      <c r="C63" s="2561">
        <f ca="1">ROUND((C64+C65)/(1+'数据-取费表'!C42),0)</f>
        <v>16397</v>
      </c>
      <c r="D63" s="167"/>
      <c r="E63" s="168"/>
      <c r="F63" s="1805"/>
      <c r="G63" s="1805"/>
      <c r="H63" s="1807"/>
      <c r="I63" s="129"/>
      <c r="J63" s="3558" t="s">
        <v>1379</v>
      </c>
      <c r="K63" s="1330" t="s">
        <v>1380</v>
      </c>
      <c r="L63" s="1330">
        <f ca="1">IF(M49&gt;10000,M49*0.5%,IF(AND(M49&gt;1000,M49&lt;=10000),M49*1%,IF(AND(M49&gt;100,M49&lt;=1000),M49*3%,IF(AND(M49&gt;10,M49&lt;=100),M49*5%,M49*8%))))</f>
        <v>86.085000000000008</v>
      </c>
      <c r="M63" s="302">
        <f ca="1">ROUND(L63,1)</f>
        <v>86.1</v>
      </c>
      <c r="N63" s="2540"/>
      <c r="Z63" s="1749"/>
      <c r="AI63" s="1750"/>
    </row>
    <row r="64" spans="1:35" ht="14.25" customHeight="1">
      <c r="A64" s="169" t="s">
        <v>325</v>
      </c>
      <c r="B64" s="170" t="s">
        <v>1381</v>
      </c>
      <c r="C64" s="2562">
        <f ca="1">D45</f>
        <v>17217</v>
      </c>
      <c r="D64" s="170" t="s">
        <v>26</v>
      </c>
      <c r="E64" s="172"/>
      <c r="F64" s="1805"/>
      <c r="G64" s="1805"/>
      <c r="H64" s="1807"/>
      <c r="I64" s="129"/>
      <c r="J64" s="3558"/>
      <c r="K64" s="1330" t="s">
        <v>1382</v>
      </c>
      <c r="L64" s="1330">
        <f ca="1">IF(M49&gt;2000,M49*0.5%,IF(AND(M49&gt;1000,M49&lt;=2000),M49*0.6%,IF(AND(M49&gt;500,M49&lt;=1000),M49*0.7%,IF(AND(M49&gt;200,M49&lt;=500),M49*0.8%,IF(AND(M49&gt;100,M49&lt;=200),M49*0.9%,IF(AND(M49&gt;50,M49&lt;=100),M49*1%,IF(AND(M49&gt;20,M49&lt;=50),M49*1.5%,IF(AND(M49&gt;10,M49&lt;=20),M49*2%,IF(AND(M49&gt;1,M49&lt;=10),M49*2.5%)))))))))</f>
        <v>86.085000000000008</v>
      </c>
      <c r="M64" s="302">
        <f t="shared" ref="M64:M65" ca="1" si="1">ROUND(L64,1)</f>
        <v>86.1</v>
      </c>
      <c r="N64" s="2541" t="s">
        <v>1383</v>
      </c>
      <c r="Z64" s="1749"/>
      <c r="AI64" s="1750"/>
    </row>
    <row r="65" spans="1:35" ht="14.25" customHeight="1">
      <c r="A65" s="169" t="s">
        <v>326</v>
      </c>
      <c r="B65" s="170" t="s">
        <v>1384</v>
      </c>
      <c r="C65" s="2563"/>
      <c r="D65" s="170"/>
      <c r="E65" s="172"/>
      <c r="F65" s="1805"/>
      <c r="G65" s="1805"/>
      <c r="H65" s="1807"/>
      <c r="I65" s="129"/>
      <c r="J65" s="3558"/>
      <c r="K65" s="1330" t="s">
        <v>1385</v>
      </c>
      <c r="L65" s="1330">
        <f ca="1">IF(M49&gt;1000,M49*0.1%,IF(AND(M49&gt;500,M49&lt;=1000),M49*0.5%,IF(AND(M49&gt;50,M49&lt;=500),M49*1%,IF(AND(M49&gt;1,M49&lt;=50),M49*1.5%))))</f>
        <v>17.216999999999999</v>
      </c>
      <c r="M65" s="302">
        <f t="shared" ca="1" si="1"/>
        <v>17.2</v>
      </c>
      <c r="N65" s="2541" t="s">
        <v>1383</v>
      </c>
      <c r="Z65" s="1749"/>
      <c r="AI65" s="1750"/>
    </row>
    <row r="66" spans="1:35" ht="14.25" customHeight="1">
      <c r="A66" s="173" t="s">
        <v>327</v>
      </c>
      <c r="B66" s="174" t="s">
        <v>1386</v>
      </c>
      <c r="C66" s="2564"/>
      <c r="D66" s="174" t="s">
        <v>26</v>
      </c>
      <c r="E66" s="1336" t="s">
        <v>671</v>
      </c>
      <c r="F66" s="1805"/>
      <c r="G66" s="1805"/>
      <c r="H66" s="1807"/>
      <c r="I66" s="129"/>
      <c r="J66" s="3558"/>
      <c r="K66" s="1330" t="s">
        <v>1387</v>
      </c>
      <c r="L66" s="1330">
        <f ca="1">M49*0.5%</f>
        <v>86.085000000000008</v>
      </c>
      <c r="M66" s="302">
        <f ca="1">IF(L66&gt;0.5,0.5,ROUND(L66,0))</f>
        <v>0.5</v>
      </c>
      <c r="N66" s="2541" t="s">
        <v>1388</v>
      </c>
      <c r="Z66" s="1749"/>
      <c r="AI66" s="1750"/>
    </row>
    <row r="67" spans="1:35" ht="14.25" customHeight="1">
      <c r="A67" s="173" t="s">
        <v>328</v>
      </c>
      <c r="B67" s="174" t="s">
        <v>1389</v>
      </c>
      <c r="C67" s="2565">
        <f ca="1">C63-C66</f>
        <v>16397</v>
      </c>
      <c r="D67" s="170" t="s">
        <v>26</v>
      </c>
      <c r="E67" s="172"/>
      <c r="F67" s="1805"/>
      <c r="G67" s="1805"/>
      <c r="H67" s="1807"/>
      <c r="I67" s="129"/>
      <c r="J67" s="3558"/>
      <c r="K67" s="1330" t="s">
        <v>1390</v>
      </c>
      <c r="L67" s="1330">
        <f ca="1">IF(M49&gt;=10000,(8.25+(M49-10000)*0.01%),IF(AND(M49&gt;=8000,M49&lt;10000),(7.85+(M49-8000)*0.02%),IF(AND(M49&gt;=5000,M49&lt;8000),(6.65+(M49-5000)*0.04%),IF(AND(M49&gt;=2000,M49&lt;5000),(4.25+(PM49-2000)*0.08%),IF(AND(M49&gt;=1000,M49&lt;2000),(2.75+(M49-1000)*0.15%),IF(AND(M49&gt;=100,M49&lt;1000),(0.5+(M49-100)*0.25%),IF(AND(M49&gt;0,M49&lt;100),M49*0.5%)))))))</f>
        <v>8.9717000000000002</v>
      </c>
      <c r="M67" s="302">
        <f ca="1">ROUND(L67*0.9,1)</f>
        <v>8.1</v>
      </c>
      <c r="N67" s="2540"/>
      <c r="Z67" s="1749"/>
      <c r="AI67" s="1750"/>
    </row>
    <row r="68" spans="1:35" ht="14.25" customHeight="1" thickBot="1">
      <c r="A68" s="176" t="s">
        <v>329</v>
      </c>
      <c r="B68" s="177" t="s">
        <v>1391</v>
      </c>
      <c r="C68" s="2566">
        <f ca="1">IF(C67&lt;=0,0,ROUND(C67*D68,0))</f>
        <v>918</v>
      </c>
      <c r="D68" s="2567">
        <f>'数据-取费表'!B41</f>
        <v>5.6000000000000001E-2</v>
      </c>
      <c r="E68" s="178"/>
      <c r="F68" s="1805"/>
      <c r="G68" s="1805"/>
      <c r="H68" s="1807"/>
      <c r="I68" s="129"/>
      <c r="J68" s="3558"/>
      <c r="K68" s="1330" t="s">
        <v>1392</v>
      </c>
      <c r="L68" s="1330">
        <f ca="1">IF(M49&gt;10000,M49*0.5%,IF(AND(M49&gt;5000,M49&lt;=10000),M49*1%,IF(AND(M49&gt;1000,M49&lt;=5000),M49*2%,IF(AND(M49&gt;200,M49&lt;=1000),M49*3%,M49*5%))))</f>
        <v>86.085000000000008</v>
      </c>
      <c r="M68" s="302">
        <f ca="1">ROUND(L68,1)</f>
        <v>86.1</v>
      </c>
      <c r="N68" s="2540"/>
      <c r="Z68" s="1749"/>
      <c r="AI68" s="1750"/>
    </row>
    <row r="69" spans="1:35" s="1769" customFormat="1" ht="16.5" customHeight="1">
      <c r="A69" s="1808"/>
      <c r="B69" s="1809"/>
      <c r="C69" s="1810"/>
      <c r="D69" s="1811"/>
      <c r="E69" s="1812"/>
      <c r="F69" s="1576"/>
      <c r="G69" s="1576"/>
      <c r="H69" s="1575"/>
      <c r="I69" s="1744"/>
      <c r="J69" s="3558"/>
      <c r="K69" s="1330" t="s">
        <v>1393</v>
      </c>
      <c r="L69" s="1330"/>
      <c r="M69" s="302">
        <f ca="1">ROUND(SUM(M63:M68),0)</f>
        <v>284</v>
      </c>
      <c r="N69" s="2542">
        <f ca="1">M69/M49</f>
        <v>1.64953243886856E-2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02" t="s">
        <v>1394</v>
      </c>
      <c r="B70" s="3603"/>
      <c r="C70" s="3603"/>
      <c r="D70" s="3603"/>
      <c r="E70" s="3603"/>
      <c r="F70" s="3603"/>
      <c r="G70" s="3603"/>
      <c r="H70" s="3603"/>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4" t="s">
        <v>1375</v>
      </c>
      <c r="B71" s="3595"/>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16397</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98</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99" t="s">
        <v>1402</v>
      </c>
      <c r="F76" s="3598"/>
      <c r="G76" s="3598"/>
      <c r="H76" s="360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98</v>
      </c>
      <c r="D78" s="2574">
        <f>'数据-取费表'!B43</f>
        <v>6.000000000000001E-3</v>
      </c>
      <c r="E78" s="3591" t="s">
        <v>1406</v>
      </c>
      <c r="F78" s="3592"/>
      <c r="G78" s="3592"/>
      <c r="H78" s="359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16299</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166.31632653061226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9745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2" t="s">
        <v>1410</v>
      </c>
      <c r="B83" s="3603"/>
      <c r="C83" s="3603"/>
      <c r="D83" s="3603"/>
      <c r="E83" s="3603"/>
      <c r="F83" s="3603"/>
      <c r="G83" s="3603"/>
      <c r="H83" s="360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4" t="s">
        <v>1375</v>
      </c>
      <c r="B84" s="3595"/>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16397</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98</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560" t="s">
        <v>2128</v>
      </c>
      <c r="H90" s="3561"/>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91" t="s">
        <v>1419</v>
      </c>
      <c r="F91" s="3592"/>
      <c r="G91" s="3592"/>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91" t="s">
        <v>1422</v>
      </c>
      <c r="F92" s="3592"/>
      <c r="G92" s="3592"/>
      <c r="H92" s="3593"/>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98</v>
      </c>
      <c r="D93" s="2574">
        <f>'数据-取费表'!B43</f>
        <v>6.000000000000001E-3</v>
      </c>
      <c r="E93" s="3591" t="s">
        <v>1406</v>
      </c>
      <c r="F93" s="3592"/>
      <c r="G93" s="3592"/>
      <c r="H93" s="359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636" t="s">
        <v>1426</v>
      </c>
      <c r="F94" s="3637"/>
      <c r="G94" s="3637"/>
      <c r="H94" s="363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16299</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166.31632653061226</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9745</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6"/>
      <c r="F98" s="1576"/>
      <c r="G98" s="1576"/>
      <c r="H98" s="1575"/>
      <c r="I98" s="129"/>
    </row>
    <row r="99" spans="1:35" ht="21.75" customHeight="1" thickBot="1">
      <c r="A99" s="1797" t="s">
        <v>1427</v>
      </c>
      <c r="B99" s="1744"/>
      <c r="C99" s="1744"/>
      <c r="D99" s="1744"/>
      <c r="E99" s="1576"/>
      <c r="F99" s="1576"/>
      <c r="G99" s="1576"/>
      <c r="H99" s="1575"/>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2" t="str">
        <f>C4</f>
        <v>成本法</v>
      </c>
      <c r="D101" s="2583" t="str">
        <f>D4</f>
        <v>收益法</v>
      </c>
      <c r="E101" s="3554" t="s">
        <v>1431</v>
      </c>
      <c r="F101" s="3555"/>
      <c r="G101" s="1824" t="s">
        <v>1432</v>
      </c>
      <c r="H101" s="2592">
        <f ca="1">H118</f>
        <v>17217</v>
      </c>
      <c r="I101" s="129"/>
    </row>
    <row r="102" spans="1:35" ht="18.75" customHeight="1">
      <c r="A102" s="3586" t="s">
        <v>1433</v>
      </c>
      <c r="B102" s="2581" t="s">
        <v>1432</v>
      </c>
      <c r="C102" s="2582">
        <f ca="1">IF(D32="楼面单价",ROUND(C19,0),C19)</f>
        <v>27340</v>
      </c>
      <c r="D102" s="2583">
        <f ca="1">IF(D32="楼面单价",ROUND(D19,0),D19)</f>
        <v>10469</v>
      </c>
      <c r="E102" s="3554"/>
      <c r="F102" s="3555"/>
      <c r="G102" s="1824" t="s">
        <v>1434</v>
      </c>
      <c r="H102" s="2552">
        <f ca="1">I118</f>
        <v>17375</v>
      </c>
      <c r="I102" s="129"/>
    </row>
    <row r="103" spans="1:35" ht="42.75" customHeight="1">
      <c r="A103" s="3586"/>
      <c r="B103" s="2581" t="s">
        <v>1434</v>
      </c>
      <c r="C103" s="2584">
        <f ca="1">C20</f>
        <v>27591</v>
      </c>
      <c r="D103" s="2585">
        <f ca="1">D20</f>
        <v>10565</v>
      </c>
      <c r="E103" s="3547" t="s">
        <v>1435</v>
      </c>
      <c r="F103" s="3548"/>
      <c r="G103" s="1825" t="s">
        <v>1436</v>
      </c>
      <c r="H103" s="2592">
        <f>IF(D36="正常操作",H104+H105+H106,H105+H106)</f>
        <v>0</v>
      </c>
      <c r="I103" s="129"/>
    </row>
    <row r="104" spans="1:35" ht="18.75" customHeight="1">
      <c r="A104" s="3586" t="s">
        <v>1437</v>
      </c>
      <c r="B104" s="2586" t="s">
        <v>1432</v>
      </c>
      <c r="C104" s="2587">
        <f ca="1">H118</f>
        <v>17217</v>
      </c>
      <c r="D104" s="2588"/>
      <c r="E104" s="1672" t="s">
        <v>1438</v>
      </c>
      <c r="F104" s="1664"/>
      <c r="G104" s="1825" t="s">
        <v>1436</v>
      </c>
      <c r="H104" s="2593">
        <f>IF(D36="同一抵押权人同一抵押物续贷",C36&amp;"（续贷，未扣减，详见特别提示）",C36)</f>
        <v>0</v>
      </c>
      <c r="I104" s="129"/>
    </row>
    <row r="105" spans="1:35" ht="18.75" customHeight="1" thickBot="1">
      <c r="A105" s="3596"/>
      <c r="B105" s="2589" t="s">
        <v>1434</v>
      </c>
      <c r="C105" s="2590">
        <f ca="1">I118</f>
        <v>17375</v>
      </c>
      <c r="D105" s="2591"/>
      <c r="E105" s="1672" t="s">
        <v>1439</v>
      </c>
      <c r="F105" s="1664"/>
      <c r="G105" s="1825" t="s">
        <v>1436</v>
      </c>
      <c r="H105" s="2594">
        <f>C37</f>
        <v>0</v>
      </c>
      <c r="I105" s="129"/>
    </row>
    <row r="106" spans="1:35" ht="18.75" customHeight="1">
      <c r="A106" s="1744" t="s">
        <v>1440</v>
      </c>
      <c r="B106" s="1744"/>
      <c r="C106" s="1744"/>
      <c r="D106" s="1744"/>
      <c r="E106" s="1826" t="s">
        <v>1441</v>
      </c>
      <c r="F106" s="1664"/>
      <c r="G106" s="1825" t="s">
        <v>1436</v>
      </c>
      <c r="H106" s="2594">
        <f>C38</f>
        <v>0</v>
      </c>
      <c r="I106" s="129"/>
    </row>
    <row r="107" spans="1:35" ht="18.75" customHeight="1">
      <c r="A107" s="129"/>
      <c r="B107" s="129"/>
      <c r="C107" s="129"/>
      <c r="D107" s="129"/>
      <c r="E107" s="3587" t="str">
        <f>IF(项目基本情况!E8="已注销","——","3.房地产抵押价值")</f>
        <v>3.房地产抵押价值</v>
      </c>
      <c r="F107" s="3555"/>
      <c r="G107" s="1824" t="s">
        <v>1432</v>
      </c>
      <c r="H107" s="2592">
        <f ca="1">IF(E107="——","——",H101-H103)</f>
        <v>17217</v>
      </c>
      <c r="I107" s="129"/>
    </row>
    <row r="108" spans="1:35" ht="18.75" customHeight="1">
      <c r="A108" s="129"/>
      <c r="B108" s="129"/>
      <c r="C108" s="129"/>
      <c r="D108" s="129"/>
      <c r="E108" s="3587"/>
      <c r="F108" s="3555"/>
      <c r="G108" s="1824" t="s">
        <v>1434</v>
      </c>
      <c r="H108" s="2552">
        <f ca="1">IF(H107=H101,H102,ROUND(H107*10000/'数据-汇总表'!E3,0))</f>
        <v>17375</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4" t="s">
        <v>1432</v>
      </c>
      <c r="H109" s="2595" t="str">
        <f>IF(E109="——","——",H101-H105-H106)</f>
        <v>——</v>
      </c>
      <c r="I109" s="129"/>
    </row>
    <row r="110" spans="1:35" ht="18.75" customHeight="1">
      <c r="A110" s="129"/>
      <c r="B110" s="129"/>
      <c r="C110" s="129"/>
      <c r="D110" s="129"/>
      <c r="E110" s="3587"/>
      <c r="F110" s="3555"/>
      <c r="G110" s="1824" t="s">
        <v>1434</v>
      </c>
      <c r="H110" s="2552"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4" t="s">
        <v>1432</v>
      </c>
      <c r="H111" s="2592" t="str">
        <f>IF(E111="——","——",N59)</f>
        <v>——</v>
      </c>
      <c r="I111" s="129"/>
    </row>
    <row r="112" spans="1:35" ht="18.75" customHeight="1" thickBot="1">
      <c r="A112" s="129"/>
      <c r="B112" s="129"/>
      <c r="C112" s="129"/>
      <c r="D112" s="129"/>
      <c r="E112" s="3589"/>
      <c r="F112" s="3590"/>
      <c r="G112" s="1827" t="s">
        <v>1434</v>
      </c>
      <c r="H112" s="2596" t="str">
        <f>IF(E111="——","——",N61)</f>
        <v>——</v>
      </c>
      <c r="I112" s="129"/>
    </row>
    <row r="113" spans="1:27" ht="18.75" customHeight="1">
      <c r="A113" s="129"/>
      <c r="B113" s="129"/>
      <c r="C113" s="129"/>
      <c r="D113" s="129"/>
      <c r="E113" s="3597" t="s">
        <v>1440</v>
      </c>
      <c r="F113" s="3597"/>
      <c r="G113" s="3597"/>
      <c r="H113" s="3597"/>
      <c r="I113" s="129"/>
    </row>
    <row r="114" spans="1:27" ht="3.75" customHeight="1">
      <c r="A114" s="1744"/>
      <c r="B114" s="1744"/>
      <c r="C114" s="1744"/>
      <c r="D114" s="1744"/>
      <c r="E114" s="1806"/>
      <c r="F114" s="1806"/>
      <c r="G114" s="1806"/>
      <c r="H114" s="1806"/>
      <c r="I114" s="1744"/>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6" t="s">
        <v>1449</v>
      </c>
      <c r="E117" s="2326" t="s">
        <v>1450</v>
      </c>
      <c r="F117" s="2326" t="s">
        <v>1449</v>
      </c>
      <c r="G117" s="2326" t="s">
        <v>1451</v>
      </c>
      <c r="H117" s="2326" t="s">
        <v>1449</v>
      </c>
      <c r="I117" s="2326" t="s">
        <v>1451</v>
      </c>
    </row>
    <row r="118" spans="1:27" ht="24.75" customHeight="1">
      <c r="A118" s="2597" t="str">
        <f>项目基本情况!S2</f>
        <v>房地产</v>
      </c>
      <c r="B118" s="2326">
        <f>M18</f>
        <v>9908.9000000000015</v>
      </c>
      <c r="C118" s="2326">
        <f>M19</f>
        <v>38090.49</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17217</v>
      </c>
      <c r="I118" s="2326">
        <f ca="1">ROUND(IF(D32="楼面单价",C32,H118*10000/B118),0)</f>
        <v>17375</v>
      </c>
    </row>
    <row r="119" spans="1:27" ht="18.75" customHeight="1">
      <c r="A119" s="3562" t="s">
        <v>1452</v>
      </c>
      <c r="B119" s="3562"/>
      <c r="C119" s="3562"/>
      <c r="D119" s="3568" t="str">
        <f>NUMBERSTRING(INT(D118*10000),2)&amp;"元整"</f>
        <v>零元整</v>
      </c>
      <c r="E119" s="3569"/>
      <c r="F119" s="3568" t="str">
        <f>NUMBERSTRING(INT(F118*10000),2)&amp;"元整"</f>
        <v>零元整</v>
      </c>
      <c r="G119" s="3569"/>
      <c r="H119" s="3568" t="str">
        <f ca="1">NUMBERSTRING(INT(H118*10000),2)&amp;"元整"</f>
        <v>壹亿柒仟贰佰壹拾柒万元整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68" t="s">
        <v>1452</v>
      </c>
      <c r="B121" s="3570"/>
      <c r="C121" s="3569"/>
      <c r="D121" s="3568" t="str">
        <f>IF(D120=0,"零元整",NUMBERSTRING(INT(D120*10000),2)&amp;"元整")</f>
        <v>零元整</v>
      </c>
      <c r="E121" s="3570"/>
      <c r="F121" s="3570"/>
      <c r="G121" s="3570"/>
      <c r="H121" s="3570"/>
      <c r="I121" s="3569"/>
      <c r="AA121" s="724"/>
    </row>
    <row r="122" spans="1:27" ht="18.75" customHeight="1">
      <c r="A122" s="3574" t="str">
        <f>IF(项目基本情况!B9="房地产市场价值","",MID(E107,3,LEN(E107)-2))</f>
        <v>房地产抵押价值</v>
      </c>
      <c r="B122" s="3574"/>
      <c r="C122" s="3574"/>
      <c r="D122" s="3563">
        <f ca="1">H107</f>
        <v>17217</v>
      </c>
      <c r="E122" s="3564"/>
      <c r="F122" s="3564"/>
      <c r="G122" s="3564"/>
      <c r="H122" s="3564"/>
      <c r="I122" s="3565"/>
      <c r="AA122" s="724"/>
    </row>
    <row r="123" spans="1:27" ht="18.75" customHeight="1">
      <c r="A123" s="3562" t="s">
        <v>1452</v>
      </c>
      <c r="B123" s="3562"/>
      <c r="C123" s="3562"/>
      <c r="D123" s="3568" t="str">
        <f ca="1">NUMBERSTRING(INT(D122*10000),2)&amp;"元整"</f>
        <v>壹亿柒仟贰佰壹拾柒万元整</v>
      </c>
      <c r="E123" s="3570"/>
      <c r="F123" s="3570"/>
      <c r="G123" s="3570"/>
      <c r="H123" s="3570"/>
      <c r="I123" s="3569"/>
      <c r="AA123" s="724"/>
    </row>
    <row r="124" spans="1:27" ht="18.75" customHeight="1">
      <c r="A124" s="3574" t="str">
        <f>IF(项目基本情况!B9="房地产市场价值","",MID(E109,3,LEN(E109)-2))</f>
        <v/>
      </c>
      <c r="B124" s="3574"/>
      <c r="C124" s="3574"/>
      <c r="D124" s="3563" t="str">
        <f>H109</f>
        <v>——</v>
      </c>
      <c r="E124" s="3564"/>
      <c r="F124" s="3564"/>
      <c r="G124" s="3564"/>
      <c r="H124" s="3564"/>
      <c r="I124" s="3565"/>
      <c r="AA124" s="724"/>
    </row>
    <row r="125" spans="1:27" ht="18.75" customHeight="1">
      <c r="A125" s="3562" t="s">
        <v>1452</v>
      </c>
      <c r="B125" s="3562"/>
      <c r="C125" s="3562"/>
      <c r="D125" s="3568" t="e">
        <f>NUMBERSTRING(INT(D124*10000),2)&amp;"元整"</f>
        <v>#VALUE!</v>
      </c>
      <c r="E125" s="3570"/>
      <c r="F125" s="3570"/>
      <c r="G125" s="3570"/>
      <c r="H125" s="3570"/>
      <c r="I125" s="3569"/>
      <c r="AA125" s="724"/>
    </row>
    <row r="126" spans="1:27" ht="18.75" customHeight="1">
      <c r="A126" s="3574" t="str">
        <f>IF(项目基本情况!B9="房地产市场价值","",MID(E111,3,LEN(E111)-2))</f>
        <v/>
      </c>
      <c r="B126" s="3574"/>
      <c r="C126" s="3574"/>
      <c r="D126" s="3563" t="str">
        <f>H111</f>
        <v>——</v>
      </c>
      <c r="E126" s="3564"/>
      <c r="F126" s="3564"/>
      <c r="G126" s="3564"/>
      <c r="H126" s="3564"/>
      <c r="I126" s="3565"/>
      <c r="AA126" s="724"/>
    </row>
    <row r="127" spans="1:27" ht="18.75" customHeight="1">
      <c r="A127" s="3562" t="s">
        <v>1452</v>
      </c>
      <c r="B127" s="3562"/>
      <c r="C127" s="3562"/>
      <c r="D127" s="3568" t="e">
        <f>NUMBERSTRING(INT(D126*10000),2)&amp;"元整"</f>
        <v>#VALUE!</v>
      </c>
      <c r="E127" s="3570"/>
      <c r="F127" s="3570"/>
      <c r="G127" s="3570"/>
      <c r="H127" s="3570"/>
      <c r="I127" s="3569"/>
      <c r="AA127" s="724"/>
    </row>
    <row r="128" spans="1:27" ht="21.75" customHeight="1">
      <c r="A128" s="3571" t="s">
        <v>1453</v>
      </c>
      <c r="B128" s="3571"/>
      <c r="C128" s="3571"/>
      <c r="D128" s="3571"/>
      <c r="E128" s="3571"/>
      <c r="F128" s="3571"/>
      <c r="G128" s="3571"/>
      <c r="H128" s="3571"/>
      <c r="I128" s="3571"/>
      <c r="AA128" s="724"/>
    </row>
    <row r="129" spans="1:35" ht="21.75" customHeight="1">
      <c r="A129" s="1828" t="s">
        <v>1454</v>
      </c>
      <c r="B129" s="1829"/>
      <c r="C129" s="1830" t="s">
        <v>1455</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1456</v>
      </c>
      <c r="G135" s="1845"/>
      <c r="H135" s="1845"/>
      <c r="I135" s="1846" t="s">
        <v>1457</v>
      </c>
    </row>
    <row r="136" spans="1:35" ht="21.75" customHeight="1">
      <c r="A136" s="724"/>
      <c r="B136" s="1847"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1459</v>
      </c>
    </row>
    <row r="139" spans="1:35" ht="21.75" customHeight="1">
      <c r="A139" s="724"/>
      <c r="B139" s="1847" t="s">
        <v>1460</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1459</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27340</v>
      </c>
      <c r="C2" s="199" t="s">
        <v>1463</v>
      </c>
      <c r="D2" s="1850" t="s">
        <v>43</v>
      </c>
      <c r="E2" s="1168"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27591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20950</v>
      </c>
      <c r="D5" s="211" t="s">
        <v>1469</v>
      </c>
      <c r="E5" s="212" t="s">
        <v>1470</v>
      </c>
      <c r="F5" s="212" t="s">
        <v>1471</v>
      </c>
      <c r="G5" s="213"/>
    </row>
    <row r="6" spans="1:9" s="214" customFormat="1" ht="13.5" customHeight="1">
      <c r="A6" s="777" t="s">
        <v>1472</v>
      </c>
      <c r="B6" s="215" t="s">
        <v>1473</v>
      </c>
      <c r="C6" s="216">
        <f>基准地价修正!B2</f>
        <v>20138</v>
      </c>
      <c r="D6" s="217"/>
      <c r="E6" s="218"/>
      <c r="F6" s="218"/>
      <c r="G6" s="219"/>
    </row>
    <row r="7" spans="1:9" s="214" customFormat="1" ht="13.5" customHeight="1">
      <c r="A7" s="777" t="s">
        <v>1474</v>
      </c>
      <c r="B7" s="215" t="s">
        <v>1475</v>
      </c>
      <c r="C7" s="220">
        <f>ROUND(C6*F7,0)</f>
        <v>614</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198</v>
      </c>
      <c r="D8" s="222"/>
      <c r="E8" s="220"/>
      <c r="F8" s="221"/>
      <c r="G8" s="1853" t="s">
        <v>3439</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t="s">
        <v>3447</v>
      </c>
      <c r="H9" s="1136"/>
      <c r="I9" s="1855" t="s">
        <v>1479</v>
      </c>
    </row>
    <row r="10" spans="1:9" s="214" customFormat="1" ht="13.5" customHeight="1">
      <c r="A10" s="778" t="s">
        <v>356</v>
      </c>
      <c r="B10" s="224" t="s">
        <v>1480</v>
      </c>
      <c r="C10" s="225">
        <f ca="1">ROUND(D10*E10/10000,0)</f>
        <v>198</v>
      </c>
      <c r="D10" s="844">
        <f ca="1">IF(B1="",'数据-汇总表'!E6,IF(INDIRECT("'数据-取费表'!c"&amp;$G$1)="住宅",INDIRECT("'数据-取费表'!s"&amp;$G$1),INDIRECT("'数据-取费表'!k"&amp;$G$1)+INDIRECT("'数据-取费表'!s"&amp;$G$1)))</f>
        <v>9908.9000000000015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9908.9000000000015</v>
      </c>
      <c r="E19" s="211">
        <f>'数据-取费表'!B31</f>
        <v>200</v>
      </c>
      <c r="F19" s="231"/>
      <c r="G19" s="1853" t="s">
        <v>3440</v>
      </c>
    </row>
    <row r="20" spans="1:7" s="214" customFormat="1" ht="13.5" customHeight="1">
      <c r="A20" s="255" t="s">
        <v>1493</v>
      </c>
      <c r="B20" s="210" t="s">
        <v>1494</v>
      </c>
      <c r="C20" s="232">
        <f>ROUND((C5+C19)*F20,0)</f>
        <v>419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730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723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1068</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ROUND((C5+C19+C20)*F27*'数据-取费表'!B21/'数据-取费表'!B20,0)</f>
        <v>1068</v>
      </c>
      <c r="D28" s="235"/>
      <c r="E28" s="236"/>
      <c r="F28" s="246"/>
      <c r="G28" s="247"/>
    </row>
    <row r="29" spans="1:7" s="214" customFormat="1" ht="13.5" customHeight="1">
      <c r="A29" s="779"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25035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2799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2477</v>
      </c>
      <c r="D34" s="217"/>
      <c r="E34" s="220"/>
      <c r="F34" s="257">
        <f ca="1">IF('数据-取费表'!B24=0,1,IF(B1="",'数据-取费表'!N16,INDIRECT("'数据-取费表'!n"&amp;$G$1)))</f>
        <v>1</v>
      </c>
      <c r="G34" s="219" t="s">
        <v>1526</v>
      </c>
    </row>
    <row r="35" spans="1:7" ht="13.5" customHeight="1">
      <c r="A35" s="779" t="s">
        <v>351</v>
      </c>
      <c r="B35" s="215" t="s">
        <v>1527</v>
      </c>
      <c r="C35" s="220">
        <f ca="1">ROUND(C34*F35,0)</f>
        <v>74</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198</v>
      </c>
      <c r="D37" s="217">
        <f ca="1">D19</f>
        <v>9908.9000000000015</v>
      </c>
      <c r="E37" s="249">
        <f>'数据-取费表'!B35</f>
        <v>200</v>
      </c>
      <c r="F37" s="259"/>
      <c r="G37" s="261" t="s">
        <v>1532</v>
      </c>
    </row>
    <row r="38" spans="1:7" ht="13.5" customHeight="1">
      <c r="A38" s="779" t="s">
        <v>354</v>
      </c>
      <c r="B38" s="215" t="s">
        <v>1533</v>
      </c>
      <c r="C38" s="220">
        <f ca="1">ROUND(C34*F38,0)</f>
        <v>50</v>
      </c>
      <c r="D38" s="220"/>
      <c r="E38" s="220"/>
      <c r="F38" s="259">
        <f>'数据-取费表'!B36</f>
        <v>0.02</v>
      </c>
      <c r="G38" s="219" t="s">
        <v>1528</v>
      </c>
    </row>
    <row r="39" spans="1:7" s="214" customFormat="1" ht="13.5" customHeight="1">
      <c r="A39" s="255" t="s">
        <v>1534</v>
      </c>
      <c r="B39" s="210" t="s">
        <v>1535</v>
      </c>
      <c r="C39" s="232">
        <f ca="1">ROUND(C33*F20,0)</f>
        <v>56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49</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48</v>
      </c>
      <c r="D42" s="238"/>
      <c r="E42" s="238"/>
      <c r="F42" s="239"/>
      <c r="G42" s="3641" t="s">
        <v>1544</v>
      </c>
    </row>
    <row r="43" spans="1:7" ht="13.5" customHeight="1">
      <c r="A43" s="779" t="s">
        <v>347</v>
      </c>
      <c r="B43" s="215" t="s">
        <v>1545</v>
      </c>
      <c r="C43" s="238">
        <f ca="1">ROUND(IF('数据-取费表'!B22&lt;=1,C39*F22*'数据-取费表'!B21/2,C39*(POWER((1+F22),'数据-取费表'!B21/2)-1)),0)</f>
        <v>1</v>
      </c>
      <c r="D43" s="238"/>
      <c r="E43" s="238"/>
      <c r="F43" s="239"/>
      <c r="G43" s="3642"/>
    </row>
    <row r="44" spans="1:7" ht="13.5" customHeight="1">
      <c r="A44" s="779" t="s">
        <v>348</v>
      </c>
      <c r="B44" s="215" t="s">
        <v>1546</v>
      </c>
      <c r="C44" s="238">
        <f ca="1">ROUND(IF('数据-取费表'!B22&lt;=1,C40*F22*'数据-取费表'!B21/2,C40*(POWER((1+F22),'数据-取费表'!B21/2)-1)),4)</f>
        <v>2.9999999999999997E-4</v>
      </c>
      <c r="D44" s="238"/>
      <c r="E44" s="238"/>
      <c r="F44" s="239"/>
      <c r="G44" s="3643"/>
    </row>
    <row r="45" spans="1:7" s="214" customFormat="1" ht="13.5" customHeight="1">
      <c r="A45" s="255" t="s">
        <v>1547</v>
      </c>
      <c r="B45" s="244" t="s">
        <v>1513</v>
      </c>
      <c r="C45" s="245">
        <f ca="1">C46</f>
        <v>143</v>
      </c>
      <c r="D45" s="235">
        <f ca="1">C47</f>
        <v>1E-3</v>
      </c>
      <c r="E45" s="236" t="s">
        <v>1539</v>
      </c>
      <c r="F45" s="246">
        <f ca="1">F27</f>
        <v>0.05</v>
      </c>
      <c r="G45" s="247" t="s">
        <v>1548</v>
      </c>
    </row>
    <row r="46" spans="1:7" s="214" customFormat="1" ht="13.5" customHeight="1">
      <c r="A46" s="779" t="s">
        <v>346</v>
      </c>
      <c r="B46" s="248" t="s">
        <v>1549</v>
      </c>
      <c r="C46" s="249">
        <f ca="1">ROUND((C33+C39)*F27,0)</f>
        <v>143</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3293</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2305</v>
      </c>
      <c r="D51" s="232"/>
      <c r="E51" s="232"/>
      <c r="F51" s="264"/>
      <c r="G51" s="234" t="s">
        <v>1560</v>
      </c>
    </row>
    <row r="52" spans="1:7" s="208" customFormat="1" ht="16.5" thickBot="1">
      <c r="A52" s="265" t="s">
        <v>1561</v>
      </c>
      <c r="B52" s="266"/>
      <c r="C52" s="267">
        <f ca="1">C31+C51</f>
        <v>27340</v>
      </c>
      <c r="D52" s="266"/>
      <c r="E52" s="266"/>
      <c r="F52" s="266"/>
      <c r="G52" s="268"/>
    </row>
    <row r="55" spans="1:7" ht="15">
      <c r="B55" s="270" t="s">
        <v>1562</v>
      </c>
      <c r="C55" s="271"/>
    </row>
    <row r="56" spans="1:7">
      <c r="B56" s="273" t="s">
        <v>802</v>
      </c>
      <c r="C56" s="275">
        <f ca="1">1-C57</f>
        <v>0.91600000000000004</v>
      </c>
    </row>
    <row r="57" spans="1:7">
      <c r="B57" s="273" t="s">
        <v>803</v>
      </c>
      <c r="C57" s="274">
        <f ca="1">ROUND(C51/C52,3)</f>
        <v>8.4000000000000005E-2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房地产抵押价值预评估</v>
      </c>
      <c r="C37" s="3458"/>
      <c r="D37" s="3458"/>
      <c r="E37" s="3458"/>
      <c r="F37" s="3458"/>
      <c r="G37" s="3458"/>
      <c r="H37" s="3458"/>
      <c r="I37" s="345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9908.9000000000015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9908.9000000000015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198</v>
      </c>
      <c r="D20" s="845">
        <f ca="1">IF(C1="",'数据-汇总表'!E6,IF(INDIRECT("'数据-取费表'!c"&amp;$K$1)="住宅",INDIRECT("'数据-取费表'!s"&amp;$K$1),INDIRECT("'数据-取费表'!k"&amp;$K$1)+INDIRECT("'数据-取费表'!s"&amp;$K$1)))</f>
        <v>9908.9000000000015</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1" t="str">
        <f>IF('数据-取费表'!B22&lt;=1,"（1）-（3）项×年利率×建设期÷2","（1）-（3）项×((1+年利率)^(建设期÷2)-1)")</f>
        <v>（1）-（3）项×年利率×建设期÷2</v>
      </c>
      <c r="H27" s="806"/>
      <c r="I27" s="806"/>
      <c r="J27" s="806"/>
      <c r="K27" s="807"/>
    </row>
    <row r="28" spans="1:33" s="289" customFormat="1" ht="13.5" customHeight="1">
      <c r="A28" s="789" t="s">
        <v>1641</v>
      </c>
      <c r="B28" s="1862" t="s">
        <v>1642</v>
      </c>
      <c r="C28" s="287">
        <f ca="1">C30</f>
        <v>0</v>
      </c>
      <c r="D28" s="280">
        <f ca="1">C29</f>
        <v>0</v>
      </c>
      <c r="E28" s="282" t="s">
        <v>12</v>
      </c>
      <c r="F28" s="288">
        <f ca="1">IF(C1="",'数据-取费表'!Q16,INDIRECT("'数据-取费表'!q"&amp;$K$1))</f>
        <v>0.05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3337</v>
      </c>
      <c r="D1" s="1360" t="s">
        <v>43</v>
      </c>
      <c r="E1" s="1361" t="s">
        <v>678</v>
      </c>
      <c r="F1" s="1061">
        <f ca="1">J53</f>
        <v>38.17</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10469</v>
      </c>
      <c r="C2" s="1385" t="s">
        <v>805</v>
      </c>
      <c r="D2" s="1385"/>
      <c r="E2" s="1386"/>
      <c r="F2" s="1387"/>
      <c r="G2" s="2703"/>
      <c r="H2" s="2692"/>
      <c r="I2" s="2692"/>
      <c r="J2" s="2692"/>
      <c r="K2" s="2693"/>
      <c r="L2" s="2692"/>
      <c r="M2" s="2692"/>
    </row>
    <row r="3" spans="1:37" ht="18" customHeight="1" thickBot="1">
      <c r="A3" s="1388" t="s">
        <v>806</v>
      </c>
      <c r="B3" s="1389">
        <f ca="1">IF(ISERROR(B2*10000/F43),0,ROUND(B2*10000/F43,0))</f>
        <v>10565</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625</v>
      </c>
      <c r="D5" s="1362" t="s">
        <v>693</v>
      </c>
      <c r="E5" s="1070"/>
      <c r="F5" s="1071"/>
      <c r="G5" s="1382"/>
      <c r="H5" s="299">
        <v>1</v>
      </c>
      <c r="I5" s="300" t="s">
        <v>692</v>
      </c>
      <c r="J5" s="1069">
        <f ca="1">J6+J10+J12</f>
        <v>0</v>
      </c>
      <c r="K5" s="1362" t="s">
        <v>693</v>
      </c>
      <c r="L5" s="1070"/>
      <c r="M5" s="1071"/>
    </row>
    <row r="6" spans="1:37" ht="18" customHeight="1">
      <c r="A6" s="1068" t="s">
        <v>398</v>
      </c>
      <c r="B6" s="3646" t="s">
        <v>694</v>
      </c>
      <c r="C6" s="1073">
        <f ca="1">ROUND(F6*F8*F7*(1-F9)/10000,0)</f>
        <v>624</v>
      </c>
      <c r="D6" s="155" t="s">
        <v>2108</v>
      </c>
      <c r="E6" s="302" t="s">
        <v>696</v>
      </c>
      <c r="F6" s="303">
        <f ca="1">INDIRECT("'数据-取费表'!u"&amp;$G$1)</f>
        <v>2.0299999999999998</v>
      </c>
      <c r="G6" s="1382"/>
      <c r="H6" s="1068" t="s">
        <v>398</v>
      </c>
      <c r="I6" s="3646" t="s">
        <v>694</v>
      </c>
      <c r="J6" s="301">
        <f ca="1">ROUND(M6*M8*M7*(1-M9)/10000,0)</f>
        <v>0</v>
      </c>
      <c r="K6" s="155" t="s">
        <v>2107</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9908.9000000000015</v>
      </c>
      <c r="G7" s="1382"/>
      <c r="H7" s="304"/>
      <c r="I7" s="3647"/>
      <c r="J7" s="306"/>
      <c r="K7" s="307"/>
      <c r="L7" s="302" t="s">
        <v>697</v>
      </c>
      <c r="M7" s="303">
        <f ca="1">F7</f>
        <v>9908.9000000000015</v>
      </c>
    </row>
    <row r="8" spans="1:37" ht="18" customHeight="1">
      <c r="A8" s="304"/>
      <c r="B8" s="3647"/>
      <c r="C8" s="306"/>
      <c r="D8" s="307"/>
      <c r="E8" s="302" t="s">
        <v>698</v>
      </c>
      <c r="F8" s="303">
        <f ca="1">INDIRECT("'数据-取费表'!ai"&amp;$G$1)</f>
        <v>365</v>
      </c>
      <c r="G8" s="1382"/>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2"/>
      <c r="H9" s="304"/>
      <c r="I9" s="3648"/>
      <c r="J9" s="306"/>
      <c r="K9" s="307"/>
      <c r="L9" s="313" t="s">
        <v>699</v>
      </c>
      <c r="M9" s="314">
        <f ca="1">INDIRECT("'数据-取费表'!ab"&amp;$G$1)</f>
        <v>0</v>
      </c>
    </row>
    <row r="10" spans="1:37" ht="18" customHeight="1">
      <c r="A10" s="1068" t="s">
        <v>402</v>
      </c>
      <c r="B10" s="1363" t="s">
        <v>700</v>
      </c>
      <c r="C10" s="316">
        <f ca="1">ROUND(IF(F10="押一",C6/12*F11,IF(F10="押二",C6/12*2*F11,IF(F10="押三",C6/12*3*F11,C11*F11))),0)</f>
        <v>1</v>
      </c>
      <c r="D10" s="1364" t="s">
        <v>2116</v>
      </c>
      <c r="E10" s="313" t="s">
        <v>701</v>
      </c>
      <c r="F10" s="1115" t="s">
        <v>3433</v>
      </c>
      <c r="G10" s="1382"/>
      <c r="H10" s="1068" t="s">
        <v>402</v>
      </c>
      <c r="I10" s="1363" t="s">
        <v>700</v>
      </c>
      <c r="J10" s="301">
        <f ca="1">ROUND(IF(M10="押一",J6/12*M11,IF(M10="押二",J6/12*2*M11,IF(M10="押三",J6/12*3*M11,J11*M11))),0)</f>
        <v>0</v>
      </c>
      <c r="K10" s="1364" t="s">
        <v>2115</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2305</v>
      </c>
      <c r="D13" s="1080" t="s">
        <v>705</v>
      </c>
      <c r="E13" s="1080" t="s">
        <v>706</v>
      </c>
      <c r="F13" s="1081">
        <f ca="1">INDIRECT("'数据-取费表'!y"&amp;$G$1)</f>
        <v>0.7</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2477</v>
      </c>
      <c r="D14" s="1343" t="s">
        <v>708</v>
      </c>
      <c r="E14" s="1340"/>
      <c r="F14" s="319"/>
      <c r="G14" s="1382"/>
      <c r="H14" s="981" t="s">
        <v>398</v>
      </c>
      <c r="I14" s="302" t="s">
        <v>709</v>
      </c>
      <c r="J14" s="21">
        <f ca="1">C29</f>
        <v>3293</v>
      </c>
      <c r="K14" s="12"/>
      <c r="L14" s="806"/>
      <c r="M14" s="807"/>
    </row>
    <row r="15" spans="1:37" s="1395" customFormat="1" ht="18" customHeight="1" thickBot="1">
      <c r="A15" s="981" t="s">
        <v>399</v>
      </c>
      <c r="B15" s="302" t="s">
        <v>710</v>
      </c>
      <c r="C15" s="21">
        <f ca="1">ROUND(C14*F15,0)</f>
        <v>74</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15</v>
      </c>
      <c r="K16" s="1086" t="s">
        <v>715</v>
      </c>
      <c r="L16" s="1087"/>
      <c r="M16" s="1071"/>
    </row>
    <row r="17" spans="1:37" s="1395" customFormat="1" ht="18" customHeight="1">
      <c r="A17" s="981" t="s">
        <v>681</v>
      </c>
      <c r="B17" s="302" t="s">
        <v>716</v>
      </c>
      <c r="C17" s="21">
        <f ca="1">ROUND(F17*(F43+INDIRECT("'数据-取费表'!S"&amp;$G$1))/10000,0)</f>
        <v>198</v>
      </c>
      <c r="D17" s="302" t="s">
        <v>717</v>
      </c>
      <c r="E17" s="302" t="s">
        <v>718</v>
      </c>
      <c r="F17" s="23">
        <f>'数据-取费表'!B35</f>
        <v>200</v>
      </c>
      <c r="G17" s="1394"/>
      <c r="H17" s="981" t="s">
        <v>398</v>
      </c>
      <c r="I17" s="302" t="s">
        <v>719</v>
      </c>
      <c r="J17" s="2313">
        <f ca="1">ROUND(IF(AND(项目基本情况!B11="自然人",项目基本情况!B10="北京市"),J6*M17/(1+'数据-取费表'!C42),J18+J19+J20),2)</f>
        <v>11.43</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50</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2799</v>
      </c>
      <c r="D19" s="131" t="s">
        <v>726</v>
      </c>
      <c r="E19" s="1358"/>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56</v>
      </c>
      <c r="D20" s="323" t="s">
        <v>729</v>
      </c>
      <c r="E20" s="302" t="s">
        <v>712</v>
      </c>
      <c r="F20" s="322">
        <f>'数据-取费表'!B37</f>
        <v>0.02</v>
      </c>
      <c r="G20" s="1394"/>
      <c r="H20" s="981" t="s">
        <v>680</v>
      </c>
      <c r="I20" s="155" t="s">
        <v>730</v>
      </c>
      <c r="J20" s="22">
        <f ca="1">ROUND(M20*M21/10000,2)</f>
        <v>11.43</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38090.49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ROUND(J14*M22,2)</f>
        <v>3.29</v>
      </c>
      <c r="K22" s="1342" t="s">
        <v>739</v>
      </c>
      <c r="L22" s="302" t="s">
        <v>712</v>
      </c>
      <c r="M22" s="328">
        <f ca="1">INDIRECT("'数据-取费表'!Ak"&amp;$G$1)</f>
        <v>1E-3</v>
      </c>
    </row>
    <row r="23" spans="1:37" s="1395" customFormat="1" ht="18" customHeight="1">
      <c r="A23" s="981" t="s">
        <v>397</v>
      </c>
      <c r="B23" s="302" t="s">
        <v>740</v>
      </c>
      <c r="C23" s="21">
        <f ca="1">IF('数据-取费表'!B22&lt;=1,ROUND(C19*F24*F23/2,0)+ROUND(C20*F24*F23/2,0),ROUND(C19*(POWER((1+F24),F23/2)-1),0)+ROUND(C20*(POWER((1+F24),F23/2)-1),0))</f>
        <v>49</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-15</v>
      </c>
      <c r="K25" s="1094" t="s">
        <v>753</v>
      </c>
      <c r="L25" s="1095"/>
      <c r="M25" s="1096"/>
    </row>
    <row r="26" spans="1:37">
      <c r="A26" s="981" t="s">
        <v>397</v>
      </c>
      <c r="B26" s="302" t="s">
        <v>754</v>
      </c>
      <c r="C26" s="21">
        <f ca="1">ROUND((C19+C20)*F26,0)</f>
        <v>143</v>
      </c>
      <c r="D26" s="323"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3293</v>
      </c>
      <c r="D29" s="1091"/>
      <c r="E29" s="1089"/>
      <c r="F29" s="1092"/>
      <c r="G29" s="1394"/>
      <c r="H29" s="334" t="s">
        <v>396</v>
      </c>
      <c r="I29" s="335" t="s">
        <v>768</v>
      </c>
      <c r="J29" s="336">
        <f ca="1">ROUND(J26/(1+F40)^F41,0)</f>
        <v>0</v>
      </c>
      <c r="K29" s="337" t="s">
        <v>769</v>
      </c>
      <c r="L29" s="338"/>
      <c r="M29" s="339">
        <f ca="1">INDIRECT("'数据-取费表'!k"&amp;$G$1)</f>
        <v>9908.9000000000015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123</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116.02</v>
      </c>
      <c r="D31" s="1343" t="s">
        <v>720</v>
      </c>
      <c r="E31" s="1342" t="s">
        <v>770</v>
      </c>
      <c r="F31" s="2312" t="str">
        <f>IF(项目基本情况!B11="企业","——",IF(M47="住宅",IF(F6*F7*F8/12/(1+'数据-取费表'!F30)&gt;100000,4%,2.5%),IF(F6*F7*F8/12/(1+'数据-取费表'!F30)&gt;100000,12%,7%)))</f>
        <v>——</v>
      </c>
      <c r="G31" s="1382"/>
      <c r="H31" s="2805" t="s">
        <v>2309</v>
      </c>
      <c r="I31" s="1396"/>
      <c r="J31" s="1397"/>
      <c r="K31" s="2472"/>
      <c r="L31" s="2695"/>
      <c r="M31" s="2696"/>
    </row>
    <row r="32" spans="1:37" ht="18" customHeight="1">
      <c r="A32" s="981" t="s">
        <v>397</v>
      </c>
      <c r="B32" s="302" t="s">
        <v>723</v>
      </c>
      <c r="C32" s="21">
        <f ca="1">IF(项目基本情况!B11="自然人","——",ROUND(C6*F32/(1+'数据-取费表'!C42),2))</f>
        <v>33.28</v>
      </c>
      <c r="D32" s="1342" t="s">
        <v>724</v>
      </c>
      <c r="E32" s="302" t="s">
        <v>712</v>
      </c>
      <c r="F32" s="331">
        <f>'数据-取费表'!B41</f>
        <v>5.6000000000000001E-2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71.31</v>
      </c>
      <c r="D33" s="1368" t="s">
        <v>3338</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11.43</v>
      </c>
      <c r="D34" s="324" t="s">
        <v>731</v>
      </c>
      <c r="E34" s="302" t="s">
        <v>732</v>
      </c>
      <c r="F34" s="325">
        <f>'数据-取费表'!B52</f>
        <v>3</v>
      </c>
      <c r="G34" s="1382"/>
      <c r="H34" s="2694"/>
      <c r="I34" s="1396"/>
      <c r="J34" s="1397"/>
      <c r="K34" s="2699"/>
      <c r="L34" s="2700"/>
      <c r="M34" s="2700"/>
    </row>
    <row r="35" spans="1:18" ht="18" customHeight="1">
      <c r="A35" s="1102"/>
      <c r="B35" s="1100"/>
      <c r="C35" s="26"/>
      <c r="D35" s="327"/>
      <c r="E35" s="302" t="s">
        <v>736</v>
      </c>
      <c r="F35" s="303">
        <f ca="1">INDIRECT("'数据-取费表'!r"&amp;$G$1)</f>
        <v>38090.49</v>
      </c>
      <c r="G35" s="1382"/>
      <c r="H35" s="2694"/>
      <c r="I35" s="1396"/>
      <c r="J35" s="1397"/>
      <c r="K35" s="2698"/>
      <c r="L35" s="2697"/>
      <c r="M35" s="2697"/>
    </row>
    <row r="36" spans="1:18" ht="18" customHeight="1">
      <c r="A36" s="1101" t="s">
        <v>402</v>
      </c>
      <c r="B36" s="302" t="s">
        <v>738</v>
      </c>
      <c r="C36" s="21">
        <f ca="1">ROUND(C29*F36,2)</f>
        <v>3.29</v>
      </c>
      <c r="D36" s="1342" t="s">
        <v>771</v>
      </c>
      <c r="E36" s="302" t="s">
        <v>712</v>
      </c>
      <c r="F36" s="328">
        <f ca="1">INDIRECT("'数据-取费表'!Ak"&amp;$G$1)</f>
        <v>1E-3</v>
      </c>
      <c r="G36" s="1382"/>
      <c r="H36" s="2697"/>
      <c r="I36" s="1396"/>
      <c r="J36" s="1397"/>
      <c r="K36" s="2541"/>
      <c r="L36" s="2697"/>
      <c r="M36" s="2697"/>
    </row>
    <row r="37" spans="1:18" ht="18" customHeight="1">
      <c r="A37" s="981" t="s">
        <v>437</v>
      </c>
      <c r="B37" s="302" t="s">
        <v>742</v>
      </c>
      <c r="C37" s="21">
        <f ca="1">ROUND(C13*F37,2)</f>
        <v>3.46</v>
      </c>
      <c r="D37" s="1342" t="s">
        <v>743</v>
      </c>
      <c r="E37" s="302" t="s">
        <v>744</v>
      </c>
      <c r="F37" s="330">
        <f ca="1">INDIRECT("'数据-取费表'!Al"&amp;$G$1)</f>
        <v>1.5E-3</v>
      </c>
      <c r="G37" s="1382"/>
      <c r="H37" s="2697">
        <f ca="1">C39/C5</f>
        <v>0.80320000000000003</v>
      </c>
      <c r="I37" s="1396"/>
      <c r="J37" s="1397"/>
      <c r="K37" s="2541"/>
      <c r="L37" s="2697"/>
      <c r="M37" s="2697"/>
    </row>
    <row r="38" spans="1:18" ht="18" customHeight="1" thickBot="1">
      <c r="A38" s="1088" t="s">
        <v>684</v>
      </c>
      <c r="B38" s="1089" t="s">
        <v>728</v>
      </c>
      <c r="C38" s="1090">
        <f ca="1">ROUND(C5*F38,2)</f>
        <v>0.63</v>
      </c>
      <c r="D38" s="1091" t="s">
        <v>748</v>
      </c>
      <c r="E38" s="1089" t="s">
        <v>744</v>
      </c>
      <c r="F38" s="1085">
        <f ca="1">INDIRECT("'数据-取费表'!Am"&amp;$G$1)</f>
        <v>1E-3</v>
      </c>
      <c r="G38" s="1382"/>
      <c r="H38" s="2697"/>
      <c r="I38" s="1396"/>
      <c r="J38" s="1397"/>
      <c r="K38" s="2701"/>
      <c r="L38" s="2697"/>
      <c r="M38" s="2697"/>
    </row>
    <row r="39" spans="1:18" ht="24.6" customHeight="1" thickTop="1">
      <c r="A39" s="1078" t="s">
        <v>394</v>
      </c>
      <c r="B39" s="1093" t="s">
        <v>772</v>
      </c>
      <c r="C39" s="310">
        <f ca="1">C5-C30</f>
        <v>502</v>
      </c>
      <c r="D39" s="1094" t="s">
        <v>773</v>
      </c>
      <c r="E39" s="1095"/>
      <c r="F39" s="1096"/>
      <c r="G39" s="1382"/>
      <c r="H39" s="2697"/>
      <c r="I39" s="1396"/>
      <c r="J39" s="1397"/>
      <c r="K39" s="2701"/>
      <c r="L39" s="2697"/>
      <c r="M39" s="2697"/>
    </row>
    <row r="40" spans="1:18" ht="18" customHeight="1">
      <c r="A40" s="299" t="s">
        <v>395</v>
      </c>
      <c r="B40" s="300" t="s">
        <v>774</v>
      </c>
      <c r="C40" s="301">
        <f ca="1">ROUND(C39*(1-((1+F42)/(1+F40))^F41)/(F40-F42),0)</f>
        <v>10386</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38.17</v>
      </c>
      <c r="G41" s="1382"/>
      <c r="H41" s="1189"/>
      <c r="I41" s="1396"/>
      <c r="J41" s="1397"/>
      <c r="K41" s="2541"/>
      <c r="L41" s="1189"/>
      <c r="M41" s="1189"/>
    </row>
    <row r="42" spans="1:18" ht="18" customHeight="1">
      <c r="A42" s="308"/>
      <c r="B42" s="309"/>
      <c r="C42" s="310"/>
      <c r="D42" s="327"/>
      <c r="E42" s="302" t="s">
        <v>766</v>
      </c>
      <c r="F42" s="312">
        <f ca="1">INDIRECT("'数据-取费表'!v"&amp;$G$1)</f>
        <v>0.02</v>
      </c>
      <c r="G42" s="1382"/>
      <c r="H42" s="1189"/>
      <c r="I42" s="1396"/>
      <c r="J42" s="1397"/>
      <c r="K42" s="2541"/>
      <c r="L42" s="1189"/>
      <c r="M42" s="1189"/>
    </row>
    <row r="43" spans="1:18" ht="18" customHeight="1" thickBot="1">
      <c r="A43" s="334" t="s">
        <v>396</v>
      </c>
      <c r="B43" s="335" t="s">
        <v>776</v>
      </c>
      <c r="C43" s="336">
        <f ca="1">ROUND(C40*10000/F43,0)</f>
        <v>10481</v>
      </c>
      <c r="D43" s="337" t="s">
        <v>777</v>
      </c>
      <c r="E43" s="338" t="s">
        <v>778</v>
      </c>
      <c r="F43" s="339">
        <f ca="1">INDIRECT("'数据-取费表'!k"&amp;$G$1)</f>
        <v>9908.9000000000015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-10671</v>
      </c>
      <c r="D46" s="1404" t="str">
        <f>C2</f>
        <v>万元</v>
      </c>
      <c r="E46" s="1398"/>
      <c r="F46" s="1398"/>
      <c r="I46" s="1405" t="s">
        <v>810</v>
      </c>
      <c r="J46" s="1406"/>
      <c r="K46" s="1407"/>
      <c r="L46" s="1408">
        <f ca="1">IF(M47="住宅",0,IF(L48&gt;J51,L60,J60))</f>
        <v>83</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3635</v>
      </c>
      <c r="K47" s="1414" t="s">
        <v>816</v>
      </c>
      <c r="L47" s="1415">
        <f ca="1">INDIRECT("'数据-取费表'!d"&amp;$G$1)</f>
        <v>50</v>
      </c>
      <c r="M47" s="1378" t="str">
        <f>IF(ISNUMBER(FIND("住宅",C1)),"住宅","非住宅")</f>
        <v>非住宅</v>
      </c>
      <c r="O47" s="1416" t="s">
        <v>403</v>
      </c>
      <c r="P47" s="1417" t="s">
        <v>817</v>
      </c>
      <c r="Q47" s="1418">
        <f ca="1">C40+J29</f>
        <v>10386</v>
      </c>
      <c r="R47" s="1418" t="s">
        <v>818</v>
      </c>
    </row>
    <row r="48" spans="1:18" s="1382" customFormat="1" ht="28.5" thickBot="1">
      <c r="A48" s="1109" t="s">
        <v>438</v>
      </c>
      <c r="B48" s="300" t="s">
        <v>692</v>
      </c>
      <c r="C48" s="1357">
        <f ca="1">C49+C53+C55</f>
        <v>0</v>
      </c>
      <c r="D48" s="1111"/>
      <c r="E48" s="1112"/>
      <c r="F48" s="961"/>
      <c r="G48" s="721"/>
      <c r="H48" s="722"/>
      <c r="I48" s="1419" t="s">
        <v>819</v>
      </c>
      <c r="J48" s="1420" t="s">
        <v>3434</v>
      </c>
      <c r="K48" s="1421" t="s">
        <v>820</v>
      </c>
      <c r="L48" s="1422">
        <f ca="1">INDIRECT("'数据-取费表'!f"&amp;$G$1)</f>
        <v>38.17</v>
      </c>
      <c r="O48" s="1416" t="s">
        <v>404</v>
      </c>
      <c r="P48" s="1417" t="s">
        <v>821</v>
      </c>
      <c r="Q48" s="1418">
        <f ca="1">J60</f>
        <v>83</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f>'数据-取费表'!N17</f>
        <v>2013</v>
      </c>
      <c r="K49" s="1421" t="s">
        <v>824</v>
      </c>
      <c r="L49" s="1425"/>
      <c r="O49" s="1426" t="s">
        <v>405</v>
      </c>
      <c r="P49" s="1417" t="s">
        <v>825</v>
      </c>
      <c r="Q49" s="1418">
        <f ca="1">C29</f>
        <v>3293</v>
      </c>
      <c r="R49" s="1418" t="s">
        <v>818</v>
      </c>
    </row>
    <row r="50" spans="1:18" s="1382" customFormat="1" ht="13.5" thickBot="1">
      <c r="A50" s="975"/>
      <c r="B50" s="978"/>
      <c r="C50" s="1117"/>
      <c r="D50" s="952"/>
      <c r="E50" s="1055" t="s">
        <v>697</v>
      </c>
      <c r="F50" s="1056">
        <f ca="1">F7</f>
        <v>9908.9000000000015</v>
      </c>
      <c r="H50" s="722"/>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39</v>
      </c>
      <c r="K51" s="1432" t="s">
        <v>830</v>
      </c>
      <c r="L51" s="1433">
        <f ca="1">ROUND(-PV(INDIRECT("'数据-取费表'!h"&amp;$G$1),J51,(C39-C13*C76),0),0)</f>
        <v>5797</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'数据-取费表'!J6+0.5%</f>
        <v>7.5000000000000011E-2</v>
      </c>
      <c r="K52" s="1435" t="s">
        <v>833</v>
      </c>
      <c r="L52" s="1436"/>
      <c r="O52" s="1426" t="s">
        <v>408</v>
      </c>
      <c r="P52" s="1417" t="s">
        <v>834</v>
      </c>
      <c r="Q52" s="1418">
        <f ca="1">J53</f>
        <v>38.17</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5">
        <f ca="1">IF(M47="住宅",IF(D1="——",MAX(J51,L48),MAX(J51,L48-'数据-取费表'!B24)),IF(D1="——",MIN(J51,L48),MIN(J51,L48-'数据-取费表'!B24)))</f>
        <v>38.17</v>
      </c>
      <c r="K53" s="3644" t="s">
        <v>837</v>
      </c>
      <c r="L53" s="3645"/>
      <c r="O53" s="1416" t="s">
        <v>409</v>
      </c>
      <c r="P53" s="1417" t="s">
        <v>838</v>
      </c>
      <c r="Q53" s="1418">
        <f ca="1">Q47+Q48</f>
        <v>10469</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3.5999999999999997E-2</v>
      </c>
      <c r="K55" s="1443" t="s">
        <v>841</v>
      </c>
      <c r="L55" s="1444"/>
      <c r="O55" s="1409" t="s">
        <v>811</v>
      </c>
      <c r="P55" s="1410" t="s">
        <v>812</v>
      </c>
      <c r="Q55" s="1411" t="s">
        <v>813</v>
      </c>
      <c r="R55" s="1411" t="s">
        <v>814</v>
      </c>
    </row>
    <row r="56" spans="1:18" s="1382" customFormat="1" ht="25.5" thickTop="1" thickBot="1">
      <c r="A56" s="956">
        <v>2</v>
      </c>
      <c r="B56" s="957" t="s">
        <v>704</v>
      </c>
      <c r="C56" s="232">
        <f ca="1">C13</f>
        <v>2305</v>
      </c>
      <c r="D56" s="1445"/>
      <c r="E56" s="1446"/>
      <c r="F56" s="1438"/>
      <c r="I56" s="1447" t="s">
        <v>842</v>
      </c>
      <c r="J56" s="1448" t="s">
        <v>3384</v>
      </c>
      <c r="K56" s="1419" t="s">
        <v>843</v>
      </c>
      <c r="L56" s="1422" t="str">
        <f ca="1">IF(L48&lt;J51,"——",L48-J53)</f>
        <v>——</v>
      </c>
      <c r="O56" s="1416" t="s">
        <v>403</v>
      </c>
      <c r="P56" s="1417" t="s">
        <v>817</v>
      </c>
      <c r="Q56" s="1418">
        <f ca="1">C40+J29</f>
        <v>10386</v>
      </c>
      <c r="R56" s="1418" t="s">
        <v>818</v>
      </c>
    </row>
    <row r="57" spans="1:18" s="1382" customFormat="1" ht="24.75" thickBot="1">
      <c r="A57" s="1449"/>
      <c r="B57" s="949" t="s">
        <v>767</v>
      </c>
      <c r="C57" s="238">
        <f ca="1">C29</f>
        <v>3293</v>
      </c>
      <c r="D57" s="1450"/>
      <c r="E57" s="1451"/>
      <c r="F57" s="1452"/>
      <c r="I57" s="1453" t="s">
        <v>844</v>
      </c>
      <c r="J57" s="1454">
        <f ca="1">IF(OR(M47="住宅",J51&lt;L48,J56="是"),"——",J51-L48)</f>
        <v>0.82999999999999829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18</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11</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1317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f ca="1">IF(OR(M47="住宅",J51&lt;L48,J56="是"),"0",ROUND(J59/(1+J52)^J53,0))</f>
        <v>83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11.43</v>
      </c>
      <c r="D62" s="964" t="s">
        <v>786</v>
      </c>
      <c r="E62" s="949" t="s">
        <v>787</v>
      </c>
      <c r="F62" s="325">
        <f t="shared" si="0"/>
        <v>3</v>
      </c>
      <c r="I62" s="1460" t="s">
        <v>858</v>
      </c>
      <c r="J62" s="1461" t="s">
        <v>859</v>
      </c>
      <c r="K62" s="1461" t="s">
        <v>860</v>
      </c>
      <c r="L62" s="1461" t="s">
        <v>861</v>
      </c>
      <c r="M62" s="1462" t="s">
        <v>862</v>
      </c>
      <c r="O62" s="1416" t="s">
        <v>409</v>
      </c>
      <c r="P62" s="1417" t="s">
        <v>863</v>
      </c>
      <c r="Q62" s="1418">
        <f ca="1">Q56+Q57</f>
        <v>10386</v>
      </c>
      <c r="R62" s="1418" t="s">
        <v>410</v>
      </c>
    </row>
    <row r="63" spans="1:18" s="1382" customFormat="1" ht="13.5" thickBot="1">
      <c r="A63" s="326"/>
      <c r="B63" s="955"/>
      <c r="C63" s="26"/>
      <c r="D63" s="965"/>
      <c r="E63" s="949" t="s">
        <v>788</v>
      </c>
      <c r="F63" s="303">
        <f t="shared" ca="1" si="0"/>
        <v>38090.49</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3.29</v>
      </c>
      <c r="D64" s="963" t="s">
        <v>791</v>
      </c>
      <c r="E64" s="949" t="s">
        <v>783</v>
      </c>
      <c r="F64" s="328">
        <f t="shared" ca="1" si="0"/>
        <v>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3.46</v>
      </c>
      <c r="D65" s="963" t="s">
        <v>743</v>
      </c>
      <c r="E65" s="949" t="s">
        <v>744</v>
      </c>
      <c r="F65" s="330">
        <f t="shared" ca="1" si="0"/>
        <v>1.5E-3</v>
      </c>
      <c r="I65" s="1460" t="s">
        <v>867</v>
      </c>
      <c r="J65" s="1461">
        <v>40</v>
      </c>
      <c r="K65" s="1461">
        <v>30</v>
      </c>
      <c r="L65" s="1461">
        <v>50</v>
      </c>
      <c r="M65" s="1463">
        <v>0.02</v>
      </c>
      <c r="O65" s="1416" t="s">
        <v>403</v>
      </c>
      <c r="P65" s="1417" t="s">
        <v>868</v>
      </c>
      <c r="Q65" s="1418">
        <f ca="1">C40+J29</f>
        <v>10386</v>
      </c>
      <c r="R65" s="1418" t="s">
        <v>818</v>
      </c>
    </row>
    <row r="66" spans="1:18" s="1382" customFormat="1" ht="16.5" thickBot="1">
      <c r="A66" s="981" t="s">
        <v>793</v>
      </c>
      <c r="B66" s="949" t="s">
        <v>728</v>
      </c>
      <c r="C66" s="21">
        <f ca="1">ROUND(C48*F66,2)</f>
        <v>0</v>
      </c>
      <c r="D66" s="963" t="s">
        <v>794</v>
      </c>
      <c r="E66" s="949" t="s">
        <v>712</v>
      </c>
      <c r="F66" s="312">
        <f t="shared" ca="1" si="0"/>
        <v>1E-3</v>
      </c>
      <c r="O66" s="1416" t="s">
        <v>404</v>
      </c>
      <c r="P66" s="1417" t="s">
        <v>846</v>
      </c>
      <c r="Q66" s="1418">
        <f ca="1">L60</f>
        <v>0</v>
      </c>
      <c r="R66" s="1418" t="s">
        <v>869</v>
      </c>
    </row>
    <row r="67" spans="1:18" s="1382" customFormat="1" ht="16.5" thickBot="1">
      <c r="A67" s="956" t="s">
        <v>394</v>
      </c>
      <c r="B67" s="966" t="s">
        <v>752</v>
      </c>
      <c r="C67" s="316">
        <f ca="1">C48-C58</f>
        <v>-18</v>
      </c>
      <c r="D67" s="962" t="s">
        <v>753</v>
      </c>
      <c r="E67" s="967"/>
      <c r="F67" s="968"/>
      <c r="O67" s="1426" t="s">
        <v>405</v>
      </c>
      <c r="P67" s="1417" t="s">
        <v>850</v>
      </c>
      <c r="Q67" s="1464">
        <f ca="1">L51</f>
        <v>5797</v>
      </c>
      <c r="R67" s="1418" t="s">
        <v>870</v>
      </c>
    </row>
    <row r="68" spans="1:18" s="1382" customFormat="1" ht="16.5" thickBot="1">
      <c r="A68" s="946" t="s">
        <v>395</v>
      </c>
      <c r="B68" s="947" t="s">
        <v>774</v>
      </c>
      <c r="C68" s="301">
        <f ca="1">ROUND(C67*(1-((1+F70)/(1+F68))^F69)/(F68-F70),0)</f>
        <v>-285</v>
      </c>
      <c r="D68" s="964" t="s">
        <v>758</v>
      </c>
      <c r="E68" s="949" t="s">
        <v>759</v>
      </c>
      <c r="F68" s="312">
        <f ca="1">F40</f>
        <v>5.5E-2</v>
      </c>
      <c r="O68" s="1426" t="s">
        <v>406</v>
      </c>
      <c r="P68" s="1465" t="s">
        <v>871</v>
      </c>
      <c r="Q68" s="1418">
        <f ca="1">ROUND(Q69-Q70*Q71,0)</f>
        <v>341</v>
      </c>
      <c r="R68" s="1418" t="s">
        <v>414</v>
      </c>
    </row>
    <row r="69" spans="1:18" s="1382" customFormat="1" ht="13.5" thickBot="1">
      <c r="A69" s="950"/>
      <c r="B69" s="951"/>
      <c r="C69" s="306"/>
      <c r="D69" s="969" t="s">
        <v>762</v>
      </c>
      <c r="E69" s="949" t="s">
        <v>763</v>
      </c>
      <c r="F69" s="333">
        <f ca="1">F41</f>
        <v>38.17</v>
      </c>
      <c r="O69" s="1426" t="s">
        <v>411</v>
      </c>
      <c r="P69" s="1465" t="s">
        <v>872</v>
      </c>
      <c r="Q69" s="1418">
        <f ca="1">C39</f>
        <v>502</v>
      </c>
      <c r="R69" s="1418" t="s">
        <v>818</v>
      </c>
    </row>
    <row r="70" spans="1:18" s="1382" customFormat="1" ht="13.5" thickBot="1">
      <c r="A70" s="953"/>
      <c r="B70" s="954"/>
      <c r="C70" s="310"/>
      <c r="D70" s="965"/>
      <c r="E70" s="949" t="s">
        <v>766</v>
      </c>
      <c r="F70" s="1053"/>
      <c r="O70" s="1426" t="s">
        <v>412</v>
      </c>
      <c r="P70" s="1465" t="s">
        <v>873</v>
      </c>
      <c r="Q70" s="1418">
        <f ca="1">C13</f>
        <v>2305</v>
      </c>
      <c r="R70" s="1418" t="s">
        <v>818</v>
      </c>
    </row>
    <row r="71" spans="1:18" s="1382" customFormat="1" ht="13.5" thickBot="1">
      <c r="A71" s="970" t="s">
        <v>396</v>
      </c>
      <c r="B71" s="971" t="s">
        <v>776</v>
      </c>
      <c r="C71" s="336">
        <f ca="1">ROUND(C68*10000/F71,0)</f>
        <v>-288</v>
      </c>
      <c r="D71" s="972" t="s">
        <v>777</v>
      </c>
      <c r="E71" s="973" t="s">
        <v>778</v>
      </c>
      <c r="F71" s="339">
        <f ca="1">F43</f>
        <v>9908.9000000000015</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161</v>
      </c>
      <c r="D75" s="1382"/>
      <c r="E75" s="1382"/>
      <c r="F75" s="1382"/>
      <c r="K75" s="1400"/>
      <c r="L75" s="1382"/>
      <c r="O75" s="1416" t="s">
        <v>409</v>
      </c>
      <c r="P75" s="1417" t="s">
        <v>838</v>
      </c>
      <c r="Q75" s="1418">
        <f ca="1">Q65+Q66</f>
        <v>10386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0.67900000000000005</v>
      </c>
    </row>
    <row r="80" spans="1:18">
      <c r="B80" s="340" t="s">
        <v>800</v>
      </c>
      <c r="C80" s="274">
        <f ca="1">ROUND(C75/C39,3)</f>
        <v>0.32100000000000001</v>
      </c>
    </row>
    <row r="81" spans="2:3">
      <c r="B81" s="270" t="s">
        <v>801</v>
      </c>
      <c r="C81" s="238"/>
    </row>
    <row r="82" spans="2:3">
      <c r="B82" s="273" t="s">
        <v>802</v>
      </c>
      <c r="C82" s="275">
        <f ca="1">1-C83</f>
        <v>0.77800000000000002</v>
      </c>
    </row>
    <row r="83" spans="2:3">
      <c r="B83" s="273" t="s">
        <v>803</v>
      </c>
      <c r="C83" s="274">
        <f ca="1">ROUND(C13/C40,3)</f>
        <v>0.222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21</v>
      </c>
      <c r="E1" s="3423" t="s">
        <v>3394</v>
      </c>
      <c r="F1" s="1876" t="s">
        <v>3395</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3" t="e">
        <f>IF(E1="项目模式",IF(C2="——",ROUND(C49*D3/10000,0),ROUND(C49*D3/10000,0)-D2),IF(E1="单套模式",IF(C2="——",ROUND(C49*D3/10000,4),ROUND(C49*D3/10000,4)-D2)))</f>
        <v>#DIV/0!</v>
      </c>
      <c r="C2" s="1878" t="s">
        <v>43</v>
      </c>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1"/>
      <c r="M2" s="2732"/>
      <c r="N2" s="2732"/>
      <c r="O2" s="2732"/>
      <c r="P2" s="1949"/>
      <c r="Q2" s="911"/>
      <c r="R2" s="911"/>
      <c r="S2" s="911"/>
      <c r="T2" s="911"/>
      <c r="U2" s="911"/>
      <c r="V2" s="911"/>
      <c r="W2" s="911"/>
      <c r="X2" s="911"/>
      <c r="Y2" s="911"/>
      <c r="Z2" s="911"/>
      <c r="AA2" s="911"/>
      <c r="AB2" s="911"/>
      <c r="AC2" s="1950"/>
    </row>
    <row r="3" spans="1:29" s="352" customFormat="1" ht="28.5" customHeight="1" thickBot="1">
      <c r="A3" s="203" t="s">
        <v>1464</v>
      </c>
      <c r="B3" s="558" t="e">
        <f>IF(C2="——",C49,ROUND(B2*10000/D3,0))</f>
        <v>#DIV/0!</v>
      </c>
      <c r="C3" s="354" t="s">
        <v>1768</v>
      </c>
      <c r="D3" s="353">
        <f>IF(D1="",'数据-汇总表'!E3,SUMIF('数据-汇总表'!$C19:$C33,D1,'数据-汇总表'!$E19:$E33))</f>
        <v>0</v>
      </c>
      <c r="E3" s="1951"/>
      <c r="F3" s="908"/>
      <c r="G3" s="907"/>
      <c r="H3" s="907"/>
      <c r="I3" s="907"/>
      <c r="J3" s="907"/>
      <c r="K3" s="909"/>
      <c r="L3" s="2731"/>
      <c r="M3" s="2732"/>
      <c r="N3" s="2732"/>
      <c r="O3" s="2732"/>
      <c r="P3" s="1949"/>
      <c r="Q3" s="911"/>
      <c r="R3" s="911"/>
      <c r="S3" s="911"/>
      <c r="T3" s="911"/>
      <c r="U3" s="911"/>
      <c r="V3" s="911"/>
      <c r="W3" s="911"/>
      <c r="X3" s="911"/>
      <c r="Y3" s="911"/>
      <c r="Z3" s="911"/>
      <c r="AA3" s="911"/>
      <c r="AB3" s="911"/>
      <c r="AC3" s="1951"/>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672" t="s">
        <v>1775</v>
      </c>
      <c r="Q4" s="3673"/>
      <c r="R4" s="3655" t="s">
        <v>1771</v>
      </c>
      <c r="S4" s="3656"/>
      <c r="T4" s="3655" t="s">
        <v>1772</v>
      </c>
      <c r="U4" s="3656"/>
      <c r="V4" s="3652" t="s">
        <v>1773</v>
      </c>
      <c r="W4" s="3652"/>
      <c r="X4" s="1353"/>
      <c r="Y4" s="3655" t="s">
        <v>1775</v>
      </c>
      <c r="Z4" s="3656"/>
      <c r="AA4" s="3649" t="s">
        <v>1771</v>
      </c>
      <c r="AB4" s="3652" t="s">
        <v>1772</v>
      </c>
      <c r="AC4" s="3649" t="s">
        <v>1773</v>
      </c>
    </row>
    <row r="5" spans="1:29" ht="15">
      <c r="A5" s="358"/>
      <c r="B5" s="359"/>
      <c r="C5" s="3661" t="s">
        <v>1673</v>
      </c>
      <c r="D5" s="3662"/>
      <c r="E5" s="3659" t="s">
        <v>1674</v>
      </c>
      <c r="F5" s="3660"/>
      <c r="G5" s="3661" t="s">
        <v>1675</v>
      </c>
      <c r="H5" s="3662"/>
      <c r="I5" s="3661" t="s">
        <v>1676</v>
      </c>
      <c r="J5" s="3662"/>
      <c r="K5" s="559"/>
      <c r="L5" s="2712"/>
      <c r="M5" s="2713"/>
      <c r="N5" s="2713"/>
      <c r="O5" s="2713"/>
      <c r="P5" s="3674"/>
      <c r="Q5" s="3675"/>
      <c r="R5" s="3657"/>
      <c r="S5" s="3658"/>
      <c r="T5" s="3657"/>
      <c r="U5" s="3658"/>
      <c r="V5" s="3652"/>
      <c r="W5" s="3652"/>
      <c r="X5" s="1353"/>
      <c r="Y5" s="3657"/>
      <c r="Z5" s="3658"/>
      <c r="AA5" s="3650"/>
      <c r="AB5" s="3652"/>
      <c r="AC5" s="3650"/>
    </row>
    <row r="6" spans="1:29" ht="15.75" thickBot="1">
      <c r="A6" s="360"/>
      <c r="B6" s="361"/>
      <c r="C6" s="3663" t="s">
        <v>1677</v>
      </c>
      <c r="D6" s="3664"/>
      <c r="E6" s="3665" t="s">
        <v>1677</v>
      </c>
      <c r="F6" s="3666"/>
      <c r="G6" s="3663" t="s">
        <v>1677</v>
      </c>
      <c r="H6" s="3664"/>
      <c r="I6" s="3663" t="s">
        <v>1677</v>
      </c>
      <c r="J6" s="3664"/>
      <c r="K6" s="559" t="s">
        <v>1678</v>
      </c>
      <c r="L6" s="2712"/>
      <c r="M6" s="2713"/>
      <c r="N6" s="2713"/>
      <c r="O6" s="2713"/>
      <c r="P6" s="3676"/>
      <c r="Q6" s="3677"/>
      <c r="R6" s="3657"/>
      <c r="S6" s="3658"/>
      <c r="T6" s="3678"/>
      <c r="U6" s="3679"/>
      <c r="V6" s="3652"/>
      <c r="W6" s="3652"/>
      <c r="X6" s="1353"/>
      <c r="Y6" s="3678"/>
      <c r="Z6" s="3679"/>
      <c r="AA6" s="3651"/>
      <c r="AB6" s="3652"/>
      <c r="AC6" s="3651"/>
    </row>
    <row r="7" spans="1:29" s="108" customFormat="1" ht="15.75" thickBot="1">
      <c r="A7" s="362" t="s">
        <v>1679</v>
      </c>
      <c r="B7" s="363"/>
      <c r="C7" s="364">
        <f>'数据-取费表'!B2</f>
        <v>45449</v>
      </c>
      <c r="D7" s="365">
        <v>100</v>
      </c>
      <c r="E7" s="366">
        <v>45413</v>
      </c>
      <c r="F7" s="367">
        <f>SUMIF(58:58,YEAR(E7)&amp;"-"&amp;MONTH(E7),59:59)</f>
        <v>0</v>
      </c>
      <c r="G7" s="366">
        <v>45413</v>
      </c>
      <c r="H7" s="365">
        <f>SUMIF(58:58,YEAR(G7)&amp;"-"&amp;MONTH(G7),59:59)</f>
        <v>0</v>
      </c>
      <c r="I7" s="366">
        <v>45413</v>
      </c>
      <c r="J7" s="365">
        <f>SUMIF(58:58,YEAR(I7)&amp;"-"&amp;MONTH(I7),59:59)</f>
        <v>0</v>
      </c>
      <c r="K7" s="560"/>
      <c r="L7" s="2714"/>
      <c r="M7" s="2715"/>
      <c r="N7" s="2715"/>
      <c r="O7" s="2715"/>
      <c r="P7" s="3653"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t="s">
        <v>3396</v>
      </c>
      <c r="D8" s="365">
        <v>100</v>
      </c>
      <c r="E8" s="368" t="s">
        <v>3396</v>
      </c>
      <c r="F8" s="367">
        <f>SUMIF(61:61,E8,62:62)-SUMIF(61:61,C8,62:62)+100</f>
        <v>100</v>
      </c>
      <c r="G8" s="368" t="s">
        <v>3396</v>
      </c>
      <c r="H8" s="365">
        <f>SUMIF(61:61,G8,62:62)-SUMIF(61:61,C8,62:62)+100</f>
        <v>100</v>
      </c>
      <c r="I8" s="368" t="s">
        <v>3396</v>
      </c>
      <c r="J8" s="365">
        <f>SUMIF(61:61,I8,62:62)-SUMIF(61:61,C8,62:62)+100</f>
        <v>100</v>
      </c>
      <c r="K8" s="560"/>
      <c r="L8" s="2714"/>
      <c r="M8" s="2715"/>
      <c r="N8" s="2715"/>
      <c r="O8" s="2715"/>
      <c r="P8" s="3653" t="s">
        <v>1683</v>
      </c>
      <c r="Q8" s="3654"/>
      <c r="R8" s="700" t="s">
        <v>14</v>
      </c>
      <c r="S8" s="701">
        <f t="shared" si="0"/>
        <v>100</v>
      </c>
      <c r="T8" s="700" t="s">
        <v>14</v>
      </c>
      <c r="U8" s="701">
        <f t="shared" si="1"/>
        <v>100</v>
      </c>
      <c r="V8" s="700" t="s">
        <v>14</v>
      </c>
      <c r="W8" s="701">
        <f t="shared" si="2"/>
        <v>100</v>
      </c>
      <c r="X8" s="702"/>
      <c r="Y8" s="3653" t="s">
        <v>1683</v>
      </c>
      <c r="Z8" s="3654"/>
      <c r="AA8" s="703">
        <f t="shared" ref="AA8:AA46" si="3">D8/F8</f>
        <v>1</v>
      </c>
      <c r="AB8" s="703">
        <f t="shared" ref="AB8:AB46" si="4">D8/H8</f>
        <v>1</v>
      </c>
      <c r="AC8" s="703">
        <f t="shared" ref="AC8:AC46" si="5">D8/J8</f>
        <v>1</v>
      </c>
    </row>
    <row r="9" spans="1:29" s="108" customFormat="1">
      <c r="A9" s="369" t="s">
        <v>1684</v>
      </c>
      <c r="B9" s="63" t="s">
        <v>1685</v>
      </c>
      <c r="C9" s="3446" t="s">
        <v>3397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67"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67"/>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67"/>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67"/>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67"/>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67"/>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681" t="s">
        <v>1691</v>
      </c>
      <c r="Q15" s="1350" t="str">
        <f t="shared" si="6"/>
        <v>商业繁华度</v>
      </c>
      <c r="R15" s="704" t="s">
        <v>14</v>
      </c>
      <c r="S15" s="705">
        <f t="shared" si="0"/>
        <v>100</v>
      </c>
      <c r="T15" s="704" t="s">
        <v>14</v>
      </c>
      <c r="U15" s="705">
        <f t="shared" si="1"/>
        <v>100</v>
      </c>
      <c r="V15" s="704" t="s">
        <v>14</v>
      </c>
      <c r="W15" s="705">
        <f t="shared" si="2"/>
        <v>100</v>
      </c>
      <c r="X15" s="1353"/>
      <c r="Y15" s="3683" t="s">
        <v>1691</v>
      </c>
      <c r="Z15" s="1354" t="str">
        <f t="shared" si="7"/>
        <v>商业繁华度</v>
      </c>
      <c r="AA15" s="1351">
        <f t="shared" si="3"/>
        <v>1</v>
      </c>
      <c r="AB15" s="1351">
        <f t="shared" si="4"/>
        <v>1</v>
      </c>
      <c r="AC15" s="1351">
        <f t="shared" si="5"/>
        <v>1</v>
      </c>
    </row>
    <row r="16" spans="1:29" ht="15">
      <c r="A16" s="379"/>
      <c r="B16" s="397"/>
      <c r="C16" s="398" t="s">
        <v>3403</v>
      </c>
      <c r="D16" s="399"/>
      <c r="E16" s="398" t="s">
        <v>3403</v>
      </c>
      <c r="F16" s="400"/>
      <c r="G16" s="398" t="s">
        <v>3403</v>
      </c>
      <c r="H16" s="401"/>
      <c r="I16" s="398" t="s">
        <v>3403</v>
      </c>
      <c r="J16" s="399"/>
      <c r="K16" s="564"/>
      <c r="L16" s="2719"/>
      <c r="M16" s="2713"/>
      <c r="N16" s="2713"/>
      <c r="O16" s="2713"/>
      <c r="P16" s="3682"/>
      <c r="Q16" s="1350"/>
      <c r="R16" s="704"/>
      <c r="S16" s="705"/>
      <c r="T16" s="704"/>
      <c r="U16" s="705"/>
      <c r="V16" s="704"/>
      <c r="W16" s="705"/>
      <c r="X16" s="1353"/>
      <c r="Y16" s="3684"/>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682"/>
      <c r="Q17" s="1350" t="str">
        <f>B17</f>
        <v>交通便捷度</v>
      </c>
      <c r="R17" s="704" t="s">
        <v>14</v>
      </c>
      <c r="S17" s="705">
        <f>F17</f>
        <v>100</v>
      </c>
      <c r="T17" s="704" t="s">
        <v>14</v>
      </c>
      <c r="U17" s="705">
        <f>H17</f>
        <v>100</v>
      </c>
      <c r="V17" s="704" t="s">
        <v>14</v>
      </c>
      <c r="W17" s="705">
        <f>J17</f>
        <v>100</v>
      </c>
      <c r="X17" s="1353"/>
      <c r="Y17" s="3684"/>
      <c r="Z17" s="1354" t="str">
        <f>Q17</f>
        <v>交通便捷度</v>
      </c>
      <c r="AA17" s="1351">
        <f t="shared" si="3"/>
        <v>1</v>
      </c>
      <c r="AB17" s="1351">
        <f t="shared" si="4"/>
        <v>1</v>
      </c>
      <c r="AC17" s="1351">
        <f t="shared" si="5"/>
        <v>1</v>
      </c>
    </row>
    <row r="18" spans="1:29" ht="15">
      <c r="A18" s="379"/>
      <c r="B18" s="407"/>
      <c r="C18" s="398" t="s">
        <v>3403</v>
      </c>
      <c r="D18" s="401"/>
      <c r="E18" s="398" t="s">
        <v>3403</v>
      </c>
      <c r="F18" s="404"/>
      <c r="G18" s="398" t="s">
        <v>3403</v>
      </c>
      <c r="H18" s="399"/>
      <c r="I18" s="398" t="s">
        <v>3403</v>
      </c>
      <c r="J18" s="399"/>
      <c r="K18" s="564"/>
      <c r="L18" s="2719"/>
      <c r="M18" s="2713"/>
      <c r="N18" s="2713"/>
      <c r="O18" s="2713"/>
      <c r="P18" s="3682"/>
      <c r="Q18" s="1350"/>
      <c r="R18" s="704"/>
      <c r="S18" s="705"/>
      <c r="T18" s="704"/>
      <c r="U18" s="705"/>
      <c r="V18" s="704"/>
      <c r="W18" s="705"/>
      <c r="X18" s="1353"/>
      <c r="Y18" s="3684"/>
      <c r="Z18" s="1354"/>
      <c r="AA18" s="1351">
        <v>1</v>
      </c>
      <c r="AB18" s="1351">
        <v>1</v>
      </c>
      <c r="AC18" s="1351">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682"/>
      <c r="Q19" s="1350" t="str">
        <f>B19</f>
        <v>公共配套设施</v>
      </c>
      <c r="R19" s="704" t="s">
        <v>14</v>
      </c>
      <c r="S19" s="705">
        <f>F19</f>
        <v>100</v>
      </c>
      <c r="T19" s="704" t="s">
        <v>14</v>
      </c>
      <c r="U19" s="705">
        <f>H19</f>
        <v>100</v>
      </c>
      <c r="V19" s="704" t="s">
        <v>14</v>
      </c>
      <c r="W19" s="705">
        <f>J19</f>
        <v>100</v>
      </c>
      <c r="X19" s="1353"/>
      <c r="Y19" s="3684"/>
      <c r="Z19" s="1354" t="str">
        <f>Q19</f>
        <v>公共配套设施</v>
      </c>
      <c r="AA19" s="1351">
        <f t="shared" si="3"/>
        <v>1</v>
      </c>
      <c r="AB19" s="1351">
        <f t="shared" si="4"/>
        <v>1</v>
      </c>
      <c r="AC19" s="1351">
        <f t="shared" si="5"/>
        <v>1</v>
      </c>
    </row>
    <row r="20" spans="1:29" ht="15">
      <c r="A20" s="379"/>
      <c r="B20" s="407"/>
      <c r="C20" s="398" t="s">
        <v>3403</v>
      </c>
      <c r="D20" s="399"/>
      <c r="E20" s="398" t="s">
        <v>3403</v>
      </c>
      <c r="F20" s="400"/>
      <c r="G20" s="398" t="s">
        <v>3403</v>
      </c>
      <c r="H20" s="399"/>
      <c r="I20" s="398" t="s">
        <v>3403</v>
      </c>
      <c r="J20" s="399"/>
      <c r="K20" s="564"/>
      <c r="L20" s="2719"/>
      <c r="M20" s="2713"/>
      <c r="N20" s="2713"/>
      <c r="O20" s="2713"/>
      <c r="P20" s="3682"/>
      <c r="Q20" s="1350"/>
      <c r="R20" s="704"/>
      <c r="S20" s="705"/>
      <c r="T20" s="704"/>
      <c r="U20" s="705"/>
      <c r="V20" s="704"/>
      <c r="W20" s="705"/>
      <c r="X20" s="1353"/>
      <c r="Y20" s="3684"/>
      <c r="Z20" s="1354"/>
      <c r="AA20" s="1351">
        <v>1</v>
      </c>
      <c r="AB20" s="1351">
        <v>1</v>
      </c>
      <c r="AC20" s="1351">
        <v>1</v>
      </c>
    </row>
    <row r="21" spans="1:29" ht="28.5">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682"/>
      <c r="Q21" s="1350" t="str">
        <f>B21</f>
        <v>基础设施水平</v>
      </c>
      <c r="R21" s="704" t="s">
        <v>14</v>
      </c>
      <c r="S21" s="705">
        <f>F21</f>
        <v>100</v>
      </c>
      <c r="T21" s="704" t="s">
        <v>14</v>
      </c>
      <c r="U21" s="705">
        <f>H21</f>
        <v>100</v>
      </c>
      <c r="V21" s="704" t="s">
        <v>14</v>
      </c>
      <c r="W21" s="705">
        <f>J21</f>
        <v>100</v>
      </c>
      <c r="X21" s="1353"/>
      <c r="Y21" s="3684"/>
      <c r="Z21" s="1354" t="str">
        <f>Q21</f>
        <v>基础设施水平</v>
      </c>
      <c r="AA21" s="1351">
        <f t="shared" ref="AA21" si="8">D21/F21</f>
        <v>1</v>
      </c>
      <c r="AB21" s="1351">
        <f t="shared" ref="AB21" si="9">D21/H21</f>
        <v>1</v>
      </c>
      <c r="AC21" s="1351">
        <f t="shared" ref="AC21" si="10">D21/J21</f>
        <v>1</v>
      </c>
    </row>
    <row r="22" spans="1:29" ht="15">
      <c r="A22" s="379"/>
      <c r="B22" s="1130"/>
      <c r="C22" s="1898" t="s">
        <v>3411</v>
      </c>
      <c r="D22" s="399"/>
      <c r="E22" s="1898" t="s">
        <v>3411</v>
      </c>
      <c r="F22" s="400"/>
      <c r="G22" s="1898" t="s">
        <v>3411</v>
      </c>
      <c r="H22" s="399"/>
      <c r="I22" s="1898" t="s">
        <v>3411</v>
      </c>
      <c r="J22" s="399"/>
      <c r="K22" s="1129"/>
      <c r="L22" s="2719"/>
      <c r="M22" s="2713"/>
      <c r="N22" s="2713"/>
      <c r="O22" s="2713"/>
      <c r="P22" s="3682"/>
      <c r="Q22" s="1350"/>
      <c r="R22" s="704"/>
      <c r="S22" s="705"/>
      <c r="T22" s="704"/>
      <c r="U22" s="705"/>
      <c r="V22" s="704"/>
      <c r="W22" s="705"/>
      <c r="X22" s="1353"/>
      <c r="Y22" s="3684"/>
      <c r="Z22" s="1354"/>
      <c r="AA22" s="1351">
        <v>1</v>
      </c>
      <c r="AB22" s="1351">
        <v>1</v>
      </c>
      <c r="AC22" s="1351">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682"/>
      <c r="Q23" s="1350" t="str">
        <f>B23</f>
        <v>自然及人文环境</v>
      </c>
      <c r="R23" s="704" t="s">
        <v>14</v>
      </c>
      <c r="S23" s="705">
        <f>F23</f>
        <v>100</v>
      </c>
      <c r="T23" s="704" t="s">
        <v>14</v>
      </c>
      <c r="U23" s="705">
        <f>H23</f>
        <v>100</v>
      </c>
      <c r="V23" s="704" t="s">
        <v>14</v>
      </c>
      <c r="W23" s="705">
        <f>J23</f>
        <v>100</v>
      </c>
      <c r="X23" s="1353"/>
      <c r="Y23" s="3684"/>
      <c r="Z23" s="1354" t="str">
        <f>Q23</f>
        <v>自然及人文环境</v>
      </c>
      <c r="AA23" s="1351">
        <f t="shared" si="3"/>
        <v>1</v>
      </c>
      <c r="AB23" s="1351">
        <f t="shared" si="4"/>
        <v>1</v>
      </c>
      <c r="AC23" s="1351">
        <f t="shared" si="5"/>
        <v>1</v>
      </c>
    </row>
    <row r="24" spans="1:29" ht="15">
      <c r="A24" s="379"/>
      <c r="B24" s="407"/>
      <c r="C24" s="398" t="s">
        <v>3403</v>
      </c>
      <c r="D24" s="399"/>
      <c r="E24" s="398" t="s">
        <v>3403</v>
      </c>
      <c r="F24" s="400"/>
      <c r="G24" s="398" t="s">
        <v>3403</v>
      </c>
      <c r="H24" s="399"/>
      <c r="I24" s="398" t="s">
        <v>3403</v>
      </c>
      <c r="J24" s="399"/>
      <c r="K24" s="564"/>
      <c r="L24" s="2719"/>
      <c r="M24" s="2713"/>
      <c r="N24" s="2713"/>
      <c r="O24" s="2713"/>
      <c r="P24" s="3682"/>
      <c r="Q24" s="1350"/>
      <c r="R24" s="704"/>
      <c r="S24" s="705"/>
      <c r="T24" s="704"/>
      <c r="U24" s="705"/>
      <c r="V24" s="704"/>
      <c r="W24" s="705"/>
      <c r="X24" s="1353"/>
      <c r="Y24" s="3684"/>
      <c r="Z24" s="1354"/>
      <c r="AA24" s="1351">
        <v>1</v>
      </c>
      <c r="AB24" s="1351">
        <v>1</v>
      </c>
      <c r="AC24" s="1351">
        <v>1</v>
      </c>
    </row>
    <row r="25" spans="1:29" ht="15">
      <c r="A25" s="379"/>
      <c r="B25" s="375" t="s">
        <v>1780</v>
      </c>
      <c r="C25" s="565" t="s">
        <v>3441</v>
      </c>
      <c r="D25" s="386">
        <v>100</v>
      </c>
      <c r="E25" s="565" t="s">
        <v>3399</v>
      </c>
      <c r="F25" s="412">
        <f>SUMIF(86:86,E25,87:87)-SUMIF(86:86,C25,87:87)+100</f>
        <v>100</v>
      </c>
      <c r="G25" s="565" t="s">
        <v>3399</v>
      </c>
      <c r="H25" s="386">
        <f>SUMIF(86:86,G25,87:87)-SUMIF(86:86,C25,87:87)+100</f>
        <v>100</v>
      </c>
      <c r="I25" s="565" t="s">
        <v>3399</v>
      </c>
      <c r="J25" s="386">
        <f>SUMIF(86:86,I25,87:87)-SUMIF(86:86,C25,87:87)+100</f>
        <v>100</v>
      </c>
      <c r="K25" s="3451">
        <v>0</v>
      </c>
      <c r="L25" s="2719"/>
      <c r="M25" s="2713"/>
      <c r="N25" s="2713"/>
      <c r="O25" s="2713"/>
      <c r="P25" s="3682"/>
      <c r="Q25" s="1350" t="str">
        <f t="shared" ref="Q25:Q46" si="11">B25</f>
        <v>临街状况</v>
      </c>
      <c r="R25" s="704" t="s">
        <v>14</v>
      </c>
      <c r="S25" s="705">
        <f>F25</f>
        <v>100</v>
      </c>
      <c r="T25" s="704" t="s">
        <v>14</v>
      </c>
      <c r="U25" s="705">
        <f>H25</f>
        <v>100</v>
      </c>
      <c r="V25" s="704" t="s">
        <v>14</v>
      </c>
      <c r="W25" s="705">
        <f>J25</f>
        <v>100</v>
      </c>
      <c r="X25" s="1353"/>
      <c r="Y25" s="3684"/>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2"/>
      <c r="Q26" s="1350" t="str">
        <f t="shared" si="11"/>
        <v>平面位置/可视性</v>
      </c>
      <c r="R26" s="704" t="s">
        <v>14</v>
      </c>
      <c r="S26" s="705">
        <f>F26</f>
        <v>100</v>
      </c>
      <c r="T26" s="704" t="s">
        <v>14</v>
      </c>
      <c r="U26" s="705">
        <f>H26</f>
        <v>100</v>
      </c>
      <c r="V26" s="704" t="s">
        <v>14</v>
      </c>
      <c r="W26" s="705">
        <f>J26</f>
        <v>100</v>
      </c>
      <c r="X26" s="1353"/>
      <c r="Y26" s="3684"/>
      <c r="Z26" s="1354" t="str">
        <f>Q26</f>
        <v>平面位置/可视性</v>
      </c>
      <c r="AA26" s="1351">
        <f t="shared" si="3"/>
        <v>1</v>
      </c>
      <c r="AB26" s="1351">
        <f t="shared" si="4"/>
        <v>1</v>
      </c>
      <c r="AC26" s="1351">
        <f t="shared" si="5"/>
        <v>1</v>
      </c>
    </row>
    <row r="27" spans="1:29" s="108" customFormat="1" ht="15">
      <c r="A27" s="382"/>
      <c r="B27" s="402" t="s">
        <v>1782</v>
      </c>
      <c r="C27" s="1953" t="s">
        <v>3403</v>
      </c>
      <c r="D27" s="413">
        <v>100</v>
      </c>
      <c r="E27" s="1953" t="s">
        <v>3403</v>
      </c>
      <c r="F27" s="415">
        <f>SUMIF(90:90,E27,91:91)-SUMIF(90:90,C27,91:91)+100</f>
        <v>100</v>
      </c>
      <c r="G27" s="1953" t="s">
        <v>3403</v>
      </c>
      <c r="H27" s="413">
        <f>SUMIF(90:90,G27,91:91)-SUMIF(90:90,C27,91:91)+100</f>
        <v>100</v>
      </c>
      <c r="I27" s="1953" t="s">
        <v>3403</v>
      </c>
      <c r="J27" s="413">
        <f>SUMIF(90:90,I27,91:91)-SUMIF(90:90,C27,91:91)+100</f>
        <v>100</v>
      </c>
      <c r="K27" s="3451">
        <v>0</v>
      </c>
      <c r="L27" s="2714"/>
      <c r="M27" s="2715"/>
      <c r="N27" s="2715"/>
      <c r="O27" s="2715"/>
      <c r="P27" s="3682"/>
      <c r="Q27" s="1341" t="str">
        <f t="shared" si="11"/>
        <v>人流量</v>
      </c>
      <c r="R27" s="700" t="s">
        <v>14</v>
      </c>
      <c r="S27" s="701">
        <f>F27</f>
        <v>100</v>
      </c>
      <c r="T27" s="700" t="s">
        <v>14</v>
      </c>
      <c r="U27" s="701">
        <f>H27</f>
        <v>100</v>
      </c>
      <c r="V27" s="700" t="s">
        <v>14</v>
      </c>
      <c r="W27" s="701">
        <f>J27</f>
        <v>100</v>
      </c>
      <c r="X27" s="702"/>
      <c r="Y27" s="3684"/>
      <c r="Z27" s="52" t="str">
        <f>Q27</f>
        <v>人流量</v>
      </c>
      <c r="AA27" s="1351">
        <f>D27/F27</f>
        <v>1</v>
      </c>
      <c r="AB27" s="1351">
        <f>D27/H27</f>
        <v>1</v>
      </c>
      <c r="AC27" s="1351">
        <f>D27/J27</f>
        <v>1</v>
      </c>
    </row>
    <row r="28" spans="1:29" ht="15">
      <c r="A28" s="379"/>
      <c r="B28" s="375" t="s">
        <v>1783</v>
      </c>
      <c r="C28" s="565" t="s">
        <v>3432</v>
      </c>
      <c r="D28" s="386">
        <v>100</v>
      </c>
      <c r="E28" s="565" t="s">
        <v>3432</v>
      </c>
      <c r="F28" s="412">
        <f>SUMIF(92:92,E28,93:93)-SUMIF(92:92,C28,93:93)+100</f>
        <v>100</v>
      </c>
      <c r="G28" s="565" t="s">
        <v>3432</v>
      </c>
      <c r="H28" s="386">
        <f>SUMIF(92:92,G28,93:93)-SUMIF(92:92,C28,93:93)+100</f>
        <v>100</v>
      </c>
      <c r="I28" s="565" t="s">
        <v>3432</v>
      </c>
      <c r="J28" s="386">
        <f>SUMIF(92:92,I28,93:93)-SUMIF(92:92,C28,93:93)+100</f>
        <v>100</v>
      </c>
      <c r="K28" s="562"/>
      <c r="L28" s="2719"/>
      <c r="M28" s="2713"/>
      <c r="N28" s="2713"/>
      <c r="O28" s="2713"/>
      <c r="P28" s="368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84"/>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2"/>
      <c r="Q29" s="1350">
        <f t="shared" si="11"/>
        <v>111</v>
      </c>
      <c r="R29" s="704" t="s">
        <v>14</v>
      </c>
      <c r="S29" s="705">
        <f t="shared" si="12"/>
        <v>100</v>
      </c>
      <c r="T29" s="704" t="s">
        <v>14</v>
      </c>
      <c r="U29" s="705">
        <f t="shared" si="13"/>
        <v>100</v>
      </c>
      <c r="V29" s="704" t="s">
        <v>14</v>
      </c>
      <c r="W29" s="705">
        <f t="shared" si="14"/>
        <v>100</v>
      </c>
      <c r="X29" s="1353"/>
      <c r="Y29" s="3684"/>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2"/>
      <c r="Q30" s="1350">
        <f t="shared" si="11"/>
        <v>111</v>
      </c>
      <c r="R30" s="704" t="s">
        <v>14</v>
      </c>
      <c r="S30" s="705">
        <f t="shared" si="12"/>
        <v>100</v>
      </c>
      <c r="T30" s="704" t="s">
        <v>14</v>
      </c>
      <c r="U30" s="705">
        <f t="shared" si="13"/>
        <v>100</v>
      </c>
      <c r="V30" s="704" t="s">
        <v>14</v>
      </c>
      <c r="W30" s="705">
        <f t="shared" si="14"/>
        <v>100</v>
      </c>
      <c r="X30" s="1353"/>
      <c r="Y30" s="3684"/>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2"/>
      <c r="Q31" s="1350">
        <f t="shared" si="11"/>
        <v>111</v>
      </c>
      <c r="R31" s="704" t="s">
        <v>14</v>
      </c>
      <c r="S31" s="705">
        <f t="shared" si="12"/>
        <v>100</v>
      </c>
      <c r="T31" s="704" t="s">
        <v>14</v>
      </c>
      <c r="U31" s="705">
        <f t="shared" si="13"/>
        <v>100</v>
      </c>
      <c r="V31" s="704" t="s">
        <v>14</v>
      </c>
      <c r="W31" s="705">
        <f t="shared" si="14"/>
        <v>100</v>
      </c>
      <c r="X31" s="1353"/>
      <c r="Y31" s="3684"/>
      <c r="Z31" s="1354">
        <f t="shared" si="15"/>
        <v>111</v>
      </c>
      <c r="AA31" s="1351">
        <f t="shared" si="3"/>
        <v>1</v>
      </c>
      <c r="AB31" s="1351">
        <f t="shared" si="4"/>
        <v>1</v>
      </c>
      <c r="AC31" s="1351">
        <f t="shared" si="5"/>
        <v>1</v>
      </c>
    </row>
    <row r="32" spans="1:29" ht="15">
      <c r="A32" s="391" t="s">
        <v>1694</v>
      </c>
      <c r="B32" s="63" t="s">
        <v>1784</v>
      </c>
      <c r="C32" s="1907" t="s">
        <v>3420</v>
      </c>
      <c r="D32" s="418">
        <v>100</v>
      </c>
      <c r="E32" s="1907" t="s">
        <v>3436</v>
      </c>
      <c r="F32" s="412">
        <f>SUMIF(100:100,E32,101:101)-SUMIF(100:100,C32,101:101)+100</f>
        <v>100</v>
      </c>
      <c r="G32" s="1907" t="s">
        <v>3436</v>
      </c>
      <c r="H32" s="386">
        <f>SUMIF(100:100,G32,101:101)-SUMIF(100:100,C32,101:101)+100</f>
        <v>100</v>
      </c>
      <c r="I32" s="1907" t="s">
        <v>3420</v>
      </c>
      <c r="J32" s="418">
        <f>SUMIF(100:100,I32,101:101)-SUMIF(100:100,C32,101:101)+100</f>
        <v>100</v>
      </c>
      <c r="K32" s="561">
        <v>0</v>
      </c>
      <c r="L32" s="2719"/>
      <c r="M32" s="2713"/>
      <c r="N32" s="2713"/>
      <c r="O32" s="2713"/>
      <c r="P32" s="3685" t="s">
        <v>1696</v>
      </c>
      <c r="Q32" s="1350" t="str">
        <f t="shared" si="11"/>
        <v>商业类型</v>
      </c>
      <c r="R32" s="704" t="s">
        <v>14</v>
      </c>
      <c r="S32" s="705">
        <f t="shared" si="12"/>
        <v>100</v>
      </c>
      <c r="T32" s="704" t="s">
        <v>14</v>
      </c>
      <c r="U32" s="705">
        <f t="shared" si="13"/>
        <v>100</v>
      </c>
      <c r="V32" s="704" t="s">
        <v>14</v>
      </c>
      <c r="W32" s="705">
        <f t="shared" si="14"/>
        <v>100</v>
      </c>
      <c r="X32" s="1353"/>
      <c r="Y32" s="368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8"/>
      <c r="M33" s="2720"/>
      <c r="N33" s="2720"/>
      <c r="O33" s="2720"/>
      <c r="P33" s="3686"/>
      <c r="Q33" s="706" t="str">
        <f t="shared" si="11"/>
        <v>项目建筑规模</v>
      </c>
      <c r="R33" s="707" t="s">
        <v>14</v>
      </c>
      <c r="S33" s="708">
        <f t="shared" si="12"/>
        <v>100</v>
      </c>
      <c r="T33" s="707" t="s">
        <v>14</v>
      </c>
      <c r="U33" s="708">
        <f t="shared" si="13"/>
        <v>100</v>
      </c>
      <c r="V33" s="707" t="s">
        <v>14</v>
      </c>
      <c r="W33" s="708">
        <f t="shared" si="14"/>
        <v>100</v>
      </c>
      <c r="X33" s="709"/>
      <c r="Y33" s="3688"/>
      <c r="Z33" s="710" t="str">
        <f t="shared" si="15"/>
        <v>项目建筑规模</v>
      </c>
      <c r="AA33" s="1351">
        <f t="shared" si="3"/>
        <v>1</v>
      </c>
      <c r="AB33" s="1351">
        <f t="shared" si="4"/>
        <v>1</v>
      </c>
      <c r="AC33" s="1351">
        <f t="shared" si="5"/>
        <v>1</v>
      </c>
    </row>
    <row r="34" spans="1:29" ht="15">
      <c r="A34" s="423"/>
      <c r="B34" s="375" t="s">
        <v>1698</v>
      </c>
      <c r="C34" s="1909" t="s">
        <v>3409</v>
      </c>
      <c r="D34" s="386">
        <v>100</v>
      </c>
      <c r="E34" s="1909" t="s">
        <v>3409</v>
      </c>
      <c r="F34" s="412">
        <f>SUMIF(105:105,E34,106:106)-SUMIF(105:105,C34,106:106)+100</f>
        <v>100</v>
      </c>
      <c r="G34" s="1909" t="s">
        <v>3409</v>
      </c>
      <c r="H34" s="386">
        <f>SUMIF(105:105,G34,106:106)-SUMIF(105:105,C34,106:106)+100</f>
        <v>100</v>
      </c>
      <c r="I34" s="1909" t="s">
        <v>3409</v>
      </c>
      <c r="J34" s="386">
        <f>SUMIF(105:105,I34,106:106)-SUMIF(105:105,C34,106:106)+100</f>
        <v>100</v>
      </c>
      <c r="K34" s="561">
        <v>0</v>
      </c>
      <c r="L34" s="2719"/>
      <c r="M34" s="2713"/>
      <c r="N34" s="2713"/>
      <c r="O34" s="2713"/>
      <c r="P34" s="3686"/>
      <c r="Q34" s="1350" t="str">
        <f t="shared" si="11"/>
        <v>建筑结构</v>
      </c>
      <c r="R34" s="704" t="s">
        <v>14</v>
      </c>
      <c r="S34" s="705">
        <f t="shared" si="12"/>
        <v>100</v>
      </c>
      <c r="T34" s="704" t="s">
        <v>14</v>
      </c>
      <c r="U34" s="705">
        <f t="shared" si="13"/>
        <v>100</v>
      </c>
      <c r="V34" s="704" t="s">
        <v>14</v>
      </c>
      <c r="W34" s="705">
        <f t="shared" si="14"/>
        <v>100</v>
      </c>
      <c r="X34" s="1353"/>
      <c r="Y34" s="3688"/>
      <c r="Z34" s="1354" t="str">
        <f t="shared" si="15"/>
        <v>建筑结构</v>
      </c>
      <c r="AA34" s="1351">
        <f t="shared" si="3"/>
        <v>1</v>
      </c>
      <c r="AB34" s="1351">
        <f t="shared" si="4"/>
        <v>1</v>
      </c>
      <c r="AC34" s="1351">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86"/>
      <c r="Q35" s="1350" t="str">
        <f t="shared" si="11"/>
        <v>公共部分装修</v>
      </c>
      <c r="R35" s="704" t="s">
        <v>14</v>
      </c>
      <c r="S35" s="705">
        <f t="shared" si="12"/>
        <v>100</v>
      </c>
      <c r="T35" s="704" t="s">
        <v>14</v>
      </c>
      <c r="U35" s="705">
        <f t="shared" si="13"/>
        <v>100</v>
      </c>
      <c r="V35" s="704" t="s">
        <v>14</v>
      </c>
      <c r="W35" s="705">
        <f t="shared" si="14"/>
        <v>100</v>
      </c>
      <c r="X35" s="1353"/>
      <c r="Y35" s="3688"/>
      <c r="Z35" s="1354" t="str">
        <f t="shared" si="15"/>
        <v>公共部分装修</v>
      </c>
      <c r="AA35" s="1351">
        <f t="shared" si="3"/>
        <v>1</v>
      </c>
      <c r="AB35" s="1351">
        <f t="shared" si="4"/>
        <v>1</v>
      </c>
      <c r="AC35" s="1351">
        <f t="shared" si="5"/>
        <v>1</v>
      </c>
    </row>
    <row r="36" spans="1:29" ht="15">
      <c r="A36" s="423"/>
      <c r="B36" s="375" t="s">
        <v>1786</v>
      </c>
      <c r="C36" s="425">
        <f>'数据-取费表'!N6</f>
        <v>0.7</v>
      </c>
      <c r="D36" s="386">
        <v>100</v>
      </c>
      <c r="E36" s="425">
        <f>C36</f>
        <v>0.7</v>
      </c>
      <c r="F36" s="412">
        <f>LOOKUP(E36,110:110,111:111)-LOOKUP(C36,110:110,111:111)+100</f>
        <v>100</v>
      </c>
      <c r="G36" s="425">
        <f>E36</f>
        <v>0.7</v>
      </c>
      <c r="H36" s="412">
        <f>LOOKUP(G36,110:110,111:111)-LOOKUP(C36,110:110,111:111)+100</f>
        <v>100</v>
      </c>
      <c r="I36" s="425">
        <f>G36</f>
        <v>0.7</v>
      </c>
      <c r="J36" s="386">
        <f>LOOKUP(I36,110:110,111:111)-LOOKUP(C36,110:110,111:111)+100</f>
        <v>100</v>
      </c>
      <c r="K36" s="561">
        <v>1</v>
      </c>
      <c r="L36" s="2719"/>
      <c r="M36" s="2713"/>
      <c r="N36" s="2713"/>
      <c r="O36" s="2713"/>
      <c r="P36" s="3686"/>
      <c r="Q36" s="1350" t="str">
        <f t="shared" si="11"/>
        <v>成新度</v>
      </c>
      <c r="R36" s="704" t="s">
        <v>14</v>
      </c>
      <c r="S36" s="705">
        <f t="shared" si="12"/>
        <v>100</v>
      </c>
      <c r="T36" s="704" t="s">
        <v>14</v>
      </c>
      <c r="U36" s="705">
        <f t="shared" si="13"/>
        <v>100</v>
      </c>
      <c r="V36" s="704" t="s">
        <v>14</v>
      </c>
      <c r="W36" s="705">
        <f t="shared" si="14"/>
        <v>100</v>
      </c>
      <c r="X36" s="1353"/>
      <c r="Y36" s="3688"/>
      <c r="Z36" s="1354" t="str">
        <f t="shared" si="15"/>
        <v>成新度</v>
      </c>
      <c r="AA36" s="1351">
        <f t="shared" si="3"/>
        <v>1</v>
      </c>
      <c r="AB36" s="1351">
        <f t="shared" si="4"/>
        <v>1</v>
      </c>
      <c r="AC36" s="1351">
        <f t="shared" si="5"/>
        <v>1</v>
      </c>
    </row>
    <row r="37" spans="1:29" s="108" customFormat="1" ht="15">
      <c r="A37" s="424"/>
      <c r="B37" s="375" t="s">
        <v>1787</v>
      </c>
      <c r="C37" s="1903" t="s">
        <v>3412</v>
      </c>
      <c r="D37" s="127">
        <v>100</v>
      </c>
      <c r="E37" s="1903" t="s">
        <v>3411</v>
      </c>
      <c r="F37" s="412">
        <f>SUMIF(112:112,E37,113:113)-SUMIF(112:112,C37,113:113)+100</f>
        <v>100</v>
      </c>
      <c r="G37" s="1903" t="s">
        <v>3412</v>
      </c>
      <c r="H37" s="386">
        <f>SUMIF(112:112,G37,113:113)-SUMIF(112:112,C37,113:113)+100</f>
        <v>100</v>
      </c>
      <c r="I37" s="1903" t="s">
        <v>3411</v>
      </c>
      <c r="J37" s="386">
        <f>SUMIF(112:112,I37,113:113)-SUMIF(112:112,C37,113:113)+100</f>
        <v>100</v>
      </c>
      <c r="K37" s="561">
        <v>0</v>
      </c>
      <c r="L37" s="2714"/>
      <c r="M37" s="2715"/>
      <c r="N37" s="2715"/>
      <c r="O37" s="2715"/>
      <c r="P37" s="3686"/>
      <c r="Q37" s="1341" t="str">
        <f t="shared" si="11"/>
        <v>市政基础设施</v>
      </c>
      <c r="R37" s="700" t="s">
        <v>14</v>
      </c>
      <c r="S37" s="701">
        <f t="shared" si="12"/>
        <v>100</v>
      </c>
      <c r="T37" s="700" t="s">
        <v>14</v>
      </c>
      <c r="U37" s="701">
        <f t="shared" si="13"/>
        <v>100</v>
      </c>
      <c r="V37" s="700" t="s">
        <v>14</v>
      </c>
      <c r="W37" s="701">
        <f t="shared" si="14"/>
        <v>100</v>
      </c>
      <c r="X37" s="702"/>
      <c r="Y37" s="3688"/>
      <c r="Z37" s="52" t="str">
        <f t="shared" si="15"/>
        <v>市政基础设施</v>
      </c>
      <c r="AA37" s="703">
        <f t="shared" si="3"/>
        <v>1</v>
      </c>
      <c r="AB37" s="703">
        <f t="shared" si="4"/>
        <v>1</v>
      </c>
      <c r="AC37" s="703">
        <f t="shared" si="5"/>
        <v>1</v>
      </c>
    </row>
    <row r="38" spans="1:29" ht="15">
      <c r="A38" s="423"/>
      <c r="B38" s="375" t="s">
        <v>1788</v>
      </c>
      <c r="C38" s="1903" t="s">
        <v>3418</v>
      </c>
      <c r="D38" s="386">
        <v>100</v>
      </c>
      <c r="E38" s="1903" t="s">
        <v>3416</v>
      </c>
      <c r="F38" s="412">
        <f>SUMIF(114:114,E38,115:115)-SUMIF(114:114,C38,115:115)+100</f>
        <v>100</v>
      </c>
      <c r="G38" s="1903" t="s">
        <v>3418</v>
      </c>
      <c r="H38" s="386">
        <f>SUMIF(114:114,G38,115:115)-SUMIF(114:114,C38,115:115)+100</f>
        <v>100</v>
      </c>
      <c r="I38" s="1903" t="s">
        <v>3416</v>
      </c>
      <c r="J38" s="386">
        <f>SUMIF(114:114,I38,115:115)-SUMIF(114:114,C38,115:115)+100</f>
        <v>100</v>
      </c>
      <c r="K38" s="561">
        <v>0</v>
      </c>
      <c r="L38" s="2719"/>
      <c r="M38" s="2713"/>
      <c r="N38" s="2713"/>
      <c r="O38" s="2713"/>
      <c r="P38" s="3686" t="s">
        <v>1696</v>
      </c>
      <c r="Q38" s="1350" t="str">
        <f t="shared" si="11"/>
        <v>业态</v>
      </c>
      <c r="R38" s="704" t="s">
        <v>14</v>
      </c>
      <c r="S38" s="705">
        <f t="shared" si="12"/>
        <v>100</v>
      </c>
      <c r="T38" s="704" t="s">
        <v>14</v>
      </c>
      <c r="U38" s="705">
        <f t="shared" si="13"/>
        <v>100</v>
      </c>
      <c r="V38" s="704" t="s">
        <v>14</v>
      </c>
      <c r="W38" s="705">
        <f t="shared" si="14"/>
        <v>100</v>
      </c>
      <c r="X38" s="1353"/>
      <c r="Y38" s="3688" t="s">
        <v>1696</v>
      </c>
      <c r="Z38" s="1354" t="str">
        <f t="shared" si="15"/>
        <v>业态</v>
      </c>
      <c r="AA38" s="1351">
        <f t="shared" si="3"/>
        <v>1</v>
      </c>
      <c r="AB38" s="1351">
        <f t="shared" si="4"/>
        <v>1</v>
      </c>
      <c r="AC38" s="1351">
        <f t="shared" si="5"/>
        <v>1</v>
      </c>
    </row>
    <row r="39" spans="1:29" ht="15">
      <c r="A39" s="423"/>
      <c r="B39" s="375" t="s">
        <v>1789</v>
      </c>
      <c r="C39" s="1903" t="s">
        <v>3423</v>
      </c>
      <c r="D39" s="386">
        <v>100</v>
      </c>
      <c r="E39" s="1903" t="s">
        <v>3423</v>
      </c>
      <c r="F39" s="412">
        <f>SUMIF(116:116,E39,117:117)-SUMIF(116:116,C39,117:117)+100</f>
        <v>100</v>
      </c>
      <c r="G39" s="1903" t="s">
        <v>3423</v>
      </c>
      <c r="H39" s="386">
        <f>SUMIF(116:116,G39,117:117)-SUMIF(116:116,C39,117:117)+100</f>
        <v>100</v>
      </c>
      <c r="I39" s="1903" t="s">
        <v>3423</v>
      </c>
      <c r="J39" s="386">
        <f>SUMIF(116:116,I39,117:117)-SUMIF(116:116,C39,117:117)+100</f>
        <v>100</v>
      </c>
      <c r="K39" s="561">
        <v>2</v>
      </c>
      <c r="L39" s="2719"/>
      <c r="M39" s="2713"/>
      <c r="N39" s="2713"/>
      <c r="O39" s="2713"/>
      <c r="P39" s="3686"/>
      <c r="Q39" s="1350" t="str">
        <f t="shared" si="11"/>
        <v>层高</v>
      </c>
      <c r="R39" s="704" t="s">
        <v>14</v>
      </c>
      <c r="S39" s="705">
        <f t="shared" si="12"/>
        <v>100</v>
      </c>
      <c r="T39" s="704" t="s">
        <v>14</v>
      </c>
      <c r="U39" s="705">
        <f t="shared" si="13"/>
        <v>100</v>
      </c>
      <c r="V39" s="704" t="s">
        <v>14</v>
      </c>
      <c r="W39" s="705">
        <f t="shared" si="14"/>
        <v>100</v>
      </c>
      <c r="X39" s="1353"/>
      <c r="Y39" s="3688"/>
      <c r="Z39" s="1354" t="str">
        <f t="shared" si="15"/>
        <v>层高</v>
      </c>
      <c r="AA39" s="1351">
        <f t="shared" si="3"/>
        <v>1</v>
      </c>
      <c r="AB39" s="1351">
        <f t="shared" si="4"/>
        <v>1</v>
      </c>
      <c r="AC39" s="1351">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686"/>
      <c r="Q40" s="1350" t="str">
        <f t="shared" si="11"/>
        <v>单套建筑面积</v>
      </c>
      <c r="R40" s="704" t="s">
        <v>14</v>
      </c>
      <c r="S40" s="705">
        <f t="shared" si="12"/>
        <v>100</v>
      </c>
      <c r="T40" s="704" t="s">
        <v>14</v>
      </c>
      <c r="U40" s="705">
        <f t="shared" si="13"/>
        <v>100</v>
      </c>
      <c r="V40" s="704" t="s">
        <v>14</v>
      </c>
      <c r="W40" s="705">
        <f t="shared" si="14"/>
        <v>100</v>
      </c>
      <c r="X40" s="1353"/>
      <c r="Y40" s="368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6"/>
      <c r="Q41" s="706" t="str">
        <f t="shared" si="11"/>
        <v>进深比</v>
      </c>
      <c r="R41" s="707" t="s">
        <v>14</v>
      </c>
      <c r="S41" s="708">
        <f t="shared" si="12"/>
        <v>100</v>
      </c>
      <c r="T41" s="707" t="s">
        <v>14</v>
      </c>
      <c r="U41" s="708">
        <f t="shared" si="13"/>
        <v>100</v>
      </c>
      <c r="V41" s="707" t="s">
        <v>14</v>
      </c>
      <c r="W41" s="708">
        <f t="shared" si="14"/>
        <v>100</v>
      </c>
      <c r="X41" s="709"/>
      <c r="Y41" s="3688"/>
      <c r="Z41" s="710" t="str">
        <f t="shared" si="15"/>
        <v>进深比</v>
      </c>
      <c r="AA41" s="1351">
        <f t="shared" si="3"/>
        <v>1</v>
      </c>
      <c r="AB41" s="1351">
        <f t="shared" si="4"/>
        <v>1</v>
      </c>
      <c r="AC41" s="1351">
        <f t="shared" si="5"/>
        <v>1</v>
      </c>
    </row>
    <row r="42" spans="1:29" ht="15">
      <c r="A42" s="423"/>
      <c r="B42" s="375" t="s">
        <v>1792</v>
      </c>
      <c r="C42" s="1903" t="s">
        <v>3425</v>
      </c>
      <c r="D42" s="386">
        <v>100</v>
      </c>
      <c r="E42" s="1903" t="s">
        <v>3425</v>
      </c>
      <c r="F42" s="412">
        <f>SUMIF(122:122,E42,123:123)-SUMIF(122:122,C42,123:123)+100</f>
        <v>100</v>
      </c>
      <c r="G42" s="1903" t="s">
        <v>3425</v>
      </c>
      <c r="H42" s="386">
        <f>SUMIF(122:122,G42,123:123)-SUMIF(122:122,C42,123:123)+100</f>
        <v>100</v>
      </c>
      <c r="I42" s="1903" t="s">
        <v>3425</v>
      </c>
      <c r="J42" s="386">
        <f>SUMIF(122:122,I42,123:123)-SUMIF(122:122,C42,123:123)+100</f>
        <v>100</v>
      </c>
      <c r="K42" s="561">
        <v>2</v>
      </c>
      <c r="L42" s="2719"/>
      <c r="M42" s="2713"/>
      <c r="N42" s="2713"/>
      <c r="O42" s="2713"/>
      <c r="P42" s="3686"/>
      <c r="Q42" s="1350" t="str">
        <f t="shared" si="11"/>
        <v>内部装修</v>
      </c>
      <c r="R42" s="704" t="s">
        <v>14</v>
      </c>
      <c r="S42" s="705">
        <f t="shared" si="12"/>
        <v>100</v>
      </c>
      <c r="T42" s="704" t="s">
        <v>14</v>
      </c>
      <c r="U42" s="705">
        <f t="shared" si="13"/>
        <v>100</v>
      </c>
      <c r="V42" s="704" t="s">
        <v>14</v>
      </c>
      <c r="W42" s="705">
        <f t="shared" si="14"/>
        <v>100</v>
      </c>
      <c r="X42" s="1353"/>
      <c r="Y42" s="3688"/>
      <c r="Z42" s="1354" t="str">
        <f t="shared" si="15"/>
        <v>内部装修</v>
      </c>
      <c r="AA42" s="1351">
        <f t="shared" si="3"/>
        <v>1</v>
      </c>
      <c r="AB42" s="1351">
        <f t="shared" si="4"/>
        <v>1</v>
      </c>
      <c r="AC42" s="1351">
        <f t="shared" si="5"/>
        <v>1</v>
      </c>
    </row>
    <row r="43" spans="1:29" ht="15">
      <c r="A43" s="423"/>
      <c r="B43" s="375" t="s">
        <v>1707</v>
      </c>
      <c r="C43" s="1903" t="s">
        <v>3403</v>
      </c>
      <c r="D43" s="386">
        <v>100</v>
      </c>
      <c r="E43" s="1903" t="s">
        <v>3403</v>
      </c>
      <c r="F43" s="412">
        <f>SUMIF(124:124,E43,125:125)-SUMIF(124:124,C43,125:125)+100</f>
        <v>100</v>
      </c>
      <c r="G43" s="1903" t="s">
        <v>3403</v>
      </c>
      <c r="H43" s="386">
        <f>SUMIF(124:124,G43,125:125)-SUMIF(124:124,C43,125:125)+100</f>
        <v>100</v>
      </c>
      <c r="I43" s="1903" t="s">
        <v>3403</v>
      </c>
      <c r="J43" s="386">
        <f>SUMIF(124:124,I43,125:125)-SUMIF(124:124,C43,125:125)+100</f>
        <v>100</v>
      </c>
      <c r="K43" s="561">
        <v>2</v>
      </c>
      <c r="L43" s="2719"/>
      <c r="M43" s="2713"/>
      <c r="N43" s="2713"/>
      <c r="O43" s="2713"/>
      <c r="P43" s="3686"/>
      <c r="Q43" s="1350" t="str">
        <f t="shared" si="11"/>
        <v>内部装修维护情况</v>
      </c>
      <c r="R43" s="704" t="s">
        <v>14</v>
      </c>
      <c r="S43" s="705">
        <f t="shared" si="12"/>
        <v>100</v>
      </c>
      <c r="T43" s="704" t="s">
        <v>14</v>
      </c>
      <c r="U43" s="705">
        <f t="shared" si="13"/>
        <v>100</v>
      </c>
      <c r="V43" s="704" t="s">
        <v>14</v>
      </c>
      <c r="W43" s="705">
        <f t="shared" si="14"/>
        <v>100</v>
      </c>
      <c r="X43" s="1353"/>
      <c r="Y43" s="3688"/>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86"/>
      <c r="Q44" s="1341">
        <f t="shared" si="11"/>
        <v>111</v>
      </c>
      <c r="R44" s="700" t="s">
        <v>14</v>
      </c>
      <c r="S44" s="701">
        <f t="shared" si="12"/>
        <v>100</v>
      </c>
      <c r="T44" s="700" t="s">
        <v>14</v>
      </c>
      <c r="U44" s="701">
        <f t="shared" si="13"/>
        <v>100</v>
      </c>
      <c r="V44" s="700" t="s">
        <v>14</v>
      </c>
      <c r="W44" s="701">
        <f t="shared" si="14"/>
        <v>100</v>
      </c>
      <c r="X44" s="702"/>
      <c r="Y44" s="368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6"/>
      <c r="Q45" s="1350">
        <f t="shared" si="11"/>
        <v>111</v>
      </c>
      <c r="R45" s="704" t="s">
        <v>14</v>
      </c>
      <c r="S45" s="705">
        <f t="shared" si="12"/>
        <v>100</v>
      </c>
      <c r="T45" s="704" t="s">
        <v>14</v>
      </c>
      <c r="U45" s="705">
        <f t="shared" si="13"/>
        <v>100</v>
      </c>
      <c r="V45" s="704" t="s">
        <v>14</v>
      </c>
      <c r="W45" s="705">
        <f t="shared" si="14"/>
        <v>100</v>
      </c>
      <c r="X45" s="1353"/>
      <c r="Y45" s="3688"/>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87"/>
      <c r="Q46" s="1350">
        <f t="shared" si="11"/>
        <v>111</v>
      </c>
      <c r="R46" s="704" t="s">
        <v>14</v>
      </c>
      <c r="S46" s="705">
        <f t="shared" si="12"/>
        <v>100</v>
      </c>
      <c r="T46" s="704" t="s">
        <v>14</v>
      </c>
      <c r="U46" s="705">
        <f t="shared" si="13"/>
        <v>100</v>
      </c>
      <c r="V46" s="704" t="s">
        <v>14</v>
      </c>
      <c r="W46" s="705">
        <f t="shared" si="14"/>
        <v>100</v>
      </c>
      <c r="X46" s="1353"/>
      <c r="Y46" s="3689"/>
      <c r="Z46" s="1354">
        <f t="shared" si="15"/>
        <v>111</v>
      </c>
      <c r="AA46" s="1351">
        <f t="shared" si="3"/>
        <v>1</v>
      </c>
      <c r="AB46" s="1351">
        <f t="shared" si="4"/>
        <v>1</v>
      </c>
      <c r="AC46" s="1351">
        <f t="shared" si="5"/>
        <v>1</v>
      </c>
    </row>
    <row r="47" spans="1:29" ht="15">
      <c r="A47" s="430" t="s">
        <v>1708</v>
      </c>
      <c r="B47" s="431"/>
      <c r="C47" s="1153" t="s">
        <v>0</v>
      </c>
      <c r="D47" s="1154"/>
      <c r="E47" s="1155">
        <v>30000</v>
      </c>
      <c r="F47" s="1156"/>
      <c r="G47" s="1157">
        <v>30000</v>
      </c>
      <c r="H47" s="1158"/>
      <c r="I47" s="1155">
        <v>30000</v>
      </c>
      <c r="J47" s="1158"/>
      <c r="K47" s="713"/>
      <c r="L47" s="2721"/>
      <c r="M47" s="2722"/>
      <c r="N47" s="2713"/>
      <c r="O47" s="2722"/>
      <c r="P47" s="3690" t="str">
        <f>A47</f>
        <v>成交单价（元/平方米）</v>
      </c>
      <c r="Q47" s="3690"/>
      <c r="R47" s="3652">
        <f>E47</f>
        <v>30000</v>
      </c>
      <c r="S47" s="3652"/>
      <c r="T47" s="3652">
        <f>G47</f>
        <v>30000</v>
      </c>
      <c r="U47" s="3652"/>
      <c r="V47" s="3652">
        <f>I47</f>
        <v>30000</v>
      </c>
      <c r="W47" s="3652"/>
      <c r="X47" s="689"/>
      <c r="Y47" s="711"/>
      <c r="Z47" s="689"/>
      <c r="AA47" s="689"/>
      <c r="AB47" s="689"/>
      <c r="AC47" s="689"/>
    </row>
    <row r="48" spans="1:29" ht="15.75" thickBot="1">
      <c r="A48" s="437" t="s">
        <v>1793</v>
      </c>
      <c r="B48" s="438"/>
      <c r="C48" s="1159" t="e">
        <f>R49</f>
        <v>#DIV/0!</v>
      </c>
      <c r="D48" s="2314" t="s">
        <v>2137</v>
      </c>
      <c r="E48" s="1160" t="e">
        <f>R48</f>
        <v>#DIV/0!</v>
      </c>
      <c r="F48" s="2315"/>
      <c r="G48" s="1159" t="e">
        <f>T48</f>
        <v>#DIV/0!</v>
      </c>
      <c r="H48" s="2315"/>
      <c r="I48" s="1160" t="e">
        <f>V48</f>
        <v>#DIV/0!</v>
      </c>
      <c r="J48" s="2315"/>
      <c r="K48" s="2317">
        <f>F48+H48+J48</f>
        <v>0</v>
      </c>
      <c r="L48" s="2721"/>
      <c r="M48" s="2722"/>
      <c r="N48" s="2713"/>
      <c r="O48" s="2722"/>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1"/>
      <c r="M49" s="2722"/>
      <c r="N49" s="2713"/>
      <c r="O49" s="2722"/>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2024-6</v>
      </c>
      <c r="D58" s="1183">
        <f>EDATE(C58,-1)</f>
        <v>45413</v>
      </c>
      <c r="E58" s="1183">
        <f t="shared" ref="E58:N58" si="16">EDATE(D58,-1)</f>
        <v>45383</v>
      </c>
      <c r="F58" s="1183">
        <f t="shared" si="16"/>
        <v>45352</v>
      </c>
      <c r="G58" s="1183">
        <f t="shared" si="16"/>
        <v>45323</v>
      </c>
      <c r="H58" s="1183">
        <f t="shared" si="16"/>
        <v>45292</v>
      </c>
      <c r="I58" s="1183">
        <f t="shared" si="16"/>
        <v>45261</v>
      </c>
      <c r="J58" s="1183">
        <f t="shared" si="16"/>
        <v>45231</v>
      </c>
      <c r="K58" s="1183">
        <f t="shared" si="16"/>
        <v>45200</v>
      </c>
      <c r="L58" s="1183">
        <f t="shared" si="16"/>
        <v>45170</v>
      </c>
      <c r="M58" s="1183">
        <f t="shared" si="16"/>
        <v>45139</v>
      </c>
      <c r="N58" s="1183">
        <f t="shared" si="16"/>
        <v>45108</v>
      </c>
      <c r="O58" s="1183">
        <f>EDATE(N58,-1)</f>
        <v>45078</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449"/>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47" t="s">
        <v>3398</v>
      </c>
      <c r="D86" s="3447" t="s">
        <v>3400</v>
      </c>
      <c r="E86" s="3447" t="s">
        <v>3401</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3402</v>
      </c>
      <c r="D88" s="503" t="s">
        <v>3403</v>
      </c>
      <c r="E88" s="503" t="s">
        <v>3404</v>
      </c>
      <c r="F88" s="1924" t="s">
        <v>3405</v>
      </c>
      <c r="G88" s="503" t="s">
        <v>3406</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3402</v>
      </c>
      <c r="D90" s="503" t="s">
        <v>3403</v>
      </c>
      <c r="E90" s="503" t="s">
        <v>3404</v>
      </c>
      <c r="F90" s="503" t="s">
        <v>3405</v>
      </c>
      <c r="G90" s="503" t="s">
        <v>3406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3429</v>
      </c>
      <c r="D92" s="503" t="s">
        <v>3430</v>
      </c>
      <c r="E92" s="503" t="s">
        <v>3431</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75</v>
      </c>
      <c r="E93" s="485">
        <v>85</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48" t="s">
        <v>3407</v>
      </c>
      <c r="D100" s="3448" t="s">
        <v>3408</v>
      </c>
      <c r="E100" s="3448" t="s">
        <v>3421</v>
      </c>
      <c r="F100" s="3448" t="s">
        <v>3437</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400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47" t="s">
        <v>3410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t="s">
        <v>3411</v>
      </c>
      <c r="D107" s="503" t="s">
        <v>3412</v>
      </c>
      <c r="E107" s="503" t="s">
        <v>3413</v>
      </c>
      <c r="F107" s="532" t="s">
        <v>3414</v>
      </c>
      <c r="G107" s="532" t="s">
        <v>3415</v>
      </c>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t="s">
        <v>3411</v>
      </c>
      <c r="D112" s="503" t="s">
        <v>3412</v>
      </c>
      <c r="E112" s="503" t="s">
        <v>3413</v>
      </c>
      <c r="F112" s="503" t="s">
        <v>3414</v>
      </c>
      <c r="G112" s="503" t="s">
        <v>3415</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47" t="s">
        <v>3417</v>
      </c>
      <c r="D114" s="3447" t="s">
        <v>3419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47" t="s">
        <v>3422</v>
      </c>
      <c r="D116" s="3447" t="s">
        <v>3424</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47" t="s">
        <v>3426</v>
      </c>
      <c r="D122" s="3447" t="s">
        <v>3427</v>
      </c>
      <c r="E122" s="3447" t="s">
        <v>3428</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6"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5571.6695</v>
      </c>
      <c r="C2" s="199" t="s">
        <v>1463</v>
      </c>
      <c r="D2" s="1850" t="s">
        <v>43</v>
      </c>
      <c r="E2" s="1168"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27335995</v>
      </c>
      <c r="D5" s="211" t="s">
        <v>1469</v>
      </c>
      <c r="E5" s="212" t="s">
        <v>1470</v>
      </c>
      <c r="F5" s="212" t="s">
        <v>1471</v>
      </c>
      <c r="G5" s="213"/>
    </row>
    <row r="6" spans="1:8" s="214" customFormat="1" ht="13.5" customHeight="1">
      <c r="A6" s="777" t="s">
        <v>1472</v>
      </c>
      <c r="B6" s="215" t="s">
        <v>1473</v>
      </c>
      <c r="C6" s="216">
        <f>ROUND('土地比较法-工业'!B3*'土地比较法-工业'!D3,0)</f>
        <v>24603799</v>
      </c>
      <c r="D6" s="217"/>
      <c r="E6" s="218"/>
      <c r="F6" s="218"/>
      <c r="G6" s="219"/>
    </row>
    <row r="7" spans="1:8" s="214" customFormat="1" ht="13.5" customHeight="1">
      <c r="A7" s="777" t="s">
        <v>1474</v>
      </c>
      <c r="B7" s="215" t="s">
        <v>1475</v>
      </c>
      <c r="C7" s="220">
        <f>ROUND(C6*F7,0)</f>
        <v>750416</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1981780</v>
      </c>
      <c r="D8" s="222"/>
      <c r="E8" s="220"/>
      <c r="F8" s="221"/>
      <c r="G8" s="1853" t="s">
        <v>3439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1981780</v>
      </c>
      <c r="D10" s="844">
        <f ca="1">IF(B1="",'数据-汇总表'!E6,IF(INDIRECT("'数据-取费表'!c"&amp;$G$1)="住宅",INDIRECT("'数据-取费表'!s"&amp;$G$1),INDIRECT("'数据-取费表'!k"&amp;$G$1)+INDIRECT("'数据-取费表'!s"&amp;$G$1)))</f>
        <v>9908.9000000000015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9908.9000000000015</v>
      </c>
      <c r="E19" s="211">
        <f>'数据-取费表'!B31</f>
        <v>200</v>
      </c>
      <c r="F19" s="231"/>
      <c r="G19" s="1853" t="s">
        <v>3440</v>
      </c>
    </row>
    <row r="20" spans="1:7" s="214" customFormat="1" ht="13.5" customHeight="1">
      <c r="A20" s="255" t="s">
        <v>1574</v>
      </c>
      <c r="B20" s="210" t="s">
        <v>1575</v>
      </c>
      <c r="C20" s="232">
        <f ca="1">ROUND((C5+C19)*F20,0)</f>
        <v>546720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952523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943092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9431</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1394136</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ROUND((C5+C19+C20)*F27,0)</f>
        <v>1394136</v>
      </c>
      <c r="D28" s="235"/>
      <c r="E28" s="236"/>
      <c r="F28" s="246"/>
      <c r="G28" s="247"/>
    </row>
    <row r="29" spans="1:7" s="214" customFormat="1" ht="13.5" customHeight="1">
      <c r="A29" s="779"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32666278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27992643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24772250</v>
      </c>
      <c r="D34" s="217"/>
      <c r="E34" s="220"/>
      <c r="F34" s="257"/>
      <c r="G34" s="219"/>
    </row>
    <row r="35" spans="1:7" ht="13.5" customHeight="1">
      <c r="A35" s="779" t="s">
        <v>351</v>
      </c>
      <c r="B35" s="215" t="s">
        <v>1527</v>
      </c>
      <c r="C35" s="220">
        <f ca="1">ROUND(C34*F35,0)</f>
        <v>743168</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1981780</v>
      </c>
      <c r="D37" s="217">
        <f ca="1">D19</f>
        <v>9908.9000000000015</v>
      </c>
      <c r="E37" s="249">
        <f>'数据-取费表'!B35</f>
        <v>200</v>
      </c>
      <c r="F37" s="259"/>
      <c r="G37" s="261"/>
    </row>
    <row r="38" spans="1:7" ht="13.5" customHeight="1">
      <c r="A38" s="779" t="s">
        <v>354</v>
      </c>
      <c r="B38" s="215" t="s">
        <v>1533</v>
      </c>
      <c r="C38" s="220">
        <f ca="1">ROUND(C34*F38,0)</f>
        <v>495445</v>
      </c>
      <c r="D38" s="220"/>
      <c r="E38" s="220"/>
      <c r="F38" s="259">
        <f>'数据-取费表'!B36</f>
        <v>0.02</v>
      </c>
      <c r="G38" s="219" t="s">
        <v>1528</v>
      </c>
    </row>
    <row r="39" spans="1:7" s="214" customFormat="1" ht="13.5" customHeight="1">
      <c r="A39" s="255" t="s">
        <v>1534</v>
      </c>
      <c r="B39" s="210" t="s">
        <v>1535</v>
      </c>
      <c r="C39" s="232">
        <f ca="1">ROUND(C33*F20,0)</f>
        <v>559853</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492530</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482873</v>
      </c>
      <c r="D42" s="238"/>
      <c r="E42" s="238"/>
      <c r="F42" s="239"/>
      <c r="G42" s="3641" t="s">
        <v>1591</v>
      </c>
    </row>
    <row r="43" spans="1:7" ht="13.5" customHeight="1">
      <c r="A43" s="779" t="s">
        <v>347</v>
      </c>
      <c r="B43" s="215" t="s">
        <v>1545</v>
      </c>
      <c r="C43" s="238">
        <f ca="1">ROUND(IF('数据-取费表'!B22&lt;=1,C39*F22*'数据-取费表'!B20/2,C39*(POWER((1+F22),'数据-取费表'!B20/2)-1)),0)</f>
        <v>9657</v>
      </c>
      <c r="D43" s="238"/>
      <c r="E43" s="238"/>
      <c r="F43" s="239"/>
      <c r="G43" s="3642"/>
    </row>
    <row r="44" spans="1:7" ht="13.5" customHeight="1">
      <c r="A44" s="779" t="s">
        <v>348</v>
      </c>
      <c r="B44" s="215" t="s">
        <v>1546</v>
      </c>
      <c r="C44" s="238">
        <f ca="1">ROUND(IF('数据-取费表'!B22&lt;=1,C40*F22*'数据-取费表'!B20/2,C40*(POWER((1+F22),'数据-取费表'!B20/2)-1)),4)</f>
        <v>2.9999999999999997E-4</v>
      </c>
      <c r="D44" s="238"/>
      <c r="E44" s="238"/>
      <c r="F44" s="239"/>
      <c r="G44" s="3643"/>
    </row>
    <row r="45" spans="1:7" s="214" customFormat="1" ht="13.5" customHeight="1">
      <c r="A45" s="255" t="s">
        <v>1547</v>
      </c>
      <c r="B45" s="244" t="s">
        <v>1513</v>
      </c>
      <c r="C45" s="245">
        <f ca="1">C46</f>
        <v>1427625</v>
      </c>
      <c r="D45" s="235">
        <f ca="1">C47</f>
        <v>1E-3</v>
      </c>
      <c r="E45" s="236" t="s">
        <v>1539</v>
      </c>
      <c r="F45" s="246">
        <f ca="1">F27</f>
        <v>0.05</v>
      </c>
      <c r="G45" s="247" t="s">
        <v>1548</v>
      </c>
    </row>
    <row r="46" spans="1:7" s="214" customFormat="1" ht="13.5" customHeight="1">
      <c r="A46" s="779" t="s">
        <v>346</v>
      </c>
      <c r="B46" s="248" t="s">
        <v>1549</v>
      </c>
      <c r="C46" s="249">
        <f ca="1">ROUND((C33+C39)*F27,0)</f>
        <v>1427625</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32929167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23050417</v>
      </c>
      <c r="D51" s="232"/>
      <c r="E51" s="232"/>
      <c r="F51" s="264"/>
      <c r="G51" s="234" t="s">
        <v>1560</v>
      </c>
    </row>
    <row r="52" spans="1:7" s="208" customFormat="1" ht="16.5" thickBot="1">
      <c r="A52" s="265" t="s">
        <v>1561</v>
      </c>
      <c r="B52" s="266"/>
      <c r="C52" s="267">
        <f ca="1">C31+C51</f>
        <v>55716695</v>
      </c>
      <c r="D52" s="266"/>
      <c r="E52" s="266"/>
      <c r="F52" s="266"/>
      <c r="G52" s="268"/>
    </row>
    <row r="55" spans="1:7" ht="15">
      <c r="B55" s="270" t="s">
        <v>1562</v>
      </c>
      <c r="C55" s="271"/>
    </row>
    <row r="56" spans="1:7">
      <c r="B56" s="273" t="s">
        <v>802</v>
      </c>
      <c r="C56" s="275">
        <f ca="1">1-C57</f>
        <v>0.58600000000000008</v>
      </c>
    </row>
    <row r="57" spans="1:7">
      <c r="B57" s="273" t="s">
        <v>803</v>
      </c>
      <c r="C57" s="274">
        <f ca="1">ROUND(C51/C52,3)</f>
        <v>0.41399999999999998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t="e">
        <f ca="1">J53</f>
        <v>#N/A</v>
      </c>
      <c r="G1" s="1376"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2" t="e">
        <f ca="1">ROUND(D2/10000,4)</f>
        <v>#N/A</v>
      </c>
      <c r="C2" s="1385" t="s">
        <v>879</v>
      </c>
      <c r="D2" s="1469" t="e">
        <f ca="1">C40+J29+L46</f>
        <v>#N/A</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t="e">
        <f ca="1">C6+C10+C12</f>
        <v>#N/A</v>
      </c>
      <c r="D5" s="1362" t="s">
        <v>889</v>
      </c>
      <c r="E5" s="1070"/>
      <c r="F5" s="1071"/>
      <c r="G5" s="1382"/>
      <c r="H5" s="299">
        <v>1</v>
      </c>
      <c r="I5" s="300" t="s">
        <v>888</v>
      </c>
      <c r="J5" s="1069" t="e">
        <f ca="1">J6+J10+J12</f>
        <v>#N/A</v>
      </c>
      <c r="K5" s="1362" t="s">
        <v>889</v>
      </c>
      <c r="L5" s="1070"/>
      <c r="M5" s="1071"/>
    </row>
    <row r="6" spans="1:37" ht="18" customHeight="1">
      <c r="A6" s="1068" t="s">
        <v>398</v>
      </c>
      <c r="B6" s="3646" t="s">
        <v>694</v>
      </c>
      <c r="C6" s="1073" t="e">
        <f ca="1">ROUND(F6*F8*F7*(1-F9),0)</f>
        <v>#N/A</v>
      </c>
      <c r="D6" s="155" t="s">
        <v>2105</v>
      </c>
      <c r="E6" s="302" t="s">
        <v>696</v>
      </c>
      <c r="F6" s="303" t="e">
        <f ca="1">INDIRECT("'数据-取费表'!u"&amp;$G$1)</f>
        <v>#N/A</v>
      </c>
      <c r="G6" s="1382"/>
      <c r="H6" s="1068" t="s">
        <v>398</v>
      </c>
      <c r="I6" s="3646" t="s">
        <v>694</v>
      </c>
      <c r="J6" s="301" t="e">
        <f ca="1">ROUND(M6*M8*M7*(1-M9),0)</f>
        <v>#N/A</v>
      </c>
      <c r="K6" s="1374" t="s">
        <v>2106</v>
      </c>
      <c r="L6" s="302" t="s">
        <v>696</v>
      </c>
      <c r="M6" s="303" t="e">
        <f ca="1">INDIRECT("'数据-取费表'!z"&amp;$G$1)</f>
        <v>#N/A</v>
      </c>
    </row>
    <row r="7" spans="1:37" ht="18" customHeight="1">
      <c r="A7" s="1072"/>
      <c r="B7" s="3647"/>
      <c r="C7" s="1074"/>
      <c r="D7" s="307"/>
      <c r="E7" s="1075" t="s">
        <v>697</v>
      </c>
      <c r="F7" s="303" t="e">
        <f ca="1">IF(INDIRECT("'数据-取费表'!ah"&amp;$G$1)="",INDIRECT("'数据-取费表'!k"&amp;$G$1),INDIRECT("'数据-取费表'!ah"&amp;$G$1))</f>
        <v>#N/A</v>
      </c>
      <c r="G7" s="1382"/>
      <c r="H7" s="304"/>
      <c r="I7" s="3647"/>
      <c r="J7" s="306"/>
      <c r="K7" s="307"/>
      <c r="L7" s="302" t="s">
        <v>697</v>
      </c>
      <c r="M7" s="303" t="e">
        <f ca="1">F7</f>
        <v>#N/A</v>
      </c>
    </row>
    <row r="8" spans="1:37" ht="18" customHeight="1">
      <c r="A8" s="304"/>
      <c r="B8" s="3647"/>
      <c r="C8" s="306"/>
      <c r="D8" s="307"/>
      <c r="E8" s="302" t="s">
        <v>698</v>
      </c>
      <c r="F8" s="303" t="e">
        <f ca="1">INDIRECT("'数据-取费表'!ai"&amp;$G$1)</f>
        <v>#N/A</v>
      </c>
      <c r="G8" s="1382"/>
      <c r="H8" s="304"/>
      <c r="I8" s="3647"/>
      <c r="J8" s="306"/>
      <c r="K8" s="307"/>
      <c r="L8" s="302" t="s">
        <v>698</v>
      </c>
      <c r="M8" s="303" t="e">
        <f ca="1">INDIRECT("'数据-取费表'!ai"&amp;$G$1)</f>
        <v>#N/A</v>
      </c>
    </row>
    <row r="9" spans="1:37" ht="18" customHeight="1">
      <c r="A9" s="304"/>
      <c r="B9" s="3648"/>
      <c r="C9" s="306"/>
      <c r="D9" s="307"/>
      <c r="E9" s="302" t="s">
        <v>699</v>
      </c>
      <c r="F9" s="312" t="e">
        <f ca="1">INDIRECT("'数据-取费表'!w"&amp;$G$1)</f>
        <v>#N/A</v>
      </c>
      <c r="G9" s="1382"/>
      <c r="H9" s="304"/>
      <c r="I9" s="3648"/>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2115</v>
      </c>
      <c r="E10" s="313" t="s">
        <v>701</v>
      </c>
      <c r="F10" s="1115" t="s">
        <v>3433</v>
      </c>
      <c r="G10" s="1382"/>
      <c r="H10" s="1068" t="s">
        <v>402</v>
      </c>
      <c r="I10" s="1363" t="s">
        <v>700</v>
      </c>
      <c r="J10" s="301">
        <f ca="1">ROUND(IF(M10="押一",J6/12*M11,IF(M10="押二",J6/12*2*M11,IF(M10="押三",J6/12*3*M11,J11*M11))),0)</f>
        <v>0</v>
      </c>
      <c r="K10" s="1375" t="s">
        <v>2117</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ROUND(INDIRECT("'数据-取费表'!l"&amp;$G$1)*F43+'数据-取费表'!L14*INDIRECT("'数据-取费表'!S"&amp;$G$1),0)</f>
        <v>#N/A</v>
      </c>
      <c r="D14" s="1343" t="s">
        <v>708</v>
      </c>
      <c r="E14" s="1340"/>
      <c r="F14" s="319"/>
      <c r="G14" s="1382"/>
      <c r="H14" s="981" t="s">
        <v>398</v>
      </c>
      <c r="I14" s="302" t="s">
        <v>709</v>
      </c>
      <c r="J14" s="21" t="e">
        <f ca="1">C29</f>
        <v>#N/A</v>
      </c>
      <c r="K14" s="12"/>
      <c r="L14" s="806"/>
      <c r="M14" s="807"/>
    </row>
    <row r="15" spans="1:37" s="1395" customFormat="1" ht="18" customHeight="1" thickBot="1">
      <c r="A15" s="981" t="s">
        <v>399</v>
      </c>
      <c r="B15" s="302" t="s">
        <v>710</v>
      </c>
      <c r="C15" s="21" t="e">
        <f ca="1">ROUND(C14*F15,0)</f>
        <v>#N/A</v>
      </c>
      <c r="D15" s="320" t="s">
        <v>711</v>
      </c>
      <c r="E15" s="320"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1087"/>
      <c r="M16" s="1071"/>
    </row>
    <row r="17" spans="1:37" s="1395" customFormat="1" ht="18" customHeight="1">
      <c r="A17" s="981" t="s">
        <v>681</v>
      </c>
      <c r="B17" s="302" t="s">
        <v>716</v>
      </c>
      <c r="C17" s="21" t="e">
        <f ca="1">ROUND(F17*(F43+INDIRECT("'数据-取费表'!S"&amp;$G$1)),0)</f>
        <v>#N/A</v>
      </c>
      <c r="D17" s="302" t="s">
        <v>717</v>
      </c>
      <c r="E17" s="302" t="s">
        <v>718</v>
      </c>
      <c r="F17" s="23">
        <f>'数据-取费表'!B35</f>
        <v>200</v>
      </c>
      <c r="G17" s="1394"/>
      <c r="H17" s="981" t="s">
        <v>398</v>
      </c>
      <c r="I17" s="302" t="s">
        <v>719</v>
      </c>
      <c r="J17" s="2313" t="e">
        <f ca="1">ROUND(IF(AND(项目基本情况!B11="自然人",项目基本情况!B10="北京市"),J6*M17/(1+'数据-取费表'!C42),J18+J19+J20),0)</f>
        <v>#N/A</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0.02</v>
      </c>
      <c r="G18" s="1394"/>
      <c r="H18" s="981" t="s">
        <v>397</v>
      </c>
      <c r="I18" s="302" t="s">
        <v>723</v>
      </c>
      <c r="J18" s="21" t="e">
        <f ca="1">ROUND(J6*M18/(1+'数据-取费表'!C42),0)</f>
        <v>#N/A</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1358"/>
      <c r="F19" s="23"/>
      <c r="G19" s="1382"/>
      <c r="H19" s="981" t="s">
        <v>399</v>
      </c>
      <c r="I19" s="302" t="s">
        <v>727</v>
      </c>
      <c r="J19" s="21" t="e">
        <f ca="1">IF(K19="按租金收入计税",ROUND(J6*M19/(1+'数据-取费表'!C42),0),ROUND(C29*M19*0.7,0))</f>
        <v>#N/A</v>
      </c>
      <c r="K19" s="1368" t="s">
        <v>3338</v>
      </c>
      <c r="L19" s="302" t="s">
        <v>712</v>
      </c>
      <c r="M19" s="322">
        <f>IF(K19="按租金收入计税",'数据-取费表'!B51,'数据-取费表'!B50)</f>
        <v>0.12</v>
      </c>
    </row>
    <row r="20" spans="1:37" s="1395" customFormat="1" ht="18" customHeight="1">
      <c r="A20" s="981" t="s">
        <v>402</v>
      </c>
      <c r="B20" s="302" t="s">
        <v>728</v>
      </c>
      <c r="C20" s="21" t="e">
        <f ca="1">ROUND(C19*F20,0)</f>
        <v>#N/A</v>
      </c>
      <c r="D20" s="323" t="s">
        <v>729</v>
      </c>
      <c r="E20" s="302" t="s">
        <v>712</v>
      </c>
      <c r="F20" s="322">
        <f>'数据-取费表'!B37</f>
        <v>0.02</v>
      </c>
      <c r="G20" s="1394"/>
      <c r="H20" s="981" t="s">
        <v>680</v>
      </c>
      <c r="I20" s="155" t="s">
        <v>730</v>
      </c>
      <c r="J20" s="22" t="e">
        <f ca="1">ROUND(M20*M21,0)</f>
        <v>#N/A</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t="e">
        <f ca="1">ROUND(J14*M22,0)</f>
        <v>#N/A</v>
      </c>
      <c r="K22" s="1342"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t="e">
        <f ca="1">ROUND(J13*M23,0)</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4"/>
      <c r="H24" s="1088" t="s">
        <v>684</v>
      </c>
      <c r="I24" s="1089" t="s">
        <v>728</v>
      </c>
      <c r="J24" s="1090" t="e">
        <f ca="1">ROUND(J5*M24,0)</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1087"/>
      <c r="F30" s="1071"/>
      <c r="G30" s="1382"/>
      <c r="H30" s="2694"/>
      <c r="I30" s="1396"/>
      <c r="J30" s="1397"/>
      <c r="K30" s="2472"/>
      <c r="L30" s="2695"/>
      <c r="M30" s="2696"/>
    </row>
    <row r="31" spans="1:37" ht="18" customHeight="1">
      <c r="A31" s="981" t="s">
        <v>398</v>
      </c>
      <c r="B31" s="302" t="s">
        <v>719</v>
      </c>
      <c r="C31" s="2313" t="e">
        <f ca="1">ROUND(IF(AND(项目基本情况!B11="自然人",项目基本情况!B10="北京市"),C6*F31/(1+'数据-取费表'!C42),C32+C33+C34),0)</f>
        <v>#N/A</v>
      </c>
      <c r="D31" s="1343" t="s">
        <v>720</v>
      </c>
      <c r="E31" s="1342" t="s">
        <v>770</v>
      </c>
      <c r="F31" s="2312" t="str">
        <f>IF(项目基本情况!B11="企业","——",IF(M47="住宅",IF(F6*F7*F8/12/(1+'数据-取费表'!F30)&gt;100000,4%,2.5%),IF(F6*F7*F8/12/(1+'数据-取费表'!F30)&gt;100000,12%,7%)))</f>
        <v>——</v>
      </c>
      <c r="G31" s="1382"/>
      <c r="H31" s="2805" t="s">
        <v>2309</v>
      </c>
      <c r="I31" s="1396"/>
      <c r="J31" s="1397"/>
      <c r="K31" s="2472"/>
      <c r="L31" s="2695"/>
      <c r="M31" s="2696"/>
    </row>
    <row r="32" spans="1:37" ht="18" customHeight="1">
      <c r="A32" s="981" t="s">
        <v>397</v>
      </c>
      <c r="B32" s="302" t="s">
        <v>723</v>
      </c>
      <c r="C32" s="21" t="e">
        <f ca="1">IF(项目基本情况!B11="自然人","——",ROUND(C6*F32/(1+'数据-取费表'!C42),0))</f>
        <v>#N/A</v>
      </c>
      <c r="D32" s="1342" t="s">
        <v>724</v>
      </c>
      <c r="E32" s="302" t="s">
        <v>712</v>
      </c>
      <c r="F32" s="331">
        <f>'数据-取费表'!B41</f>
        <v>5.6000000000000001E-2</v>
      </c>
      <c r="G32" s="1382"/>
      <c r="H32" s="2694"/>
      <c r="I32" s="1396"/>
      <c r="J32" s="1397"/>
      <c r="K32" s="2472"/>
      <c r="L32" s="2695"/>
      <c r="M32" s="2696"/>
    </row>
    <row r="33" spans="1:18" ht="18" customHeight="1">
      <c r="A33" s="981" t="s">
        <v>399</v>
      </c>
      <c r="B33" s="302" t="s">
        <v>727</v>
      </c>
      <c r="C33" s="21" t="e">
        <f ca="1">IF(项目基本情况!B11="自然人","——",IF(D33="按租金收入计税",ROUND(C6*F33/(1+'数据-取费表'!C42),0),IF(D33="按房产原值计税",ROUND(C29*F33*0.7,0),INDIRECT("'数据-取费表'!Aj"&amp;$G$1))))</f>
        <v>#N/A</v>
      </c>
      <c r="D33" s="1368" t="s">
        <v>3338</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e">
        <f ca="1">IF(项目基本情况!B11="自然人","——",ROUND(F34*F35,0))</f>
        <v>#N/A</v>
      </c>
      <c r="D34" s="324" t="s">
        <v>731</v>
      </c>
      <c r="E34" s="302" t="s">
        <v>732</v>
      </c>
      <c r="F34" s="325">
        <f>'数据-取费表'!B52</f>
        <v>3</v>
      </c>
      <c r="G34" s="1382"/>
      <c r="H34" s="2694"/>
      <c r="I34" s="1396"/>
      <c r="J34" s="1397"/>
      <c r="K34" s="2699"/>
      <c r="L34" s="2700"/>
      <c r="M34" s="2700"/>
    </row>
    <row r="35" spans="1:18" ht="18" customHeight="1">
      <c r="A35" s="1102"/>
      <c r="B35" s="1100"/>
      <c r="C35" s="26"/>
      <c r="D35" s="327"/>
      <c r="E35" s="302" t="s">
        <v>736</v>
      </c>
      <c r="F35" s="303" t="e">
        <f ca="1">INDIRECT("'数据-取费表'!r"&amp;$G$1)</f>
        <v>#N/A</v>
      </c>
      <c r="G35" s="1382"/>
      <c r="H35" s="2694"/>
      <c r="I35" s="1396"/>
      <c r="J35" s="1397"/>
      <c r="K35" s="2698"/>
      <c r="L35" s="2697"/>
      <c r="M35" s="2697"/>
    </row>
    <row r="36" spans="1:18" ht="18" customHeight="1">
      <c r="A36" s="1101" t="s">
        <v>402</v>
      </c>
      <c r="B36" s="302" t="s">
        <v>738</v>
      </c>
      <c r="C36" s="21" t="e">
        <f ca="1">ROUND(C29*F36,0)</f>
        <v>#N/A</v>
      </c>
      <c r="D36" s="1342" t="s">
        <v>771</v>
      </c>
      <c r="E36" s="302" t="s">
        <v>712</v>
      </c>
      <c r="F36" s="328" t="e">
        <f ca="1">INDIRECT("'数据-取费表'!Ak"&amp;$G$1)</f>
        <v>#N/A</v>
      </c>
      <c r="G36" s="1382"/>
      <c r="H36" s="2697" t="e">
        <f ca="1">C39/C5</f>
        <v>#N/A</v>
      </c>
      <c r="I36" s="1396"/>
      <c r="J36" s="1397"/>
      <c r="K36" s="2541"/>
      <c r="L36" s="2697"/>
      <c r="M36" s="2697"/>
    </row>
    <row r="37" spans="1:18" ht="18" customHeight="1">
      <c r="A37" s="981" t="s">
        <v>437</v>
      </c>
      <c r="B37" s="302" t="s">
        <v>742</v>
      </c>
      <c r="C37" s="21" t="e">
        <f ca="1">ROUND(C13*F37,0)</f>
        <v>#N/A</v>
      </c>
      <c r="D37" s="1342" t="s">
        <v>743</v>
      </c>
      <c r="E37" s="302" t="s">
        <v>744</v>
      </c>
      <c r="F37" s="330" t="e">
        <f ca="1">INDIRECT("'数据-取费表'!Al"&amp;$G$1)</f>
        <v>#N/A</v>
      </c>
      <c r="G37" s="1382"/>
      <c r="H37" s="2697"/>
      <c r="I37" s="1396"/>
      <c r="J37" s="1397"/>
      <c r="K37" s="2541"/>
      <c r="L37" s="2697"/>
      <c r="M37" s="2697"/>
    </row>
    <row r="38" spans="1:18" ht="18" customHeight="1" thickBot="1">
      <c r="A38" s="1088" t="s">
        <v>684</v>
      </c>
      <c r="B38" s="1089" t="s">
        <v>728</v>
      </c>
      <c r="C38" s="1090" t="e">
        <f ca="1">ROUND(C5*F38,0)</f>
        <v>#N/A</v>
      </c>
      <c r="D38" s="1091" t="s">
        <v>748</v>
      </c>
      <c r="E38" s="1089" t="s">
        <v>744</v>
      </c>
      <c r="F38" s="1085" t="e">
        <f ca="1">INDIRECT("'数据-取费表'!Am"&amp;$G$1)</f>
        <v>#N/A</v>
      </c>
      <c r="G38" s="1382"/>
      <c r="H38" s="2697"/>
      <c r="I38" s="1396"/>
      <c r="J38" s="1397"/>
      <c r="K38" s="2701"/>
      <c r="L38" s="2697"/>
      <c r="M38" s="2697"/>
    </row>
    <row r="39" spans="1:18" ht="24.6" customHeight="1" thickTop="1">
      <c r="A39" s="1078" t="s">
        <v>394</v>
      </c>
      <c r="B39" s="1093" t="s">
        <v>772</v>
      </c>
      <c r="C39" s="310" t="e">
        <f ca="1">C5-C30</f>
        <v>#N/A</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1"/>
      <c r="L41" s="1189"/>
      <c r="M41" s="1189"/>
    </row>
    <row r="42" spans="1:18" ht="18" customHeight="1">
      <c r="A42" s="308"/>
      <c r="B42" s="309"/>
      <c r="C42" s="310"/>
      <c r="D42" s="327"/>
      <c r="E42" s="302" t="s">
        <v>766</v>
      </c>
      <c r="F42" s="312" t="e">
        <f ca="1">INDIRECT("'数据-取费表'!v"&amp;$G$1)</f>
        <v>#N/A</v>
      </c>
      <c r="G42" s="1382"/>
      <c r="H42" s="1189"/>
      <c r="I42" s="1396"/>
      <c r="J42" s="1397"/>
      <c r="K42" s="2541"/>
      <c r="L42" s="1189"/>
      <c r="M42" s="1189"/>
    </row>
    <row r="43" spans="1:18" ht="18" customHeight="1" thickBot="1">
      <c r="A43" s="334" t="s">
        <v>396</v>
      </c>
      <c r="B43" s="335" t="s">
        <v>776</v>
      </c>
      <c r="C43" s="336" t="e">
        <f ca="1">ROUND(C40/F43,0)</f>
        <v>#N/A</v>
      </c>
      <c r="D43" s="337" t="s">
        <v>777</v>
      </c>
      <c r="E43" s="338" t="s">
        <v>778</v>
      </c>
      <c r="F43" s="339"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3354</v>
      </c>
      <c r="B45" s="1398"/>
      <c r="C45" s="1470" t="e">
        <f ca="1">ROUND((C68-C40)/10000,4)</f>
        <v>#N/A</v>
      </c>
      <c r="D45" s="3429" t="s">
        <v>3355</v>
      </c>
      <c r="E45" s="1398"/>
      <c r="F45" s="1398"/>
      <c r="O45" s="1401" t="s">
        <v>808</v>
      </c>
      <c r="P45" s="1459"/>
      <c r="Q45" s="1459"/>
      <c r="R45" s="1459"/>
    </row>
    <row r="46" spans="1:18" s="1382" customFormat="1" ht="13.5" thickBot="1">
      <c r="A46" s="1402" t="s">
        <v>809</v>
      </c>
      <c r="C46" s="1403" t="e">
        <f ca="1">ROUND(C45,0)</f>
        <v>#N/A</v>
      </c>
      <c r="D46" s="1404" t="str">
        <f>C2</f>
        <v>万元</v>
      </c>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3409</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1357" t="e">
        <f ca="1">C49+C53+C55</f>
        <v>#N/A</v>
      </c>
      <c r="D48" s="1111"/>
      <c r="E48" s="1112"/>
      <c r="F48" s="961"/>
      <c r="G48" s="721"/>
      <c r="H48" s="722"/>
      <c r="I48" s="1419" t="s">
        <v>819</v>
      </c>
      <c r="J48" s="1420" t="s">
        <v>3434</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ROUND(F49*F51*F50*(1-F52),0)</f>
        <v>#N/A</v>
      </c>
      <c r="D49" s="1054" t="s">
        <v>695</v>
      </c>
      <c r="E49" s="1370" t="s">
        <v>780</v>
      </c>
      <c r="F49" s="1059"/>
      <c r="G49" s="1423"/>
      <c r="H49" s="722"/>
      <c r="I49" s="1419" t="s">
        <v>823</v>
      </c>
      <c r="J49" s="1424">
        <f>'数据-取费表'!N17</f>
        <v>2013</v>
      </c>
      <c r="K49" s="1421" t="s">
        <v>824</v>
      </c>
      <c r="L49" s="1425"/>
      <c r="O49" s="1426" t="s">
        <v>405</v>
      </c>
      <c r="P49" s="1417" t="s">
        <v>825</v>
      </c>
      <c r="Q49" s="1418" t="e">
        <f ca="1">C29</f>
        <v>#N/A</v>
      </c>
      <c r="R49" s="1418" t="s">
        <v>818</v>
      </c>
    </row>
    <row r="50" spans="1:18" s="1382" customFormat="1" ht="13.5" thickBot="1">
      <c r="A50" s="975"/>
      <c r="B50" s="978"/>
      <c r="C50" s="979"/>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49</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'数据-取费表'!J6+0.5%</f>
        <v>7.5000000000000011E-2</v>
      </c>
      <c r="K52" s="1435" t="s">
        <v>833</v>
      </c>
      <c r="L52" s="1436"/>
      <c r="O52" s="1426" t="s">
        <v>408</v>
      </c>
      <c r="P52" s="1417" t="s">
        <v>834</v>
      </c>
      <c r="Q52" s="1418" t="e">
        <f ca="1">J53</f>
        <v>#N/A</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5" t="e">
        <f ca="1">IF(M47="住宅",IF(D1="——",MAX(J51,L48),MAX(J51,L48-'数据-取费表'!B24)),IF(D1="——",MIN(J51,L48),MIN(J51,L48-'数据-取费表'!B24)))</f>
        <v>#N/A</v>
      </c>
      <c r="K53" s="3644" t="s">
        <v>837</v>
      </c>
      <c r="L53" s="3645"/>
      <c r="O53" s="1416" t="s">
        <v>409</v>
      </c>
      <c r="P53" s="1417" t="s">
        <v>838</v>
      </c>
      <c r="Q53" s="1418" t="e">
        <f ca="1">Q47+Q48</f>
        <v>#N/A</v>
      </c>
      <c r="R53" s="1418" t="s">
        <v>410</v>
      </c>
    </row>
    <row r="54" spans="1:18" s="1382" customFormat="1" ht="13.5" thickBot="1">
      <c r="A54" s="974"/>
      <c r="B54" s="1471" t="s">
        <v>891</v>
      </c>
      <c r="C54" s="958"/>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36" customHeight="1" thickTop="1" thickBot="1">
      <c r="A56" s="956">
        <v>2</v>
      </c>
      <c r="B56" s="957" t="s">
        <v>704</v>
      </c>
      <c r="C56" s="232" t="e">
        <f ca="1">C13</f>
        <v>#N/A</v>
      </c>
      <c r="D56" s="1445"/>
      <c r="E56" s="1446"/>
      <c r="F56" s="1438"/>
      <c r="I56" s="1447" t="s">
        <v>842</v>
      </c>
      <c r="J56" s="1448" t="s">
        <v>3391</v>
      </c>
      <c r="K56" s="1419" t="s">
        <v>843</v>
      </c>
      <c r="L56" s="1422" t="e">
        <f ca="1">IF(L48&lt;J51,"——",L48-J51)</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892</v>
      </c>
      <c r="L57" s="1422" t="e">
        <f ca="1">IF(L48&lt;J51,"——",IF(L55="比较法",L49,IF(L55="基准地价",L50,L51)))</f>
        <v>#N/A</v>
      </c>
      <c r="O57" s="1416" t="s">
        <v>404</v>
      </c>
      <c r="P57" s="1417" t="s">
        <v>893</v>
      </c>
      <c r="Q57" s="1418" t="e">
        <f ca="1">L60</f>
        <v>#N/A</v>
      </c>
      <c r="R57" s="1418" t="s">
        <v>894</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895</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3" t="e">
        <f ca="1">ROUND(IF(AND(项目基本情况!B11="自然人",项目基本情况!B10="北京市"),C49*F59/(1+'数据-取费表'!C42),C60+C61+C62),0)</f>
        <v>#N/A</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IF(项目基本情况!B11="自然人","——",ROUND(C48*F60/(1+'数据-取费表'!C42),0))</f>
        <v>#N/A</v>
      </c>
      <c r="D60" s="963" t="s">
        <v>724</v>
      </c>
      <c r="E60" s="949"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782</v>
      </c>
      <c r="C61" s="21" t="e">
        <f ca="1">IF(项目基本情况!B11="自然人","——",IF(D61="按租金收入计税",ROUND(C49*F61/(1+'数据-取费表'!C42),0),IF(D61="按房产原值计税",ROUND(C57*F61*0.7,0),INDIRECT("'数据-取费表'!Aj"&amp;$G$1))))</f>
        <v>#N/A</v>
      </c>
      <c r="D61" s="1368" t="s">
        <v>3338</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IF(项目基本情况!B11="自然人","——",ROUND(F62*F63,0))</f>
        <v>#N/A</v>
      </c>
      <c r="D62" s="964" t="s">
        <v>786</v>
      </c>
      <c r="E62" s="949" t="s">
        <v>787</v>
      </c>
      <c r="F62" s="325">
        <f t="shared" si="0"/>
        <v>3</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t="e">
        <f ca="1">ROUND(C57*F64,0)</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ROUND(C56*F65,0)</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ROUND(C48*F66,0)</f>
        <v>#N/A</v>
      </c>
      <c r="D66" s="963" t="s">
        <v>794</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3" t="s">
        <v>2318</v>
      </c>
      <c r="B2" s="2840" t="e">
        <f>IF(D2="——",C40,C40+E2)</f>
        <v>#DIV/0!</v>
      </c>
      <c r="C2" s="2841" t="s">
        <v>2319</v>
      </c>
      <c r="D2" s="3440" t="s">
        <v>3361</v>
      </c>
      <c r="E2" s="3441"/>
      <c r="F2" s="2843"/>
      <c r="G2" s="2844"/>
      <c r="H2" s="2845"/>
      <c r="I2" s="2846"/>
      <c r="J2" s="3695" t="s">
        <v>2320</v>
      </c>
      <c r="K2" s="3696"/>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697" t="s">
        <v>2330</v>
      </c>
      <c r="K3" s="3698"/>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697" t="s">
        <v>2332</v>
      </c>
      <c r="K4" s="3698"/>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699" t="s">
        <v>2336</v>
      </c>
      <c r="B6" s="3700"/>
      <c r="C6" s="3701"/>
      <c r="D6" s="2867"/>
      <c r="E6" s="2868"/>
      <c r="F6" s="2869"/>
      <c r="G6" s="2870"/>
      <c r="H6" s="2845"/>
      <c r="I6" s="2846"/>
      <c r="J6" s="3702">
        <v>1</v>
      </c>
      <c r="K6" s="3703"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02"/>
      <c r="K7" s="3704"/>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06" t="s">
        <v>2350</v>
      </c>
      <c r="C8" s="3707"/>
      <c r="D8" s="2886" t="s">
        <v>2351</v>
      </c>
      <c r="E8" s="2887" t="s">
        <v>2352</v>
      </c>
      <c r="F8" s="2888" t="s">
        <v>2353</v>
      </c>
      <c r="G8" s="2889"/>
      <c r="H8" s="2845"/>
      <c r="I8" s="2846"/>
      <c r="J8" s="3702"/>
      <c r="K8" s="3704"/>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06" t="s">
        <v>2356</v>
      </c>
      <c r="C9" s="3707"/>
      <c r="D9" s="2886">
        <f>ROUND(D6*E9,0)</f>
        <v>0</v>
      </c>
      <c r="E9" s="2890"/>
      <c r="F9" s="2891" t="s">
        <v>2357</v>
      </c>
      <c r="G9" s="2870"/>
      <c r="H9" s="2845"/>
      <c r="I9" s="2846"/>
      <c r="J9" s="3702"/>
      <c r="K9" s="3704"/>
      <c r="L9" s="2880" t="s">
        <v>2358</v>
      </c>
      <c r="M9" s="2881"/>
      <c r="N9" s="2857"/>
      <c r="O9" s="2882"/>
      <c r="P9" s="2882"/>
      <c r="Q9" s="2883">
        <v>365</v>
      </c>
      <c r="R9" s="2884">
        <f t="shared" si="0"/>
        <v>0</v>
      </c>
      <c r="S9" s="2838"/>
      <c r="T9" s="2838"/>
      <c r="U9" s="2838"/>
      <c r="V9" s="2846"/>
    </row>
    <row r="10" spans="1:22" s="2850" customFormat="1" ht="13.15" customHeight="1">
      <c r="A10" s="2885">
        <v>2</v>
      </c>
      <c r="B10" s="3706" t="s">
        <v>2359</v>
      </c>
      <c r="C10" s="3707"/>
      <c r="D10" s="2886">
        <f>ROUND(D6*E10,0)</f>
        <v>0</v>
      </c>
      <c r="E10" s="2890"/>
      <c r="F10" s="2891" t="s">
        <v>2360</v>
      </c>
      <c r="G10" s="2870"/>
      <c r="H10" s="2845"/>
      <c r="I10" s="2846"/>
      <c r="J10" s="3702"/>
      <c r="K10" s="3704"/>
      <c r="L10" s="2880" t="s">
        <v>2361</v>
      </c>
      <c r="M10" s="2881"/>
      <c r="N10" s="2857"/>
      <c r="O10" s="2882"/>
      <c r="P10" s="2882"/>
      <c r="Q10" s="2883">
        <v>365</v>
      </c>
      <c r="R10" s="2884">
        <f t="shared" si="0"/>
        <v>0</v>
      </c>
      <c r="S10" s="2838"/>
      <c r="T10" s="2838"/>
      <c r="U10" s="2838"/>
      <c r="V10" s="2846"/>
    </row>
    <row r="11" spans="1:22" s="2850" customFormat="1" ht="13.15" customHeight="1">
      <c r="A11" s="2885">
        <v>3</v>
      </c>
      <c r="B11" s="3706" t="s">
        <v>2362</v>
      </c>
      <c r="C11" s="3707"/>
      <c r="D11" s="2886">
        <f>D12+D14+D15+D16</f>
        <v>0</v>
      </c>
      <c r="E11" s="2892" t="e">
        <f>D11/D6</f>
        <v>#DIV/0!</v>
      </c>
      <c r="F11" s="2888"/>
      <c r="G11" s="2889"/>
      <c r="H11" s="2845"/>
      <c r="I11" s="2846"/>
      <c r="J11" s="3702"/>
      <c r="K11" s="3704"/>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08" t="s">
        <v>2365</v>
      </c>
      <c r="C12" s="3709"/>
      <c r="D12" s="2894">
        <f>ROUND(D13*1.2%*(1-30%),0)</f>
        <v>0</v>
      </c>
      <c r="E12" s="2895">
        <v>1.2E-2</v>
      </c>
      <c r="F12" s="2888" t="s">
        <v>2366</v>
      </c>
      <c r="G12" s="2889"/>
      <c r="H12" s="2845"/>
      <c r="I12" s="2846"/>
      <c r="J12" s="3702"/>
      <c r="K12" s="3704"/>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02"/>
      <c r="K13" s="3704"/>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08" t="s">
        <v>2371</v>
      </c>
      <c r="C14" s="3709"/>
      <c r="D14" s="2894">
        <f>ROUND(E14*B5/10000,0)</f>
        <v>0</v>
      </c>
      <c r="E14" s="2883"/>
      <c r="F14" s="2888" t="s">
        <v>2372</v>
      </c>
      <c r="G14" s="2889"/>
      <c r="H14" s="2845"/>
      <c r="I14" s="2846"/>
      <c r="J14" s="3702"/>
      <c r="K14" s="3705"/>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08" t="s">
        <v>2375</v>
      </c>
      <c r="C15" s="3709"/>
      <c r="D15" s="2894">
        <f>ROUND(D6*E15,0)</f>
        <v>0</v>
      </c>
      <c r="E15" s="2895">
        <v>5.5E-2</v>
      </c>
      <c r="F15" s="2888" t="s">
        <v>2376</v>
      </c>
      <c r="G15" s="2870"/>
      <c r="H15" s="2845"/>
      <c r="I15" s="2846"/>
      <c r="J15" s="3702">
        <v>2</v>
      </c>
      <c r="K15" s="3703"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08" t="s">
        <v>2384</v>
      </c>
      <c r="C16" s="3709"/>
      <c r="D16" s="2905">
        <f>D6*E16</f>
        <v>0</v>
      </c>
      <c r="E16" s="2906"/>
      <c r="F16" s="2891" t="s">
        <v>2385</v>
      </c>
      <c r="G16" s="2870"/>
      <c r="H16" s="2845"/>
      <c r="I16" s="2846"/>
      <c r="J16" s="3702"/>
      <c r="K16" s="3704"/>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10" t="s">
        <v>2387</v>
      </c>
      <c r="C17" s="3711"/>
      <c r="D17" s="2908">
        <f>ROUND(D6*E17,0)</f>
        <v>0</v>
      </c>
      <c r="E17" s="2909"/>
      <c r="F17" s="2910" t="s">
        <v>2388</v>
      </c>
      <c r="G17" s="2870"/>
      <c r="H17" s="2845"/>
      <c r="I17" s="2846"/>
      <c r="J17" s="3702"/>
      <c r="K17" s="3704"/>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02"/>
      <c r="K18" s="3704"/>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02"/>
      <c r="K19" s="3705"/>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2">
        <v>3</v>
      </c>
      <c r="K20" s="3703"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02"/>
      <c r="K21" s="3704"/>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02"/>
      <c r="K22" s="3704"/>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02"/>
      <c r="K23" s="3704"/>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02"/>
      <c r="K24" s="3705"/>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12">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1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695" t="s">
        <v>2320</v>
      </c>
      <c r="K32" s="3696"/>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697" t="s">
        <v>2330</v>
      </c>
      <c r="K33" s="3698"/>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697" t="s">
        <v>2332</v>
      </c>
      <c r="K34" s="369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02">
        <v>1</v>
      </c>
      <c r="K36" s="3703"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02"/>
      <c r="K37" s="3704"/>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2"/>
      <c r="K38" s="3704"/>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02"/>
      <c r="K39" s="3704"/>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02"/>
      <c r="K40" s="3705"/>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2">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1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4" t="s">
        <v>1658</v>
      </c>
      <c r="B1" s="1865"/>
      <c r="C1" s="1865"/>
      <c r="D1" s="1865"/>
      <c r="E1" s="1866"/>
      <c r="F1" s="2704"/>
      <c r="G1" s="1487"/>
      <c r="H1" s="1487"/>
      <c r="I1" s="1487"/>
      <c r="J1" s="1487"/>
      <c r="K1" s="1487"/>
      <c r="L1" s="1487"/>
      <c r="M1" s="1487"/>
      <c r="N1" s="1487"/>
      <c r="O1" s="1487"/>
      <c r="P1" s="1487"/>
      <c r="Q1" s="1487"/>
      <c r="R1" s="1487"/>
      <c r="S1" s="1487"/>
    </row>
    <row r="2" spans="1:22" ht="15.75">
      <c r="A2" s="1867" t="s">
        <v>1462</v>
      </c>
      <c r="B2" s="1868">
        <f ca="1">SUMIF(B6:B13,"&lt;&gt;#ref!",B6:B13)</f>
        <v>10469</v>
      </c>
      <c r="C2" s="1869" t="s">
        <v>1651</v>
      </c>
      <c r="D2" s="1870" t="s">
        <v>1652</v>
      </c>
      <c r="E2" s="2604">
        <f>SUM(E6:E13)</f>
        <v>9908.9000000000015</v>
      </c>
      <c r="F2" s="2704"/>
      <c r="G2" s="1487"/>
      <c r="H2" s="1487"/>
      <c r="I2" s="1487"/>
      <c r="J2" s="1487"/>
      <c r="K2" s="1487"/>
      <c r="L2" s="1487"/>
      <c r="M2" s="1487"/>
      <c r="N2" s="1487"/>
      <c r="O2" s="1487"/>
      <c r="P2" s="1487"/>
      <c r="Q2" s="1487"/>
      <c r="R2" s="1487"/>
      <c r="S2" s="1487"/>
    </row>
    <row r="3" spans="1:22" ht="15.75">
      <c r="A3" s="1867" t="s">
        <v>686</v>
      </c>
      <c r="B3" s="2598">
        <f ca="1">ROUND(B2*10000/E2,0)</f>
        <v>10565</v>
      </c>
      <c r="C3" s="1869"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14" t="s">
        <v>1654</v>
      </c>
      <c r="C5" s="3715"/>
      <c r="D5" s="2705"/>
      <c r="E5" s="1871" t="s">
        <v>1655</v>
      </c>
      <c r="F5" s="1872"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10469</v>
      </c>
      <c r="C6" s="1869" t="s">
        <v>1651</v>
      </c>
      <c r="D6" s="2706"/>
      <c r="E6" s="2603">
        <f>IF(OR(A6=0,F6="否"),0,'数据-取费表'!K6+'数据-取费表'!S6)</f>
        <v>9908.9000000000015</v>
      </c>
      <c r="F6" s="1873"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69" t="s">
        <v>1651</v>
      </c>
      <c r="D7" s="2706"/>
      <c r="E7" s="2603">
        <f>IF(OR(A7=0,F7="否"),0,'数据-取费表'!K7+'数据-取费表'!S7)</f>
        <v>0</v>
      </c>
      <c r="F7" s="1873"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69" t="s">
        <v>1651</v>
      </c>
      <c r="D8" s="2706"/>
      <c r="E8" s="2603">
        <f>IF(OR(A8=0,F8="否"),0,'数据-取费表'!K8+'数据-取费表'!S8)</f>
        <v>0</v>
      </c>
      <c r="F8" s="1873"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69" t="s">
        <v>1651</v>
      </c>
      <c r="D9" s="2706"/>
      <c r="E9" s="2603">
        <f>IF(OR(A9=0,F9="否"),0,'数据-取费表'!K9+'数据-取费表'!S9)</f>
        <v>0</v>
      </c>
      <c r="F9" s="1873"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69" t="s">
        <v>1651</v>
      </c>
      <c r="D10" s="2706"/>
      <c r="E10" s="2603">
        <f>IF(OR(A10=0,F10="否"),0,'数据-取费表'!K10+'数据-取费表'!S10)</f>
        <v>0</v>
      </c>
      <c r="F10" s="1873"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69" t="s">
        <v>1651</v>
      </c>
      <c r="D11" s="2706"/>
      <c r="E11" s="2603">
        <f>IF(OR(A11=0,F11="否"),0,'数据-取费表'!K11+'数据-取费表'!S11)</f>
        <v>0</v>
      </c>
      <c r="F11" s="1873"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69" t="s">
        <v>1651</v>
      </c>
      <c r="D12" s="2706"/>
      <c r="E12" s="2603">
        <f>IF(OR(A12=0,F12="否"),0,'数据-取费表'!K12+'数据-取费表'!S12)</f>
        <v>0</v>
      </c>
      <c r="F12" s="1873"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23"/>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6"/>
      <c r="H2" s="906"/>
      <c r="I2" s="906"/>
      <c r="J2" s="906"/>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9908.9000000000015</v>
      </c>
      <c r="E3" s="906"/>
      <c r="F3" s="1885"/>
      <c r="G3" s="906"/>
      <c r="H3" s="906"/>
      <c r="I3" s="906"/>
      <c r="J3" s="906"/>
      <c r="K3" s="1881"/>
      <c r="L3" s="2710"/>
      <c r="M3" s="2711"/>
      <c r="N3" s="2711"/>
      <c r="O3" s="2711"/>
      <c r="P3" s="1882"/>
      <c r="Q3" s="1883"/>
      <c r="R3" s="1883"/>
      <c r="S3" s="1883"/>
      <c r="T3" s="1883"/>
      <c r="U3" s="1883"/>
      <c r="V3" s="1883"/>
      <c r="W3" s="1883"/>
      <c r="X3" s="1883"/>
      <c r="Y3" s="1883"/>
      <c r="Z3" s="1883"/>
      <c r="AA3" s="1883"/>
      <c r="AB3" s="1883"/>
      <c r="AC3" s="1060"/>
    </row>
    <row r="4" spans="1:29" ht="15">
      <c r="A4" s="355" t="s">
        <v>1666</v>
      </c>
      <c r="B4" s="356"/>
      <c r="C4" s="3668" t="s">
        <v>1667</v>
      </c>
      <c r="D4" s="3669"/>
      <c r="E4" s="3670" t="s">
        <v>1668</v>
      </c>
      <c r="F4" s="3671"/>
      <c r="G4" s="3668" t="s">
        <v>1669</v>
      </c>
      <c r="H4" s="3669"/>
      <c r="I4" s="3668" t="s">
        <v>1670</v>
      </c>
      <c r="J4" s="3669"/>
      <c r="K4" s="1886" t="s">
        <v>1671</v>
      </c>
      <c r="L4" s="2712"/>
      <c r="M4" s="2713"/>
      <c r="N4" s="2713"/>
      <c r="O4" s="2713"/>
      <c r="P4" s="3672" t="s">
        <v>1672</v>
      </c>
      <c r="Q4" s="3673"/>
      <c r="R4" s="3655" t="s">
        <v>1668</v>
      </c>
      <c r="S4" s="3656"/>
      <c r="T4" s="3655" t="s">
        <v>1669</v>
      </c>
      <c r="U4" s="3656"/>
      <c r="V4" s="3652" t="s">
        <v>1670</v>
      </c>
      <c r="W4" s="3652"/>
      <c r="X4" s="1353"/>
      <c r="Y4" s="3655" t="s">
        <v>1672</v>
      </c>
      <c r="Z4" s="3656"/>
      <c r="AA4" s="3649" t="s">
        <v>1668</v>
      </c>
      <c r="AB4" s="3649" t="s">
        <v>1669</v>
      </c>
      <c r="AC4" s="3649" t="s">
        <v>1670</v>
      </c>
    </row>
    <row r="5" spans="1:29" ht="15">
      <c r="A5" s="358"/>
      <c r="B5" s="359"/>
      <c r="C5" s="3661" t="s">
        <v>1673</v>
      </c>
      <c r="D5" s="3662"/>
      <c r="E5" s="3659" t="s">
        <v>1674</v>
      </c>
      <c r="F5" s="3660"/>
      <c r="G5" s="3661" t="s">
        <v>1675</v>
      </c>
      <c r="H5" s="3662"/>
      <c r="I5" s="3661" t="s">
        <v>1676</v>
      </c>
      <c r="J5" s="3662"/>
      <c r="K5" s="1887"/>
      <c r="L5" s="2712"/>
      <c r="M5" s="2713"/>
      <c r="N5" s="2713"/>
      <c r="O5" s="2713"/>
      <c r="P5" s="3674"/>
      <c r="Q5" s="3675"/>
      <c r="R5" s="3657"/>
      <c r="S5" s="3658"/>
      <c r="T5" s="3657"/>
      <c r="U5" s="3658"/>
      <c r="V5" s="3652"/>
      <c r="W5" s="3652"/>
      <c r="X5" s="1353"/>
      <c r="Y5" s="3657"/>
      <c r="Z5" s="3658"/>
      <c r="AA5" s="3650"/>
      <c r="AB5" s="3650"/>
      <c r="AC5" s="3650"/>
    </row>
    <row r="6" spans="1:29" ht="15.75" thickBot="1">
      <c r="A6" s="360"/>
      <c r="B6" s="361"/>
      <c r="C6" s="3663" t="s">
        <v>1677</v>
      </c>
      <c r="D6" s="3664"/>
      <c r="E6" s="3665" t="s">
        <v>1677</v>
      </c>
      <c r="F6" s="3666"/>
      <c r="G6" s="3663" t="s">
        <v>1677</v>
      </c>
      <c r="H6" s="3664"/>
      <c r="I6" s="3663" t="s">
        <v>1677</v>
      </c>
      <c r="J6" s="3664"/>
      <c r="K6" s="1887" t="s">
        <v>1678</v>
      </c>
      <c r="L6" s="2712"/>
      <c r="M6" s="2713"/>
      <c r="N6" s="2713"/>
      <c r="O6" s="2713"/>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45449</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53" t="s">
        <v>1680</v>
      </c>
      <c r="Q7" s="3680"/>
      <c r="R7" s="700" t="s">
        <v>20</v>
      </c>
      <c r="S7" s="701">
        <f t="shared" ref="S7:S15" si="0">F7</f>
        <v>0</v>
      </c>
      <c r="T7" s="700" t="s">
        <v>20</v>
      </c>
      <c r="U7" s="701">
        <f t="shared" ref="U7:U15" si="1">H7</f>
        <v>0</v>
      </c>
      <c r="V7" s="700" t="s">
        <v>20</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53" t="s">
        <v>1683</v>
      </c>
      <c r="Q8" s="3654"/>
      <c r="R8" s="700" t="s">
        <v>20</v>
      </c>
      <c r="S8" s="701">
        <f t="shared" si="0"/>
        <v>100</v>
      </c>
      <c r="T8" s="700" t="s">
        <v>20</v>
      </c>
      <c r="U8" s="701">
        <f t="shared" si="1"/>
        <v>100</v>
      </c>
      <c r="V8" s="700" t="s">
        <v>20</v>
      </c>
      <c r="W8" s="701">
        <f t="shared" si="2"/>
        <v>100</v>
      </c>
      <c r="X8" s="702"/>
      <c r="Y8" s="3653" t="s">
        <v>1683</v>
      </c>
      <c r="Z8" s="365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67"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67"/>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67"/>
      <c r="Q11" s="1341" t="str">
        <f t="shared" si="6"/>
        <v>容积率</v>
      </c>
      <c r="R11" s="700" t="s">
        <v>18</v>
      </c>
      <c r="S11" s="701" t="e">
        <f t="shared" si="0"/>
        <v>#N/A</v>
      </c>
      <c r="T11" s="700" t="s">
        <v>18</v>
      </c>
      <c r="U11" s="701" t="e">
        <f t="shared" si="1"/>
        <v>#N/A</v>
      </c>
      <c r="V11" s="700" t="s">
        <v>18</v>
      </c>
      <c r="W11" s="701" t="e">
        <f t="shared" si="2"/>
        <v>#N/A</v>
      </c>
      <c r="X11" s="702"/>
      <c r="Y11" s="3617"/>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67"/>
      <c r="Q12" s="1341">
        <f t="shared" si="6"/>
        <v>111</v>
      </c>
      <c r="R12" s="700" t="s">
        <v>18</v>
      </c>
      <c r="S12" s="701">
        <f t="shared" si="0"/>
        <v>100</v>
      </c>
      <c r="T12" s="700" t="s">
        <v>18</v>
      </c>
      <c r="U12" s="701">
        <f t="shared" si="1"/>
        <v>100</v>
      </c>
      <c r="V12" s="700" t="s">
        <v>18</v>
      </c>
      <c r="W12" s="701">
        <f t="shared" si="2"/>
        <v>100</v>
      </c>
      <c r="X12" s="702"/>
      <c r="Y12" s="3617"/>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67"/>
      <c r="Q13" s="1341">
        <f t="shared" si="6"/>
        <v>111</v>
      </c>
      <c r="R13" s="700" t="s">
        <v>18</v>
      </c>
      <c r="S13" s="701">
        <f t="shared" si="0"/>
        <v>100</v>
      </c>
      <c r="T13" s="700" t="s">
        <v>18</v>
      </c>
      <c r="U13" s="701">
        <f t="shared" si="1"/>
        <v>100</v>
      </c>
      <c r="V13" s="700" t="s">
        <v>18</v>
      </c>
      <c r="W13" s="701">
        <f t="shared" si="2"/>
        <v>100</v>
      </c>
      <c r="X13" s="702"/>
      <c r="Y13" s="3617"/>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67"/>
      <c r="Q14" s="1341">
        <f t="shared" si="6"/>
        <v>111</v>
      </c>
      <c r="R14" s="700" t="s">
        <v>18</v>
      </c>
      <c r="S14" s="701">
        <f t="shared" si="0"/>
        <v>100</v>
      </c>
      <c r="T14" s="700" t="s">
        <v>18</v>
      </c>
      <c r="U14" s="701">
        <f t="shared" si="1"/>
        <v>100</v>
      </c>
      <c r="V14" s="700" t="s">
        <v>18</v>
      </c>
      <c r="W14" s="701">
        <f t="shared" si="2"/>
        <v>100</v>
      </c>
      <c r="X14" s="702"/>
      <c r="Y14" s="3617"/>
      <c r="Z14" s="52">
        <f t="shared" si="7"/>
        <v>111</v>
      </c>
      <c r="AA14" s="703">
        <f t="shared" si="3"/>
        <v>1</v>
      </c>
      <c r="AB14" s="703">
        <f t="shared" si="4"/>
        <v>1</v>
      </c>
      <c r="AC14" s="703">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1" t="s">
        <v>1691</v>
      </c>
      <c r="Q15" s="1350" t="str">
        <f t="shared" si="6"/>
        <v>居住社区成熟度</v>
      </c>
      <c r="R15" s="704" t="s">
        <v>18</v>
      </c>
      <c r="S15" s="705">
        <f t="shared" si="0"/>
        <v>100</v>
      </c>
      <c r="T15" s="704" t="s">
        <v>18</v>
      </c>
      <c r="U15" s="705">
        <f t="shared" si="1"/>
        <v>100</v>
      </c>
      <c r="V15" s="704" t="s">
        <v>18</v>
      </c>
      <c r="W15" s="705">
        <f t="shared" si="2"/>
        <v>100</v>
      </c>
      <c r="X15" s="1353"/>
      <c r="Y15" s="3683" t="s">
        <v>1691</v>
      </c>
      <c r="Z15" s="1354" t="str">
        <f t="shared" si="7"/>
        <v>居住社区成熟度</v>
      </c>
      <c r="AA15" s="1351">
        <f t="shared" si="3"/>
        <v>1</v>
      </c>
      <c r="AB15" s="1351">
        <f t="shared" si="4"/>
        <v>1</v>
      </c>
      <c r="AC15" s="1351">
        <f t="shared" si="5"/>
        <v>1</v>
      </c>
    </row>
    <row r="16" spans="1:29" ht="15">
      <c r="A16" s="379"/>
      <c r="B16" s="397"/>
      <c r="C16" s="398"/>
      <c r="D16" s="399"/>
      <c r="E16" s="1894"/>
      <c r="F16" s="399"/>
      <c r="G16" s="1895"/>
      <c r="H16" s="401"/>
      <c r="I16" s="1895"/>
      <c r="J16" s="399"/>
      <c r="K16" s="1896"/>
      <c r="L16" s="2719"/>
      <c r="M16" s="2713"/>
      <c r="N16" s="2713"/>
      <c r="O16" s="2713"/>
      <c r="P16" s="3682"/>
      <c r="Q16" s="1350"/>
      <c r="R16" s="704"/>
      <c r="S16" s="705"/>
      <c r="T16" s="704"/>
      <c r="U16" s="705"/>
      <c r="V16" s="704"/>
      <c r="W16" s="705"/>
      <c r="X16" s="1353"/>
      <c r="Y16" s="3684"/>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2"/>
      <c r="Q17" s="1350" t="str">
        <f>B17</f>
        <v>交通便捷度</v>
      </c>
      <c r="R17" s="704" t="s">
        <v>18</v>
      </c>
      <c r="S17" s="705">
        <f>F17</f>
        <v>100</v>
      </c>
      <c r="T17" s="704" t="s">
        <v>18</v>
      </c>
      <c r="U17" s="705">
        <f>H17</f>
        <v>100</v>
      </c>
      <c r="V17" s="704" t="s">
        <v>18</v>
      </c>
      <c r="W17" s="705">
        <f>J17</f>
        <v>100</v>
      </c>
      <c r="X17" s="1353"/>
      <c r="Y17" s="3684"/>
      <c r="Z17" s="1354" t="str">
        <f>Q17</f>
        <v>交通便捷度</v>
      </c>
      <c r="AA17" s="1351">
        <f t="shared" si="3"/>
        <v>1</v>
      </c>
      <c r="AB17" s="1351">
        <f t="shared" si="4"/>
        <v>1</v>
      </c>
      <c r="AC17" s="1351">
        <f t="shared" si="5"/>
        <v>1</v>
      </c>
    </row>
    <row r="18" spans="1:29" ht="15">
      <c r="A18" s="379"/>
      <c r="B18" s="407"/>
      <c r="C18" s="1898"/>
      <c r="D18" s="401"/>
      <c r="E18" s="1899"/>
      <c r="F18" s="401"/>
      <c r="G18" s="1900"/>
      <c r="H18" s="399"/>
      <c r="I18" s="1900"/>
      <c r="J18" s="399"/>
      <c r="K18" s="1896"/>
      <c r="L18" s="2719"/>
      <c r="M18" s="2713"/>
      <c r="N18" s="2713"/>
      <c r="O18" s="2713"/>
      <c r="P18" s="3682"/>
      <c r="Q18" s="1350"/>
      <c r="R18" s="704"/>
      <c r="S18" s="705"/>
      <c r="T18" s="704"/>
      <c r="U18" s="705"/>
      <c r="V18" s="704"/>
      <c r="W18" s="705"/>
      <c r="X18" s="1353"/>
      <c r="Y18" s="3684"/>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2"/>
      <c r="Q19" s="1350" t="str">
        <f>B19</f>
        <v>公共配套设施</v>
      </c>
      <c r="R19" s="704" t="s">
        <v>18</v>
      </c>
      <c r="S19" s="705">
        <f>F19</f>
        <v>100</v>
      </c>
      <c r="T19" s="704" t="s">
        <v>18</v>
      </c>
      <c r="U19" s="705">
        <f>H19</f>
        <v>100</v>
      </c>
      <c r="V19" s="704" t="s">
        <v>18</v>
      </c>
      <c r="W19" s="705">
        <f>J19</f>
        <v>100</v>
      </c>
      <c r="X19" s="1353"/>
      <c r="Y19" s="3684"/>
      <c r="Z19" s="1354" t="str">
        <f>Q19</f>
        <v>公共配套设施</v>
      </c>
      <c r="AA19" s="1351">
        <f t="shared" si="3"/>
        <v>1</v>
      </c>
      <c r="AB19" s="1351">
        <f t="shared" si="4"/>
        <v>1</v>
      </c>
      <c r="AC19" s="1351">
        <f t="shared" si="5"/>
        <v>1</v>
      </c>
    </row>
    <row r="20" spans="1:29" ht="15">
      <c r="A20" s="379"/>
      <c r="B20" s="407"/>
      <c r="C20" s="398"/>
      <c r="D20" s="399"/>
      <c r="E20" s="1894"/>
      <c r="F20" s="399"/>
      <c r="G20" s="1895"/>
      <c r="H20" s="399"/>
      <c r="I20" s="1895"/>
      <c r="J20" s="399"/>
      <c r="K20" s="1896"/>
      <c r="L20" s="2719"/>
      <c r="M20" s="2713"/>
      <c r="N20" s="2713"/>
      <c r="O20" s="2713"/>
      <c r="P20" s="3682"/>
      <c r="Q20" s="1350"/>
      <c r="R20" s="704"/>
      <c r="S20" s="705"/>
      <c r="T20" s="704"/>
      <c r="U20" s="705"/>
      <c r="V20" s="704"/>
      <c r="W20" s="705"/>
      <c r="X20" s="1353"/>
      <c r="Y20" s="3684"/>
      <c r="Z20" s="1354"/>
      <c r="AA20" s="1351">
        <v>1</v>
      </c>
      <c r="AB20" s="1351">
        <v>1</v>
      </c>
      <c r="AC20" s="1351">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2"/>
      <c r="Q21" s="1350" t="str">
        <f>B21</f>
        <v>基础设施水平</v>
      </c>
      <c r="R21" s="704" t="s">
        <v>14</v>
      </c>
      <c r="S21" s="705">
        <f>F21</f>
        <v>100</v>
      </c>
      <c r="T21" s="704" t="s">
        <v>14</v>
      </c>
      <c r="U21" s="705">
        <f>H21</f>
        <v>100</v>
      </c>
      <c r="V21" s="704" t="s">
        <v>14</v>
      </c>
      <c r="W21" s="705">
        <f>J21</f>
        <v>100</v>
      </c>
      <c r="X21" s="1353"/>
      <c r="Y21" s="3684"/>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399"/>
      <c r="G22" s="1901"/>
      <c r="H22" s="399"/>
      <c r="I22" s="398"/>
      <c r="J22" s="399"/>
      <c r="K22" s="1902"/>
      <c r="L22" s="2719"/>
      <c r="M22" s="2713"/>
      <c r="N22" s="2713"/>
      <c r="O22" s="2713"/>
      <c r="P22" s="3682"/>
      <c r="Q22" s="1350"/>
      <c r="R22" s="704"/>
      <c r="S22" s="705"/>
      <c r="T22" s="704"/>
      <c r="U22" s="705"/>
      <c r="V22" s="704"/>
      <c r="W22" s="705"/>
      <c r="X22" s="1353"/>
      <c r="Y22" s="3684"/>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2"/>
      <c r="Q23" s="1350" t="str">
        <f>B23</f>
        <v>自然及人文环境</v>
      </c>
      <c r="R23" s="704" t="s">
        <v>18</v>
      </c>
      <c r="S23" s="705">
        <f>F23</f>
        <v>100</v>
      </c>
      <c r="T23" s="704" t="s">
        <v>18</v>
      </c>
      <c r="U23" s="705">
        <f>H23</f>
        <v>100</v>
      </c>
      <c r="V23" s="704" t="s">
        <v>18</v>
      </c>
      <c r="W23" s="705">
        <f>J23</f>
        <v>100</v>
      </c>
      <c r="X23" s="1353"/>
      <c r="Y23" s="3684"/>
      <c r="Z23" s="1354" t="str">
        <f>Q23</f>
        <v>自然及人文环境</v>
      </c>
      <c r="AA23" s="1351">
        <f>D23/F23</f>
        <v>1</v>
      </c>
      <c r="AB23" s="1351">
        <f>D23/H23</f>
        <v>1</v>
      </c>
      <c r="AC23" s="1351">
        <f>D23/J23</f>
        <v>1</v>
      </c>
    </row>
    <row r="24" spans="1:29" ht="15">
      <c r="A24" s="379"/>
      <c r="B24" s="407"/>
      <c r="C24" s="398"/>
      <c r="D24" s="399"/>
      <c r="E24" s="1894"/>
      <c r="F24" s="399"/>
      <c r="G24" s="1895"/>
      <c r="H24" s="399"/>
      <c r="I24" s="1895"/>
      <c r="J24" s="399"/>
      <c r="K24" s="1896"/>
      <c r="L24" s="2719"/>
      <c r="M24" s="2713"/>
      <c r="N24" s="2713"/>
      <c r="O24" s="2713"/>
      <c r="P24" s="3682"/>
      <c r="Q24" s="1350"/>
      <c r="R24" s="704"/>
      <c r="S24" s="705"/>
      <c r="T24" s="704"/>
      <c r="U24" s="705"/>
      <c r="V24" s="704"/>
      <c r="W24" s="705"/>
      <c r="X24" s="1353"/>
      <c r="Y24" s="3684"/>
      <c r="Z24" s="1354"/>
      <c r="AA24" s="1351">
        <v>1</v>
      </c>
      <c r="AB24" s="1351">
        <v>1</v>
      </c>
      <c r="AC24" s="1351">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8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8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82"/>
      <c r="Q26" s="1350" t="str">
        <f t="shared" si="11"/>
        <v>朝向</v>
      </c>
      <c r="R26" s="704" t="s">
        <v>18</v>
      </c>
      <c r="S26" s="705">
        <f t="shared" si="12"/>
        <v>100</v>
      </c>
      <c r="T26" s="704" t="s">
        <v>18</v>
      </c>
      <c r="U26" s="705">
        <f t="shared" si="13"/>
        <v>100</v>
      </c>
      <c r="V26" s="704" t="s">
        <v>18</v>
      </c>
      <c r="W26" s="705">
        <f t="shared" si="14"/>
        <v>100</v>
      </c>
      <c r="X26" s="1353"/>
      <c r="Y26" s="3684"/>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82"/>
      <c r="Q27" s="1341">
        <f t="shared" si="11"/>
        <v>111</v>
      </c>
      <c r="R27" s="700" t="s">
        <v>18</v>
      </c>
      <c r="S27" s="701">
        <f t="shared" si="12"/>
        <v>100</v>
      </c>
      <c r="T27" s="700" t="s">
        <v>18</v>
      </c>
      <c r="U27" s="701">
        <f t="shared" si="13"/>
        <v>100</v>
      </c>
      <c r="V27" s="700" t="s">
        <v>18</v>
      </c>
      <c r="W27" s="701">
        <f t="shared" si="14"/>
        <v>100</v>
      </c>
      <c r="X27" s="702"/>
      <c r="Y27" s="3684"/>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82"/>
      <c r="Q28" s="1350">
        <f t="shared" si="11"/>
        <v>111</v>
      </c>
      <c r="R28" s="704" t="s">
        <v>18</v>
      </c>
      <c r="S28" s="705">
        <f t="shared" si="12"/>
        <v>100</v>
      </c>
      <c r="T28" s="704" t="s">
        <v>18</v>
      </c>
      <c r="U28" s="705">
        <f t="shared" si="13"/>
        <v>100</v>
      </c>
      <c r="V28" s="704" t="s">
        <v>18</v>
      </c>
      <c r="W28" s="705">
        <f t="shared" si="14"/>
        <v>100</v>
      </c>
      <c r="X28" s="1353"/>
      <c r="Y28" s="3684"/>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82"/>
      <c r="Q29" s="1350">
        <f t="shared" si="11"/>
        <v>111</v>
      </c>
      <c r="R29" s="704" t="s">
        <v>18</v>
      </c>
      <c r="S29" s="705">
        <f t="shared" si="12"/>
        <v>100</v>
      </c>
      <c r="T29" s="704" t="s">
        <v>18</v>
      </c>
      <c r="U29" s="705">
        <f t="shared" si="13"/>
        <v>100</v>
      </c>
      <c r="V29" s="704" t="s">
        <v>18</v>
      </c>
      <c r="W29" s="705">
        <f t="shared" si="14"/>
        <v>100</v>
      </c>
      <c r="X29" s="1353"/>
      <c r="Y29" s="3684"/>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82"/>
      <c r="Q30" s="1350">
        <f t="shared" si="11"/>
        <v>111</v>
      </c>
      <c r="R30" s="704" t="s">
        <v>18</v>
      </c>
      <c r="S30" s="705">
        <f t="shared" si="12"/>
        <v>100</v>
      </c>
      <c r="T30" s="704" t="s">
        <v>18</v>
      </c>
      <c r="U30" s="705">
        <f t="shared" si="13"/>
        <v>100</v>
      </c>
      <c r="V30" s="704" t="s">
        <v>18</v>
      </c>
      <c r="W30" s="705">
        <f t="shared" si="14"/>
        <v>100</v>
      </c>
      <c r="X30" s="1353"/>
      <c r="Y30" s="3684"/>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82"/>
      <c r="Q31" s="1350">
        <f t="shared" si="11"/>
        <v>111</v>
      </c>
      <c r="R31" s="704" t="s">
        <v>18</v>
      </c>
      <c r="S31" s="705">
        <f t="shared" si="12"/>
        <v>100</v>
      </c>
      <c r="T31" s="704" t="s">
        <v>18</v>
      </c>
      <c r="U31" s="705">
        <f t="shared" si="13"/>
        <v>100</v>
      </c>
      <c r="V31" s="704" t="s">
        <v>18</v>
      </c>
      <c r="W31" s="705">
        <f t="shared" si="14"/>
        <v>100</v>
      </c>
      <c r="X31" s="1353"/>
      <c r="Y31" s="3684"/>
      <c r="Z31" s="1354">
        <f t="shared" si="18"/>
        <v>111</v>
      </c>
      <c r="AA31" s="1351">
        <f t="shared" si="15"/>
        <v>1</v>
      </c>
      <c r="AB31" s="1351">
        <f t="shared" si="16"/>
        <v>1</v>
      </c>
      <c r="AC31" s="1351">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85" t="s">
        <v>1696</v>
      </c>
      <c r="Q32" s="1350" t="str">
        <f t="shared" si="11"/>
        <v>建筑类型</v>
      </c>
      <c r="R32" s="704" t="s">
        <v>18</v>
      </c>
      <c r="S32" s="705">
        <f t="shared" si="12"/>
        <v>100</v>
      </c>
      <c r="T32" s="704" t="s">
        <v>18</v>
      </c>
      <c r="U32" s="705">
        <f t="shared" si="13"/>
        <v>100</v>
      </c>
      <c r="V32" s="704" t="s">
        <v>18</v>
      </c>
      <c r="W32" s="705">
        <f t="shared" si="14"/>
        <v>100</v>
      </c>
      <c r="X32" s="1353"/>
      <c r="Y32" s="368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86"/>
      <c r="Q33" s="706" t="str">
        <f t="shared" si="11"/>
        <v>项目建筑规模</v>
      </c>
      <c r="R33" s="707" t="s">
        <v>18</v>
      </c>
      <c r="S33" s="708" t="e">
        <f t="shared" si="12"/>
        <v>#N/A</v>
      </c>
      <c r="T33" s="707" t="s">
        <v>18</v>
      </c>
      <c r="U33" s="708" t="e">
        <f t="shared" si="13"/>
        <v>#N/A</v>
      </c>
      <c r="V33" s="707" t="s">
        <v>18</v>
      </c>
      <c r="W33" s="708" t="e">
        <f t="shared" si="14"/>
        <v>#N/A</v>
      </c>
      <c r="X33" s="709"/>
      <c r="Y33" s="3688"/>
      <c r="Z33" s="710" t="str">
        <f t="shared" si="18"/>
        <v>项目建筑规模</v>
      </c>
      <c r="AA33" s="1351" t="e">
        <f t="shared" si="15"/>
        <v>#N/A</v>
      </c>
      <c r="AB33" s="1351" t="e">
        <f t="shared" si="16"/>
        <v>#N/A</v>
      </c>
      <c r="AC33" s="1351"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86"/>
      <c r="Q34" s="1350" t="str">
        <f t="shared" si="11"/>
        <v>建筑结构</v>
      </c>
      <c r="R34" s="704" t="s">
        <v>18</v>
      </c>
      <c r="S34" s="705">
        <f t="shared" si="12"/>
        <v>100</v>
      </c>
      <c r="T34" s="704" t="s">
        <v>18</v>
      </c>
      <c r="U34" s="705">
        <f t="shared" si="13"/>
        <v>100</v>
      </c>
      <c r="V34" s="704" t="s">
        <v>18</v>
      </c>
      <c r="W34" s="705">
        <f t="shared" si="14"/>
        <v>100</v>
      </c>
      <c r="X34" s="1353"/>
      <c r="Y34" s="3688"/>
      <c r="Z34" s="1354" t="str">
        <f t="shared" si="18"/>
        <v>建筑结构</v>
      </c>
      <c r="AA34" s="1351">
        <f t="shared" si="15"/>
        <v>1</v>
      </c>
      <c r="AB34" s="1351">
        <f t="shared" si="16"/>
        <v>1</v>
      </c>
      <c r="AC34" s="1351">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86"/>
      <c r="Q35" s="1350" t="str">
        <f t="shared" si="11"/>
        <v>建筑品质</v>
      </c>
      <c r="R35" s="704" t="s">
        <v>18</v>
      </c>
      <c r="S35" s="705">
        <f t="shared" si="12"/>
        <v>100</v>
      </c>
      <c r="T35" s="704" t="s">
        <v>18</v>
      </c>
      <c r="U35" s="705">
        <f t="shared" si="13"/>
        <v>100</v>
      </c>
      <c r="V35" s="704" t="s">
        <v>18</v>
      </c>
      <c r="W35" s="705">
        <f t="shared" si="14"/>
        <v>100</v>
      </c>
      <c r="X35" s="1353"/>
      <c r="Y35" s="3688"/>
      <c r="Z35" s="1354" t="str">
        <f t="shared" si="18"/>
        <v>建筑品质</v>
      </c>
      <c r="AA35" s="1351">
        <f t="shared" si="15"/>
        <v>1</v>
      </c>
      <c r="AB35" s="1351">
        <f t="shared" si="16"/>
        <v>1</v>
      </c>
      <c r="AC35" s="1351">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86"/>
      <c r="Q36" s="1350" t="str">
        <f t="shared" si="11"/>
        <v>公共部分装修</v>
      </c>
      <c r="R36" s="704" t="s">
        <v>18</v>
      </c>
      <c r="S36" s="705">
        <f t="shared" si="12"/>
        <v>100</v>
      </c>
      <c r="T36" s="704" t="s">
        <v>18</v>
      </c>
      <c r="U36" s="705">
        <f t="shared" si="13"/>
        <v>100</v>
      </c>
      <c r="V36" s="704" t="s">
        <v>18</v>
      </c>
      <c r="W36" s="705">
        <f t="shared" si="14"/>
        <v>100</v>
      </c>
      <c r="X36" s="1353"/>
      <c r="Y36" s="368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86"/>
      <c r="Q37" s="1341" t="str">
        <f t="shared" si="11"/>
        <v>成新度</v>
      </c>
      <c r="R37" s="700" t="s">
        <v>18</v>
      </c>
      <c r="S37" s="701" t="e">
        <f t="shared" si="12"/>
        <v>#N/A</v>
      </c>
      <c r="T37" s="700" t="s">
        <v>18</v>
      </c>
      <c r="U37" s="701" t="e">
        <f t="shared" si="13"/>
        <v>#N/A</v>
      </c>
      <c r="V37" s="700" t="s">
        <v>18</v>
      </c>
      <c r="W37" s="701" t="e">
        <f t="shared" si="14"/>
        <v>#N/A</v>
      </c>
      <c r="X37" s="702"/>
      <c r="Y37" s="3688"/>
      <c r="Z37" s="52" t="str">
        <f t="shared" si="18"/>
        <v>成新度</v>
      </c>
      <c r="AA37" s="703" t="e">
        <f t="shared" si="15"/>
        <v>#N/A</v>
      </c>
      <c r="AB37" s="703" t="e">
        <f t="shared" si="16"/>
        <v>#N/A</v>
      </c>
      <c r="AC37" s="703"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86" t="s">
        <v>1696</v>
      </c>
      <c r="Q38" s="1350" t="str">
        <f t="shared" si="11"/>
        <v>物业管理</v>
      </c>
      <c r="R38" s="704" t="s">
        <v>18</v>
      </c>
      <c r="S38" s="705">
        <f t="shared" si="12"/>
        <v>100</v>
      </c>
      <c r="T38" s="704" t="s">
        <v>18</v>
      </c>
      <c r="U38" s="705">
        <f t="shared" si="13"/>
        <v>100</v>
      </c>
      <c r="V38" s="704" t="s">
        <v>18</v>
      </c>
      <c r="W38" s="705">
        <f t="shared" si="14"/>
        <v>100</v>
      </c>
      <c r="X38" s="1353"/>
      <c r="Y38" s="3688" t="s">
        <v>1696</v>
      </c>
      <c r="Z38" s="1354" t="str">
        <f t="shared" si="18"/>
        <v>物业管理</v>
      </c>
      <c r="AA38" s="1351">
        <f t="shared" si="15"/>
        <v>1</v>
      </c>
      <c r="AB38" s="1351">
        <f t="shared" si="16"/>
        <v>1</v>
      </c>
      <c r="AC38" s="1351">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86"/>
      <c r="Q39" s="1350" t="str">
        <f t="shared" si="11"/>
        <v>市政基础设施</v>
      </c>
      <c r="R39" s="704" t="s">
        <v>18</v>
      </c>
      <c r="S39" s="705">
        <f t="shared" si="12"/>
        <v>100</v>
      </c>
      <c r="T39" s="704" t="s">
        <v>18</v>
      </c>
      <c r="U39" s="705">
        <f t="shared" si="13"/>
        <v>100</v>
      </c>
      <c r="V39" s="704" t="s">
        <v>18</v>
      </c>
      <c r="W39" s="705">
        <f t="shared" si="14"/>
        <v>100</v>
      </c>
      <c r="X39" s="1353"/>
      <c r="Y39" s="3688"/>
      <c r="Z39" s="1354" t="str">
        <f t="shared" si="18"/>
        <v>市政基础设施</v>
      </c>
      <c r="AA39" s="1351">
        <f t="shared" si="15"/>
        <v>1</v>
      </c>
      <c r="AB39" s="1351">
        <f t="shared" si="16"/>
        <v>1</v>
      </c>
      <c r="AC39" s="1351">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86"/>
      <c r="Q40" s="1350" t="str">
        <f t="shared" si="11"/>
        <v>房型</v>
      </c>
      <c r="R40" s="704" t="s">
        <v>18</v>
      </c>
      <c r="S40" s="705">
        <f t="shared" si="12"/>
        <v>100</v>
      </c>
      <c r="T40" s="704" t="s">
        <v>18</v>
      </c>
      <c r="U40" s="705">
        <f t="shared" si="13"/>
        <v>100</v>
      </c>
      <c r="V40" s="704" t="s">
        <v>18</v>
      </c>
      <c r="W40" s="705">
        <f t="shared" si="14"/>
        <v>100</v>
      </c>
      <c r="X40" s="1353"/>
      <c r="Y40" s="368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86"/>
      <c r="Q41" s="706" t="str">
        <f t="shared" si="11"/>
        <v>单套/主力户型建筑面积</v>
      </c>
      <c r="R41" s="707" t="s">
        <v>18</v>
      </c>
      <c r="S41" s="708">
        <f t="shared" si="12"/>
        <v>100</v>
      </c>
      <c r="T41" s="707" t="s">
        <v>18</v>
      </c>
      <c r="U41" s="708">
        <f t="shared" si="13"/>
        <v>100</v>
      </c>
      <c r="V41" s="707" t="s">
        <v>18</v>
      </c>
      <c r="W41" s="708">
        <f t="shared" si="14"/>
        <v>100</v>
      </c>
      <c r="X41" s="709"/>
      <c r="Y41" s="3688"/>
      <c r="Z41" s="710" t="str">
        <f t="shared" si="18"/>
        <v>单套/主力户型建筑面积</v>
      </c>
      <c r="AA41" s="1351">
        <f t="shared" si="15"/>
        <v>1</v>
      </c>
      <c r="AB41" s="1351">
        <f t="shared" si="16"/>
        <v>1</v>
      </c>
      <c r="AC41" s="1351">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86"/>
      <c r="Q42" s="1350" t="str">
        <f t="shared" si="11"/>
        <v>内部装修</v>
      </c>
      <c r="R42" s="704" t="s">
        <v>18</v>
      </c>
      <c r="S42" s="705">
        <f t="shared" si="12"/>
        <v>100</v>
      </c>
      <c r="T42" s="704" t="s">
        <v>18</v>
      </c>
      <c r="U42" s="705">
        <f t="shared" si="13"/>
        <v>100</v>
      </c>
      <c r="V42" s="704" t="s">
        <v>18</v>
      </c>
      <c r="W42" s="705">
        <f t="shared" si="14"/>
        <v>100</v>
      </c>
      <c r="X42" s="1353"/>
      <c r="Y42" s="3688"/>
      <c r="Z42" s="1354" t="str">
        <f t="shared" si="18"/>
        <v>内部装修</v>
      </c>
      <c r="AA42" s="1351">
        <f t="shared" si="15"/>
        <v>1</v>
      </c>
      <c r="AB42" s="1351">
        <f t="shared" si="16"/>
        <v>1</v>
      </c>
      <c r="AC42" s="1351">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86"/>
      <c r="Q43" s="1350" t="str">
        <f t="shared" si="11"/>
        <v>内部装修维护情况</v>
      </c>
      <c r="R43" s="704" t="s">
        <v>18</v>
      </c>
      <c r="S43" s="705">
        <f t="shared" si="12"/>
        <v>100</v>
      </c>
      <c r="T43" s="704" t="s">
        <v>18</v>
      </c>
      <c r="U43" s="705">
        <f t="shared" si="13"/>
        <v>100</v>
      </c>
      <c r="V43" s="704" t="s">
        <v>18</v>
      </c>
      <c r="W43" s="705">
        <f t="shared" si="14"/>
        <v>100</v>
      </c>
      <c r="X43" s="1353"/>
      <c r="Y43" s="3688"/>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86"/>
      <c r="Q44" s="1341">
        <f t="shared" si="11"/>
        <v>111</v>
      </c>
      <c r="R44" s="700" t="s">
        <v>18</v>
      </c>
      <c r="S44" s="701">
        <f t="shared" si="12"/>
        <v>100</v>
      </c>
      <c r="T44" s="700" t="s">
        <v>18</v>
      </c>
      <c r="U44" s="701">
        <f t="shared" si="13"/>
        <v>100</v>
      </c>
      <c r="V44" s="700" t="s">
        <v>18</v>
      </c>
      <c r="W44" s="701">
        <f t="shared" si="14"/>
        <v>100</v>
      </c>
      <c r="X44" s="702"/>
      <c r="Y44" s="368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86"/>
      <c r="Q45" s="1350">
        <f t="shared" si="11"/>
        <v>111</v>
      </c>
      <c r="R45" s="704" t="s">
        <v>18</v>
      </c>
      <c r="S45" s="705">
        <f t="shared" si="12"/>
        <v>100</v>
      </c>
      <c r="T45" s="704" t="s">
        <v>18</v>
      </c>
      <c r="U45" s="705">
        <f t="shared" si="13"/>
        <v>100</v>
      </c>
      <c r="V45" s="704" t="s">
        <v>18</v>
      </c>
      <c r="W45" s="705">
        <f t="shared" si="14"/>
        <v>100</v>
      </c>
      <c r="X45" s="1353"/>
      <c r="Y45" s="3688"/>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87"/>
      <c r="Q46" s="1350">
        <f t="shared" si="11"/>
        <v>111</v>
      </c>
      <c r="R46" s="704" t="s">
        <v>17</v>
      </c>
      <c r="S46" s="705">
        <f t="shared" si="12"/>
        <v>100</v>
      </c>
      <c r="T46" s="704" t="s">
        <v>17</v>
      </c>
      <c r="U46" s="705">
        <f t="shared" si="13"/>
        <v>100</v>
      </c>
      <c r="V46" s="704" t="s">
        <v>17</v>
      </c>
      <c r="W46" s="705">
        <f t="shared" si="14"/>
        <v>100</v>
      </c>
      <c r="X46" s="1353"/>
      <c r="Y46" s="3689"/>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1"/>
      <c r="L47" s="2721"/>
      <c r="M47" s="2722"/>
      <c r="N47" s="2713"/>
      <c r="O47" s="2722"/>
      <c r="P47" s="3690" t="str">
        <f>A47</f>
        <v>成交单价（元/平方米）</v>
      </c>
      <c r="Q47" s="3690"/>
      <c r="R47" s="3691">
        <f>E47</f>
        <v>0</v>
      </c>
      <c r="S47" s="3691"/>
      <c r="T47" s="3691">
        <f>G47</f>
        <v>0</v>
      </c>
      <c r="U47" s="3691"/>
      <c r="V47" s="3691">
        <f>I47</f>
        <v>0</v>
      </c>
      <c r="W47" s="3691"/>
      <c r="X47" s="689"/>
      <c r="Y47" s="711"/>
      <c r="Z47" s="689"/>
      <c r="AA47" s="689"/>
      <c r="AB47" s="689"/>
      <c r="AC47" s="689"/>
    </row>
    <row r="48" spans="1:29" ht="15.75" thickBot="1">
      <c r="A48" s="437" t="s">
        <v>1709</v>
      </c>
      <c r="B48" s="438"/>
      <c r="C48" s="1159" t="e">
        <f>R49</f>
        <v>#DIV/0!</v>
      </c>
      <c r="D48" s="2314" t="s">
        <v>2137</v>
      </c>
      <c r="E48" s="1160" t="e">
        <f>R48</f>
        <v>#DIV/0!</v>
      </c>
      <c r="F48" s="2315"/>
      <c r="G48" s="1159" t="e">
        <f>T48</f>
        <v>#DIV/0!</v>
      </c>
      <c r="H48" s="2315"/>
      <c r="I48" s="1160" t="e">
        <f>V48</f>
        <v>#DIV/0!</v>
      </c>
      <c r="J48" s="2315"/>
      <c r="K48" s="2316">
        <f>F48+H48+J48</f>
        <v>0</v>
      </c>
      <c r="L48" s="2721"/>
      <c r="M48" s="2722"/>
      <c r="N48" s="2722"/>
      <c r="O48" s="2722"/>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2"/>
      <c r="L49" s="2721"/>
      <c r="M49" s="2722"/>
      <c r="N49" s="2722"/>
      <c r="O49" s="2722"/>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5"/>
      <c r="Q57" s="453"/>
    </row>
    <row r="58" spans="1:29" s="457" customFormat="1" ht="15">
      <c r="A58" s="454" t="s">
        <v>1715</v>
      </c>
      <c r="B58" s="455"/>
      <c r="C58" s="1184" t="str">
        <f>YEAR(C7)&amp;"-"&amp;MONTH(C7)</f>
        <v>2024-6</v>
      </c>
      <c r="D58" s="1183">
        <f>EDATE(C58,-1)</f>
        <v>45413</v>
      </c>
      <c r="E58" s="1183">
        <f>EDATE(D58,-1)</f>
        <v>45383</v>
      </c>
      <c r="F58" s="1183">
        <f t="shared" ref="F58:O58" si="19">EDATE(E58,-1)</f>
        <v>45352</v>
      </c>
      <c r="G58" s="1183">
        <f t="shared" si="19"/>
        <v>45323</v>
      </c>
      <c r="H58" s="1183">
        <f t="shared" si="19"/>
        <v>45292</v>
      </c>
      <c r="I58" s="1183">
        <f t="shared" si="19"/>
        <v>45261</v>
      </c>
      <c r="J58" s="1183">
        <f t="shared" si="19"/>
        <v>45231</v>
      </c>
      <c r="K58" s="1183">
        <f t="shared" si="19"/>
        <v>45200</v>
      </c>
      <c r="L58" s="1183">
        <f t="shared" si="19"/>
        <v>45170</v>
      </c>
      <c r="M58" s="1183">
        <f t="shared" si="19"/>
        <v>45139</v>
      </c>
      <c r="N58" s="1183">
        <f t="shared" si="19"/>
        <v>45108</v>
      </c>
      <c r="O58" s="1183">
        <f t="shared" si="19"/>
        <v>45078</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9908.9000000000015</v>
      </c>
      <c r="E3" s="1951"/>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722" t="s">
        <v>1775</v>
      </c>
      <c r="Q4" s="3723"/>
      <c r="R4" s="3717" t="s">
        <v>1771</v>
      </c>
      <c r="S4" s="3718"/>
      <c r="T4" s="3717" t="s">
        <v>1772</v>
      </c>
      <c r="U4" s="3718"/>
      <c r="V4" s="3726" t="s">
        <v>1773</v>
      </c>
      <c r="W4" s="3726"/>
      <c r="X4" s="1955"/>
      <c r="Y4" s="3717" t="s">
        <v>1775</v>
      </c>
      <c r="Z4" s="3718"/>
      <c r="AA4" s="3716" t="s">
        <v>1771</v>
      </c>
      <c r="AB4" s="3716" t="s">
        <v>1772</v>
      </c>
      <c r="AC4" s="3719" t="s">
        <v>1773</v>
      </c>
    </row>
    <row r="5" spans="1:29" ht="15">
      <c r="A5" s="358"/>
      <c r="B5" s="359"/>
      <c r="C5" s="3661" t="s">
        <v>1673</v>
      </c>
      <c r="D5" s="3662"/>
      <c r="E5" s="3659" t="s">
        <v>1674</v>
      </c>
      <c r="F5" s="3660"/>
      <c r="G5" s="3661" t="s">
        <v>1675</v>
      </c>
      <c r="H5" s="3662"/>
      <c r="I5" s="3661" t="s">
        <v>1676</v>
      </c>
      <c r="J5" s="3662"/>
      <c r="K5" s="559"/>
      <c r="L5" s="2712"/>
      <c r="M5" s="2713"/>
      <c r="N5" s="2713"/>
      <c r="O5" s="2713"/>
      <c r="P5" s="3724"/>
      <c r="Q5" s="3675"/>
      <c r="R5" s="3657"/>
      <c r="S5" s="3658"/>
      <c r="T5" s="3657"/>
      <c r="U5" s="3658"/>
      <c r="V5" s="3652"/>
      <c r="W5" s="3652"/>
      <c r="X5" s="1353"/>
      <c r="Y5" s="3657"/>
      <c r="Z5" s="3658"/>
      <c r="AA5" s="3650"/>
      <c r="AB5" s="3650"/>
      <c r="AC5" s="3720"/>
    </row>
    <row r="6" spans="1:29" ht="15.75" thickBot="1">
      <c r="A6" s="360"/>
      <c r="B6" s="361"/>
      <c r="C6" s="3663" t="s">
        <v>1677</v>
      </c>
      <c r="D6" s="3664"/>
      <c r="E6" s="3665" t="s">
        <v>1677</v>
      </c>
      <c r="F6" s="3666"/>
      <c r="G6" s="3663" t="s">
        <v>1677</v>
      </c>
      <c r="H6" s="3664"/>
      <c r="I6" s="3663" t="s">
        <v>1677</v>
      </c>
      <c r="J6" s="3664"/>
      <c r="K6" s="559" t="s">
        <v>1678</v>
      </c>
      <c r="L6" s="2712"/>
      <c r="M6" s="2713"/>
      <c r="N6" s="2713"/>
      <c r="O6" s="2713"/>
      <c r="P6" s="3725"/>
      <c r="Q6" s="3677"/>
      <c r="R6" s="3657"/>
      <c r="S6" s="3658"/>
      <c r="T6" s="3678"/>
      <c r="U6" s="3679"/>
      <c r="V6" s="3652"/>
      <c r="W6" s="3652"/>
      <c r="X6" s="1353"/>
      <c r="Y6" s="3678"/>
      <c r="Z6" s="3679"/>
      <c r="AA6" s="3651"/>
      <c r="AB6" s="3651"/>
      <c r="AC6" s="3721"/>
    </row>
    <row r="7" spans="1:29" s="108" customFormat="1" ht="15.75" thickBot="1">
      <c r="A7" s="362" t="s">
        <v>1679</v>
      </c>
      <c r="B7" s="363"/>
      <c r="C7" s="364">
        <f>'数据-取费表'!B2</f>
        <v>45449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27"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27" t="s">
        <v>1683</v>
      </c>
      <c r="Q8" s="3654"/>
      <c r="R8" s="700" t="s">
        <v>14</v>
      </c>
      <c r="S8" s="701">
        <f t="shared" si="0"/>
        <v>100</v>
      </c>
      <c r="T8" s="700" t="s">
        <v>14</v>
      </c>
      <c r="U8" s="701">
        <f t="shared" si="1"/>
        <v>100</v>
      </c>
      <c r="V8" s="700" t="s">
        <v>14</v>
      </c>
      <c r="W8" s="701">
        <f t="shared" si="2"/>
        <v>100</v>
      </c>
      <c r="X8" s="702"/>
      <c r="Y8" s="3653" t="s">
        <v>1683</v>
      </c>
      <c r="Z8" s="3654"/>
      <c r="AA8" s="703">
        <f t="shared" ref="AA8:AA47" si="3">D8/F8</f>
        <v>1</v>
      </c>
      <c r="AB8" s="703">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67"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67"/>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67"/>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67"/>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67"/>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9"/>
      <c r="M14" s="2713"/>
      <c r="N14" s="2713"/>
      <c r="O14" s="2713"/>
      <c r="P14" s="3667"/>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1956">
        <f t="shared" si="5"/>
        <v>1</v>
      </c>
    </row>
    <row r="15" spans="1:29" ht="71.25">
      <c r="A15" s="391" t="s">
        <v>1690</v>
      </c>
      <c r="B15" s="576"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81" t="s">
        <v>1691</v>
      </c>
      <c r="Q15" s="1350" t="str">
        <f t="shared" si="6"/>
        <v>办公集聚程度</v>
      </c>
      <c r="R15" s="704" t="s">
        <v>14</v>
      </c>
      <c r="S15" s="705">
        <f t="shared" si="0"/>
        <v>100</v>
      </c>
      <c r="T15" s="704" t="s">
        <v>14</v>
      </c>
      <c r="U15" s="705">
        <f t="shared" si="1"/>
        <v>100</v>
      </c>
      <c r="V15" s="704" t="s">
        <v>14</v>
      </c>
      <c r="W15" s="705">
        <f t="shared" si="2"/>
        <v>100</v>
      </c>
      <c r="X15" s="1353"/>
      <c r="Y15" s="3683" t="s">
        <v>1691</v>
      </c>
      <c r="Z15" s="1354" t="str">
        <f t="shared" si="7"/>
        <v>办公集聚程度</v>
      </c>
      <c r="AA15" s="1351">
        <f t="shared" si="3"/>
        <v>1</v>
      </c>
      <c r="AB15" s="1351">
        <f t="shared" si="4"/>
        <v>1</v>
      </c>
      <c r="AC15" s="1959">
        <f t="shared" si="5"/>
        <v>1</v>
      </c>
    </row>
    <row r="16" spans="1:29" ht="15">
      <c r="A16" s="379"/>
      <c r="B16" s="577"/>
      <c r="C16" s="1901"/>
      <c r="D16" s="399"/>
      <c r="E16" s="398"/>
      <c r="F16" s="399"/>
      <c r="G16" s="1901"/>
      <c r="H16" s="401"/>
      <c r="I16" s="398"/>
      <c r="J16" s="399"/>
      <c r="K16" s="564"/>
      <c r="L16" s="2719"/>
      <c r="M16" s="2713"/>
      <c r="N16" s="2713"/>
      <c r="O16" s="2713"/>
      <c r="P16" s="3682"/>
      <c r="Q16" s="1350"/>
      <c r="R16" s="704"/>
      <c r="S16" s="705"/>
      <c r="T16" s="704"/>
      <c r="U16" s="705"/>
      <c r="V16" s="704"/>
      <c r="W16" s="705"/>
      <c r="X16" s="1353"/>
      <c r="Y16" s="3684"/>
      <c r="Z16" s="1354"/>
      <c r="AA16" s="1351">
        <v>1</v>
      </c>
      <c r="AB16" s="1351">
        <v>1</v>
      </c>
      <c r="AC16" s="1959">
        <v>1</v>
      </c>
    </row>
    <row r="17" spans="1:29" ht="71.25">
      <c r="A17" s="379"/>
      <c r="B17" s="578"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2"/>
      <c r="Q17" s="1350" t="str">
        <f>B17</f>
        <v>交通便捷度</v>
      </c>
      <c r="R17" s="704" t="s">
        <v>14</v>
      </c>
      <c r="S17" s="705">
        <f>F17</f>
        <v>100</v>
      </c>
      <c r="T17" s="704" t="s">
        <v>14</v>
      </c>
      <c r="U17" s="705">
        <f>H17</f>
        <v>100</v>
      </c>
      <c r="V17" s="704" t="s">
        <v>14</v>
      </c>
      <c r="W17" s="705">
        <f>J17</f>
        <v>100</v>
      </c>
      <c r="X17" s="1353"/>
      <c r="Y17" s="3684"/>
      <c r="Z17" s="1354" t="str">
        <f>Q17</f>
        <v>交通便捷度</v>
      </c>
      <c r="AA17" s="1351">
        <f t="shared" si="3"/>
        <v>1</v>
      </c>
      <c r="AB17" s="1351">
        <f t="shared" si="4"/>
        <v>1</v>
      </c>
      <c r="AC17" s="1959">
        <f t="shared" si="5"/>
        <v>1</v>
      </c>
    </row>
    <row r="18" spans="1:29" ht="15">
      <c r="A18" s="379"/>
      <c r="B18" s="579"/>
      <c r="C18" s="1961"/>
      <c r="D18" s="401"/>
      <c r="E18" s="1899"/>
      <c r="F18" s="401"/>
      <c r="G18" s="1900"/>
      <c r="H18" s="399"/>
      <c r="I18" s="1900"/>
      <c r="J18" s="399"/>
      <c r="K18" s="564"/>
      <c r="L18" s="2719"/>
      <c r="M18" s="2713"/>
      <c r="N18" s="2713"/>
      <c r="O18" s="2713"/>
      <c r="P18" s="3682"/>
      <c r="Q18" s="1350"/>
      <c r="R18" s="704"/>
      <c r="S18" s="705"/>
      <c r="T18" s="704"/>
      <c r="U18" s="705"/>
      <c r="V18" s="704"/>
      <c r="W18" s="705"/>
      <c r="X18" s="1353"/>
      <c r="Y18" s="3684"/>
      <c r="Z18" s="1354"/>
      <c r="AA18" s="1351">
        <v>1</v>
      </c>
      <c r="AB18" s="1351">
        <v>1</v>
      </c>
      <c r="AC18" s="1959">
        <v>1</v>
      </c>
    </row>
    <row r="19" spans="1:29" ht="42.75">
      <c r="A19" s="379"/>
      <c r="B19" s="578"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2"/>
      <c r="Q19" s="1350" t="str">
        <f>B19</f>
        <v>公共配套设施</v>
      </c>
      <c r="R19" s="704" t="s">
        <v>14</v>
      </c>
      <c r="S19" s="705">
        <f>F19</f>
        <v>100</v>
      </c>
      <c r="T19" s="704" t="s">
        <v>14</v>
      </c>
      <c r="U19" s="705">
        <f>H19</f>
        <v>100</v>
      </c>
      <c r="V19" s="704" t="s">
        <v>14</v>
      </c>
      <c r="W19" s="705">
        <f>J19</f>
        <v>100</v>
      </c>
      <c r="X19" s="1353"/>
      <c r="Y19" s="3684"/>
      <c r="Z19" s="1354" t="str">
        <f>Q19</f>
        <v>公共配套设施</v>
      </c>
      <c r="AA19" s="1351">
        <f t="shared" si="3"/>
        <v>1</v>
      </c>
      <c r="AB19" s="1351">
        <f t="shared" si="4"/>
        <v>1</v>
      </c>
      <c r="AC19" s="1959">
        <f t="shared" si="5"/>
        <v>1</v>
      </c>
    </row>
    <row r="20" spans="1:29" ht="15">
      <c r="A20" s="379"/>
      <c r="B20" s="579"/>
      <c r="C20" s="1901"/>
      <c r="D20" s="399"/>
      <c r="E20" s="1894"/>
      <c r="F20" s="399"/>
      <c r="G20" s="1895"/>
      <c r="H20" s="399"/>
      <c r="I20" s="1895"/>
      <c r="J20" s="399"/>
      <c r="K20" s="564"/>
      <c r="L20" s="2719"/>
      <c r="M20" s="2713"/>
      <c r="N20" s="2713"/>
      <c r="O20" s="2713"/>
      <c r="P20" s="3682"/>
      <c r="Q20" s="1350"/>
      <c r="R20" s="704"/>
      <c r="S20" s="705"/>
      <c r="T20" s="704"/>
      <c r="U20" s="705"/>
      <c r="V20" s="704"/>
      <c r="W20" s="705"/>
      <c r="X20" s="1353"/>
      <c r="Y20" s="3684"/>
      <c r="Z20" s="1354"/>
      <c r="AA20" s="1351">
        <v>1</v>
      </c>
      <c r="AB20" s="1351">
        <v>1</v>
      </c>
      <c r="AC20" s="1959">
        <v>1</v>
      </c>
    </row>
    <row r="21" spans="1:29" ht="28.5">
      <c r="A21" s="379"/>
      <c r="B21" s="580"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2"/>
      <c r="Q21" s="1350" t="str">
        <f>B21</f>
        <v>基础设施水平</v>
      </c>
      <c r="R21" s="704" t="s">
        <v>14</v>
      </c>
      <c r="S21" s="705">
        <f>F21</f>
        <v>100</v>
      </c>
      <c r="T21" s="704" t="s">
        <v>14</v>
      </c>
      <c r="U21" s="705">
        <f>H21</f>
        <v>100</v>
      </c>
      <c r="V21" s="704" t="s">
        <v>14</v>
      </c>
      <c r="W21" s="705">
        <f>J21</f>
        <v>100</v>
      </c>
      <c r="X21" s="1353"/>
      <c r="Y21" s="3684"/>
      <c r="Z21" s="1354" t="str">
        <f>Q21</f>
        <v>基础设施水平</v>
      </c>
      <c r="AA21" s="1351">
        <f t="shared" ref="AA21" si="8">D21/F21</f>
        <v>1</v>
      </c>
      <c r="AB21" s="1351">
        <f t="shared" ref="AB21" si="9">D21/H21</f>
        <v>1</v>
      </c>
      <c r="AC21" s="1959">
        <f t="shared" ref="AC21" si="10">D21/J21</f>
        <v>1</v>
      </c>
    </row>
    <row r="22" spans="1:29" ht="15">
      <c r="A22" s="379"/>
      <c r="B22" s="580"/>
      <c r="C22" s="1961"/>
      <c r="D22" s="399"/>
      <c r="E22" s="398"/>
      <c r="F22" s="399"/>
      <c r="G22" s="1901"/>
      <c r="H22" s="399"/>
      <c r="I22" s="1901"/>
      <c r="J22" s="399"/>
      <c r="K22" s="1129"/>
      <c r="L22" s="2719"/>
      <c r="M22" s="2713"/>
      <c r="N22" s="2713"/>
      <c r="O22" s="2713"/>
      <c r="P22" s="3682"/>
      <c r="Q22" s="1350"/>
      <c r="R22" s="704"/>
      <c r="S22" s="705"/>
      <c r="T22" s="704"/>
      <c r="U22" s="705"/>
      <c r="V22" s="704"/>
      <c r="W22" s="705"/>
      <c r="X22" s="1353"/>
      <c r="Y22" s="3684"/>
      <c r="Z22" s="1354"/>
      <c r="AA22" s="1351">
        <v>1</v>
      </c>
      <c r="AB22" s="1351">
        <v>1</v>
      </c>
      <c r="AC22" s="1959">
        <v>1</v>
      </c>
    </row>
    <row r="23" spans="1:29" ht="42.75">
      <c r="A23" s="379"/>
      <c r="B23" s="578"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2"/>
      <c r="Q23" s="1350" t="str">
        <f>B23</f>
        <v>环境质量</v>
      </c>
      <c r="R23" s="704" t="s">
        <v>14</v>
      </c>
      <c r="S23" s="705">
        <f>F23</f>
        <v>100</v>
      </c>
      <c r="T23" s="704" t="s">
        <v>14</v>
      </c>
      <c r="U23" s="705">
        <f>H23</f>
        <v>100</v>
      </c>
      <c r="V23" s="704" t="s">
        <v>14</v>
      </c>
      <c r="W23" s="705">
        <f>J23</f>
        <v>100</v>
      </c>
      <c r="X23" s="1353"/>
      <c r="Y23" s="3684"/>
      <c r="Z23" s="1354" t="str">
        <f>Q23</f>
        <v>环境质量</v>
      </c>
      <c r="AA23" s="1351">
        <f t="shared" si="3"/>
        <v>1</v>
      </c>
      <c r="AB23" s="1351">
        <f t="shared" si="4"/>
        <v>1</v>
      </c>
      <c r="AC23" s="1959">
        <f t="shared" si="5"/>
        <v>1</v>
      </c>
    </row>
    <row r="24" spans="1:29" ht="15">
      <c r="A24" s="379"/>
      <c r="B24" s="580"/>
      <c r="C24" s="1901"/>
      <c r="D24" s="399"/>
      <c r="E24" s="1894"/>
      <c r="F24" s="399"/>
      <c r="G24" s="1895"/>
      <c r="H24" s="399"/>
      <c r="I24" s="1895"/>
      <c r="J24" s="399"/>
      <c r="K24" s="564"/>
      <c r="L24" s="2719"/>
      <c r="M24" s="2713"/>
      <c r="N24" s="2713"/>
      <c r="O24" s="2713"/>
      <c r="P24" s="3682"/>
      <c r="Q24" s="1350"/>
      <c r="R24" s="704"/>
      <c r="S24" s="705"/>
      <c r="T24" s="704"/>
      <c r="U24" s="705"/>
      <c r="V24" s="704"/>
      <c r="W24" s="705"/>
      <c r="X24" s="1353"/>
      <c r="Y24" s="3684"/>
      <c r="Z24" s="1354"/>
      <c r="AA24" s="1351">
        <v>1</v>
      </c>
      <c r="AB24" s="1351">
        <v>1</v>
      </c>
      <c r="AC24" s="1959">
        <v>1</v>
      </c>
    </row>
    <row r="25" spans="1:29" ht="27">
      <c r="A25" s="358"/>
      <c r="B25" s="578"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682"/>
      <c r="Q25" s="1350" t="str">
        <f>B25</f>
        <v>毗邻道路的类型与等级</v>
      </c>
      <c r="R25" s="704" t="s">
        <v>14</v>
      </c>
      <c r="S25" s="705">
        <f>F25</f>
        <v>100</v>
      </c>
      <c r="T25" s="704" t="s">
        <v>14</v>
      </c>
      <c r="U25" s="705">
        <f>H25</f>
        <v>100</v>
      </c>
      <c r="V25" s="704" t="s">
        <v>14</v>
      </c>
      <c r="W25" s="705">
        <f>J25</f>
        <v>100</v>
      </c>
      <c r="X25" s="1353"/>
      <c r="Y25" s="3684"/>
      <c r="Z25" s="1354" t="str">
        <f>Q25</f>
        <v>毗邻道路的类型与等级</v>
      </c>
      <c r="AA25" s="1351">
        <f t="shared" si="3"/>
        <v>1</v>
      </c>
      <c r="AB25" s="1351">
        <f t="shared" si="4"/>
        <v>1</v>
      </c>
      <c r="AC25" s="1959">
        <f t="shared" si="5"/>
        <v>1</v>
      </c>
    </row>
    <row r="26" spans="1:29" ht="15">
      <c r="A26" s="358"/>
      <c r="B26" s="579"/>
      <c r="C26" s="581"/>
      <c r="D26" s="386"/>
      <c r="E26" s="565"/>
      <c r="F26" s="386"/>
      <c r="G26" s="581"/>
      <c r="H26" s="386"/>
      <c r="I26" s="565"/>
      <c r="J26" s="386"/>
      <c r="K26" s="564"/>
      <c r="L26" s="2719"/>
      <c r="M26" s="2713"/>
      <c r="N26" s="2713"/>
      <c r="O26" s="2713"/>
      <c r="P26" s="3682"/>
      <c r="Q26" s="1350"/>
      <c r="R26" s="704"/>
      <c r="S26" s="705"/>
      <c r="T26" s="704"/>
      <c r="U26" s="705"/>
      <c r="V26" s="704"/>
      <c r="W26" s="705"/>
      <c r="X26" s="1353"/>
      <c r="Y26" s="3684"/>
      <c r="Z26" s="1354"/>
      <c r="AA26" s="1351">
        <v>1</v>
      </c>
      <c r="AB26" s="1351">
        <v>1</v>
      </c>
      <c r="AC26" s="1959">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19"/>
      <c r="M27" s="2713"/>
      <c r="N27" s="2713"/>
      <c r="O27" s="2713"/>
      <c r="P27" s="3682"/>
      <c r="Q27" s="1350" t="str">
        <f t="shared" ref="Q27:Q47" si="11">B27</f>
        <v>楼层</v>
      </c>
      <c r="R27" s="704" t="s">
        <v>14</v>
      </c>
      <c r="S27" s="705">
        <f>F27</f>
        <v>100</v>
      </c>
      <c r="T27" s="704" t="s">
        <v>14</v>
      </c>
      <c r="U27" s="705">
        <f>H27</f>
        <v>100</v>
      </c>
      <c r="V27" s="704" t="s">
        <v>14</v>
      </c>
      <c r="W27" s="705">
        <f>J27</f>
        <v>100</v>
      </c>
      <c r="X27" s="1353"/>
      <c r="Y27" s="3684"/>
      <c r="Z27" s="1354" t="str">
        <f>Q27</f>
        <v>楼层</v>
      </c>
      <c r="AA27" s="1351">
        <f t="shared" si="3"/>
        <v>1</v>
      </c>
      <c r="AB27" s="1351">
        <f t="shared" si="4"/>
        <v>1</v>
      </c>
      <c r="AC27" s="1959">
        <f t="shared" si="5"/>
        <v>1</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2"/>
      <c r="Q28" s="1341" t="str">
        <f t="shared" si="11"/>
        <v>朝向</v>
      </c>
      <c r="R28" s="700" t="s">
        <v>14</v>
      </c>
      <c r="S28" s="701">
        <f>F28</f>
        <v>100</v>
      </c>
      <c r="T28" s="700" t="s">
        <v>14</v>
      </c>
      <c r="U28" s="701">
        <f>H28</f>
        <v>100</v>
      </c>
      <c r="V28" s="700" t="s">
        <v>14</v>
      </c>
      <c r="W28" s="701">
        <f>J28</f>
        <v>100</v>
      </c>
      <c r="X28" s="702"/>
      <c r="Y28" s="3684"/>
      <c r="Z28" s="52" t="str">
        <f>Q28</f>
        <v>朝向</v>
      </c>
      <c r="AA28" s="1351">
        <f>D28/F28</f>
        <v>1</v>
      </c>
      <c r="AB28" s="1351">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2"/>
      <c r="Q29" s="1350">
        <f t="shared" si="11"/>
        <v>111</v>
      </c>
      <c r="R29" s="704" t="s">
        <v>14</v>
      </c>
      <c r="S29" s="705">
        <f t="shared" ref="S29:S47" si="12">F29</f>
        <v>100</v>
      </c>
      <c r="T29" s="704" t="s">
        <v>14</v>
      </c>
      <c r="U29" s="705">
        <f t="shared" ref="U29:U47" si="13">H29</f>
        <v>100</v>
      </c>
      <c r="V29" s="704" t="s">
        <v>14</v>
      </c>
      <c r="W29" s="705">
        <f t="shared" ref="W29:W47" si="14">J29</f>
        <v>100</v>
      </c>
      <c r="X29" s="1353"/>
      <c r="Y29" s="3684"/>
      <c r="Z29" s="1354">
        <f t="shared" ref="Z29:Z47" si="15">Q29</f>
        <v>111</v>
      </c>
      <c r="AA29" s="1351">
        <f t="shared" si="3"/>
        <v>1</v>
      </c>
      <c r="AB29" s="1351">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2"/>
      <c r="Q30" s="1350">
        <f t="shared" si="11"/>
        <v>111</v>
      </c>
      <c r="R30" s="704" t="s">
        <v>14</v>
      </c>
      <c r="S30" s="705">
        <f t="shared" si="12"/>
        <v>100</v>
      </c>
      <c r="T30" s="704" t="s">
        <v>14</v>
      </c>
      <c r="U30" s="705">
        <f t="shared" si="13"/>
        <v>100</v>
      </c>
      <c r="V30" s="704" t="s">
        <v>14</v>
      </c>
      <c r="W30" s="705">
        <f t="shared" si="14"/>
        <v>100</v>
      </c>
      <c r="X30" s="1353"/>
      <c r="Y30" s="3684"/>
      <c r="Z30" s="1354">
        <f t="shared" si="15"/>
        <v>111</v>
      </c>
      <c r="AA30" s="1351">
        <f t="shared" si="3"/>
        <v>1</v>
      </c>
      <c r="AB30" s="1351">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2"/>
      <c r="Q31" s="1350">
        <f t="shared" si="11"/>
        <v>111</v>
      </c>
      <c r="R31" s="704" t="s">
        <v>14</v>
      </c>
      <c r="S31" s="705">
        <f t="shared" si="12"/>
        <v>100</v>
      </c>
      <c r="T31" s="704" t="s">
        <v>14</v>
      </c>
      <c r="U31" s="705">
        <f t="shared" si="13"/>
        <v>100</v>
      </c>
      <c r="V31" s="704" t="s">
        <v>14</v>
      </c>
      <c r="W31" s="705">
        <f t="shared" si="14"/>
        <v>100</v>
      </c>
      <c r="X31" s="1353"/>
      <c r="Y31" s="3684"/>
      <c r="Z31" s="1354">
        <f t="shared" si="15"/>
        <v>111</v>
      </c>
      <c r="AA31" s="1351">
        <f t="shared" si="3"/>
        <v>1</v>
      </c>
      <c r="AB31" s="1351">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2"/>
      <c r="Q32" s="1350">
        <f t="shared" si="11"/>
        <v>111</v>
      </c>
      <c r="R32" s="704" t="s">
        <v>14</v>
      </c>
      <c r="S32" s="705">
        <f t="shared" si="12"/>
        <v>100</v>
      </c>
      <c r="T32" s="704" t="s">
        <v>14</v>
      </c>
      <c r="U32" s="705">
        <f t="shared" si="13"/>
        <v>100</v>
      </c>
      <c r="V32" s="704" t="s">
        <v>14</v>
      </c>
      <c r="W32" s="705">
        <f t="shared" si="14"/>
        <v>100</v>
      </c>
      <c r="X32" s="1353"/>
      <c r="Y32" s="3684"/>
      <c r="Z32" s="1354">
        <f t="shared" si="15"/>
        <v>111</v>
      </c>
      <c r="AA32" s="1351">
        <f t="shared" si="3"/>
        <v>1</v>
      </c>
      <c r="AB32" s="1351">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685" t="s">
        <v>1696</v>
      </c>
      <c r="Q33" s="1350" t="str">
        <f t="shared" si="11"/>
        <v>建筑类型</v>
      </c>
      <c r="R33" s="704" t="s">
        <v>14</v>
      </c>
      <c r="S33" s="705">
        <f t="shared" si="12"/>
        <v>100</v>
      </c>
      <c r="T33" s="704" t="s">
        <v>14</v>
      </c>
      <c r="U33" s="705">
        <f t="shared" si="13"/>
        <v>100</v>
      </c>
      <c r="V33" s="704" t="s">
        <v>14</v>
      </c>
      <c r="W33" s="705">
        <f t="shared" si="14"/>
        <v>100</v>
      </c>
      <c r="X33" s="1353"/>
      <c r="Y33" s="3688" t="s">
        <v>1696</v>
      </c>
      <c r="Z33" s="1354" t="str">
        <f t="shared" si="15"/>
        <v>建筑类型</v>
      </c>
      <c r="AA33" s="1351">
        <f t="shared" si="3"/>
        <v>1</v>
      </c>
      <c r="AB33" s="1351">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86"/>
      <c r="Q34" s="706" t="str">
        <f t="shared" si="11"/>
        <v>项目建筑规模</v>
      </c>
      <c r="R34" s="707" t="s">
        <v>14</v>
      </c>
      <c r="S34" s="708" t="e">
        <f t="shared" si="12"/>
        <v>#N/A</v>
      </c>
      <c r="T34" s="707" t="s">
        <v>14</v>
      </c>
      <c r="U34" s="708" t="e">
        <f t="shared" si="13"/>
        <v>#N/A</v>
      </c>
      <c r="V34" s="707" t="s">
        <v>14</v>
      </c>
      <c r="W34" s="708" t="e">
        <f t="shared" si="14"/>
        <v>#N/A</v>
      </c>
      <c r="X34" s="709"/>
      <c r="Y34" s="3688"/>
      <c r="Z34" s="710" t="str">
        <f t="shared" si="15"/>
        <v>项目建筑规模</v>
      </c>
      <c r="AA34" s="1351" t="e">
        <f t="shared" si="3"/>
        <v>#N/A</v>
      </c>
      <c r="AB34" s="1351"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86"/>
      <c r="Q35" s="1350" t="str">
        <f t="shared" si="11"/>
        <v>建筑结构</v>
      </c>
      <c r="R35" s="704" t="s">
        <v>14</v>
      </c>
      <c r="S35" s="705">
        <f t="shared" si="12"/>
        <v>100</v>
      </c>
      <c r="T35" s="704" t="s">
        <v>14</v>
      </c>
      <c r="U35" s="705">
        <f t="shared" si="13"/>
        <v>100</v>
      </c>
      <c r="V35" s="704" t="s">
        <v>14</v>
      </c>
      <c r="W35" s="705">
        <f t="shared" si="14"/>
        <v>100</v>
      </c>
      <c r="X35" s="1353"/>
      <c r="Y35" s="3688"/>
      <c r="Z35" s="1354" t="str">
        <f t="shared" si="15"/>
        <v>建筑结构</v>
      </c>
      <c r="AA35" s="1351">
        <f t="shared" si="3"/>
        <v>1</v>
      </c>
      <c r="AB35" s="1351">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86"/>
      <c r="Q36" s="1350" t="str">
        <f t="shared" si="11"/>
        <v>公共部分装修</v>
      </c>
      <c r="R36" s="704" t="s">
        <v>14</v>
      </c>
      <c r="S36" s="705">
        <f t="shared" si="12"/>
        <v>100</v>
      </c>
      <c r="T36" s="704" t="s">
        <v>14</v>
      </c>
      <c r="U36" s="705">
        <f t="shared" si="13"/>
        <v>100</v>
      </c>
      <c r="V36" s="704" t="s">
        <v>14</v>
      </c>
      <c r="W36" s="705">
        <f t="shared" si="14"/>
        <v>100</v>
      </c>
      <c r="X36" s="1353"/>
      <c r="Y36" s="3688"/>
      <c r="Z36" s="1354" t="str">
        <f t="shared" si="15"/>
        <v>公共部分装修</v>
      </c>
      <c r="AA36" s="1351">
        <f t="shared" si="3"/>
        <v>1</v>
      </c>
      <c r="AB36" s="1351">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86"/>
      <c r="Q37" s="1350" t="str">
        <f t="shared" si="11"/>
        <v>成新度</v>
      </c>
      <c r="R37" s="704" t="s">
        <v>14</v>
      </c>
      <c r="S37" s="705" t="e">
        <f t="shared" si="12"/>
        <v>#N/A</v>
      </c>
      <c r="T37" s="704" t="s">
        <v>14</v>
      </c>
      <c r="U37" s="705" t="e">
        <f t="shared" si="13"/>
        <v>#N/A</v>
      </c>
      <c r="V37" s="704" t="s">
        <v>14</v>
      </c>
      <c r="W37" s="705" t="e">
        <f t="shared" si="14"/>
        <v>#N/A</v>
      </c>
      <c r="X37" s="1353"/>
      <c r="Y37" s="3688"/>
      <c r="Z37" s="1354" t="str">
        <f t="shared" si="15"/>
        <v>成新度</v>
      </c>
      <c r="AA37" s="1351" t="e">
        <f t="shared" si="3"/>
        <v>#N/A</v>
      </c>
      <c r="AB37" s="1351"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6"/>
      <c r="Q38" s="1341" t="str">
        <f t="shared" si="11"/>
        <v>写字楼等级</v>
      </c>
      <c r="R38" s="700" t="s">
        <v>14</v>
      </c>
      <c r="S38" s="701">
        <f t="shared" si="12"/>
        <v>100</v>
      </c>
      <c r="T38" s="700" t="s">
        <v>14</v>
      </c>
      <c r="U38" s="701">
        <f t="shared" si="13"/>
        <v>100</v>
      </c>
      <c r="V38" s="700" t="s">
        <v>14</v>
      </c>
      <c r="W38" s="701">
        <f t="shared" si="14"/>
        <v>100</v>
      </c>
      <c r="X38" s="702"/>
      <c r="Y38" s="3688"/>
      <c r="Z38" s="52" t="str">
        <f t="shared" si="15"/>
        <v>写字楼等级</v>
      </c>
      <c r="AA38" s="703">
        <f t="shared" si="3"/>
        <v>1</v>
      </c>
      <c r="AB38" s="703">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86" t="s">
        <v>1696</v>
      </c>
      <c r="Q39" s="1350" t="str">
        <f t="shared" si="11"/>
        <v>物业管理</v>
      </c>
      <c r="R39" s="704" t="s">
        <v>14</v>
      </c>
      <c r="S39" s="705">
        <f t="shared" si="12"/>
        <v>100</v>
      </c>
      <c r="T39" s="704" t="s">
        <v>14</v>
      </c>
      <c r="U39" s="705">
        <f t="shared" si="13"/>
        <v>100</v>
      </c>
      <c r="V39" s="704" t="s">
        <v>14</v>
      </c>
      <c r="W39" s="705">
        <f t="shared" si="14"/>
        <v>100</v>
      </c>
      <c r="X39" s="1353"/>
      <c r="Y39" s="3688" t="s">
        <v>1696</v>
      </c>
      <c r="Z39" s="1354" t="str">
        <f t="shared" si="15"/>
        <v>物业管理</v>
      </c>
      <c r="AA39" s="1351">
        <f t="shared" si="3"/>
        <v>1</v>
      </c>
      <c r="AB39" s="1351">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86"/>
      <c r="Q40" s="1350" t="str">
        <f t="shared" si="11"/>
        <v>市政基础设施</v>
      </c>
      <c r="R40" s="704" t="s">
        <v>14</v>
      </c>
      <c r="S40" s="705">
        <f t="shared" si="12"/>
        <v>100</v>
      </c>
      <c r="T40" s="704" t="s">
        <v>14</v>
      </c>
      <c r="U40" s="705">
        <f t="shared" si="13"/>
        <v>100</v>
      </c>
      <c r="V40" s="704" t="s">
        <v>14</v>
      </c>
      <c r="W40" s="705">
        <f t="shared" si="14"/>
        <v>100</v>
      </c>
      <c r="X40" s="1353"/>
      <c r="Y40" s="3688"/>
      <c r="Z40" s="1354" t="str">
        <f t="shared" si="15"/>
        <v>市政基础设施</v>
      </c>
      <c r="AA40" s="1351">
        <f t="shared" si="3"/>
        <v>1</v>
      </c>
      <c r="AB40" s="1351">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86"/>
      <c r="Q41" s="1350" t="str">
        <f t="shared" si="11"/>
        <v>层高</v>
      </c>
      <c r="R41" s="704" t="s">
        <v>14</v>
      </c>
      <c r="S41" s="705">
        <f t="shared" si="12"/>
        <v>100</v>
      </c>
      <c r="T41" s="704" t="s">
        <v>14</v>
      </c>
      <c r="U41" s="705">
        <f t="shared" si="13"/>
        <v>100</v>
      </c>
      <c r="V41" s="704" t="s">
        <v>14</v>
      </c>
      <c r="W41" s="705">
        <f t="shared" si="14"/>
        <v>100</v>
      </c>
      <c r="X41" s="1353"/>
      <c r="Y41" s="3688"/>
      <c r="Z41" s="1354" t="str">
        <f t="shared" si="15"/>
        <v>层高</v>
      </c>
      <c r="AA41" s="1351">
        <f t="shared" si="3"/>
        <v>1</v>
      </c>
      <c r="AB41" s="1351">
        <f t="shared" si="4"/>
        <v>1</v>
      </c>
      <c r="AC41" s="1959">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6"/>
      <c r="Q42" s="706" t="str">
        <f t="shared" si="11"/>
        <v>单套建筑面积</v>
      </c>
      <c r="R42" s="707" t="s">
        <v>14</v>
      </c>
      <c r="S42" s="708">
        <f t="shared" si="12"/>
        <v>100</v>
      </c>
      <c r="T42" s="707" t="s">
        <v>14</v>
      </c>
      <c r="U42" s="708">
        <f t="shared" si="13"/>
        <v>100</v>
      </c>
      <c r="V42" s="707" t="s">
        <v>14</v>
      </c>
      <c r="W42" s="708">
        <f t="shared" si="14"/>
        <v>100</v>
      </c>
      <c r="X42" s="709"/>
      <c r="Y42" s="3688"/>
      <c r="Z42" s="710" t="str">
        <f t="shared" si="15"/>
        <v>单套建筑面积</v>
      </c>
      <c r="AA42" s="1351">
        <f t="shared" si="3"/>
        <v>1</v>
      </c>
      <c r="AB42" s="1351">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86"/>
      <c r="Q43" s="1350" t="str">
        <f t="shared" si="11"/>
        <v>内部装修</v>
      </c>
      <c r="R43" s="704" t="s">
        <v>14</v>
      </c>
      <c r="S43" s="705">
        <f t="shared" si="12"/>
        <v>100</v>
      </c>
      <c r="T43" s="704" t="s">
        <v>14</v>
      </c>
      <c r="U43" s="705">
        <f t="shared" si="13"/>
        <v>100</v>
      </c>
      <c r="V43" s="704" t="s">
        <v>14</v>
      </c>
      <c r="W43" s="705">
        <f t="shared" si="14"/>
        <v>100</v>
      </c>
      <c r="X43" s="1353"/>
      <c r="Y43" s="3688"/>
      <c r="Z43" s="1354" t="str">
        <f t="shared" si="15"/>
        <v>内部装修</v>
      </c>
      <c r="AA43" s="1351">
        <f t="shared" si="3"/>
        <v>1</v>
      </c>
      <c r="AB43" s="1351">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686"/>
      <c r="Q44" s="1350" t="str">
        <f t="shared" si="11"/>
        <v>内部装修维护情况</v>
      </c>
      <c r="R44" s="704" t="s">
        <v>14</v>
      </c>
      <c r="S44" s="705">
        <f t="shared" si="12"/>
        <v>100</v>
      </c>
      <c r="T44" s="704" t="s">
        <v>14</v>
      </c>
      <c r="U44" s="705">
        <f t="shared" si="13"/>
        <v>100</v>
      </c>
      <c r="V44" s="704" t="s">
        <v>14</v>
      </c>
      <c r="W44" s="705">
        <f t="shared" si="14"/>
        <v>100</v>
      </c>
      <c r="X44" s="1353"/>
      <c r="Y44" s="3688"/>
      <c r="Z44" s="1354" t="str">
        <f t="shared" si="15"/>
        <v>内部装修维护情况</v>
      </c>
      <c r="AA44" s="1351">
        <f t="shared" si="3"/>
        <v>1</v>
      </c>
      <c r="AB44" s="1351">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86"/>
      <c r="Q45" s="1341">
        <f t="shared" si="11"/>
        <v>111</v>
      </c>
      <c r="R45" s="700" t="s">
        <v>14</v>
      </c>
      <c r="S45" s="701">
        <f t="shared" si="12"/>
        <v>100</v>
      </c>
      <c r="T45" s="700" t="s">
        <v>14</v>
      </c>
      <c r="U45" s="701">
        <f t="shared" si="13"/>
        <v>100</v>
      </c>
      <c r="V45" s="700" t="s">
        <v>14</v>
      </c>
      <c r="W45" s="701">
        <f t="shared" si="14"/>
        <v>100</v>
      </c>
      <c r="X45" s="702"/>
      <c r="Y45" s="3688"/>
      <c r="Z45" s="52">
        <f t="shared" si="15"/>
        <v>111</v>
      </c>
      <c r="AA45" s="703">
        <f t="shared" si="3"/>
        <v>1</v>
      </c>
      <c r="AB45" s="703">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6"/>
      <c r="Q46" s="1350">
        <f t="shared" si="11"/>
        <v>111</v>
      </c>
      <c r="R46" s="704" t="s">
        <v>14</v>
      </c>
      <c r="S46" s="705">
        <f t="shared" si="12"/>
        <v>100</v>
      </c>
      <c r="T46" s="704" t="s">
        <v>14</v>
      </c>
      <c r="U46" s="705">
        <f t="shared" si="13"/>
        <v>100</v>
      </c>
      <c r="V46" s="704" t="s">
        <v>14</v>
      </c>
      <c r="W46" s="705">
        <f t="shared" si="14"/>
        <v>100</v>
      </c>
      <c r="X46" s="1353"/>
      <c r="Y46" s="3688"/>
      <c r="Z46" s="1354">
        <f t="shared" si="15"/>
        <v>111</v>
      </c>
      <c r="AA46" s="1351">
        <f t="shared" si="3"/>
        <v>1</v>
      </c>
      <c r="AB46" s="1351">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7"/>
      <c r="Q47" s="1350">
        <f t="shared" si="11"/>
        <v>111</v>
      </c>
      <c r="R47" s="704" t="s">
        <v>14</v>
      </c>
      <c r="S47" s="705">
        <f t="shared" si="12"/>
        <v>100</v>
      </c>
      <c r="T47" s="704" t="s">
        <v>14</v>
      </c>
      <c r="U47" s="705">
        <f t="shared" si="13"/>
        <v>100</v>
      </c>
      <c r="V47" s="704" t="s">
        <v>14</v>
      </c>
      <c r="W47" s="705">
        <f t="shared" si="14"/>
        <v>100</v>
      </c>
      <c r="X47" s="1353"/>
      <c r="Y47" s="3689"/>
      <c r="Z47" s="1354">
        <f t="shared" si="15"/>
        <v>111</v>
      </c>
      <c r="AA47" s="1351">
        <f t="shared" si="3"/>
        <v>1</v>
      </c>
      <c r="AB47" s="1351">
        <f t="shared" si="4"/>
        <v>1</v>
      </c>
      <c r="AC47" s="1959">
        <f t="shared" si="5"/>
        <v>1</v>
      </c>
    </row>
    <row r="48" spans="1:29" ht="15">
      <c r="A48" s="430" t="s">
        <v>1708</v>
      </c>
      <c r="B48" s="431"/>
      <c r="C48" s="1153" t="s">
        <v>0</v>
      </c>
      <c r="D48" s="1154"/>
      <c r="E48" s="1155"/>
      <c r="F48" s="1156"/>
      <c r="G48" s="1157"/>
      <c r="H48" s="1158"/>
      <c r="I48" s="1155"/>
      <c r="J48" s="436"/>
      <c r="K48" s="713"/>
      <c r="L48" s="2721"/>
      <c r="M48" s="2713"/>
      <c r="N48" s="2713"/>
      <c r="O48" s="2713"/>
      <c r="P48" s="3667" t="str">
        <f>A48</f>
        <v>成交单价（元/平方米）</v>
      </c>
      <c r="Q48" s="3690"/>
      <c r="R48" s="3691">
        <f>E48</f>
        <v>0</v>
      </c>
      <c r="S48" s="3691"/>
      <c r="T48" s="3691">
        <f>G48</f>
        <v>0</v>
      </c>
      <c r="U48" s="3691"/>
      <c r="V48" s="3691">
        <f>I48</f>
        <v>0</v>
      </c>
      <c r="W48" s="3691"/>
      <c r="X48" s="397"/>
      <c r="Y48" s="711"/>
      <c r="Z48" s="397"/>
      <c r="AA48" s="397"/>
      <c r="AB48" s="397"/>
      <c r="AC48" s="577"/>
    </row>
    <row r="49" spans="1:29" ht="15.75" thickBot="1">
      <c r="A49" s="437" t="s">
        <v>1793</v>
      </c>
      <c r="B49" s="438"/>
      <c r="C49" s="1159" t="e">
        <f>R50</f>
        <v>#DIV/0!</v>
      </c>
      <c r="D49" s="2314" t="s">
        <v>2137</v>
      </c>
      <c r="E49" s="1160" t="e">
        <f>R49</f>
        <v>#DIV/0!</v>
      </c>
      <c r="F49" s="2315"/>
      <c r="G49" s="1159" t="e">
        <f>T49</f>
        <v>#DIV/0!</v>
      </c>
      <c r="H49" s="2315"/>
      <c r="I49" s="1160" t="e">
        <f>V49</f>
        <v>#DIV/0!</v>
      </c>
      <c r="J49" s="2315"/>
      <c r="K49" s="2317">
        <f>F49+H49+J49</f>
        <v>0</v>
      </c>
      <c r="L49" s="2721"/>
      <c r="M49" s="2713"/>
      <c r="N49" s="2713"/>
      <c r="O49" s="2713"/>
      <c r="P49" s="3667"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1"/>
      <c r="M50" s="2713"/>
      <c r="N50" s="2713"/>
      <c r="O50" s="2713"/>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2024-6</v>
      </c>
      <c r="D59" s="1183">
        <f>EDATE(C59,-1)</f>
        <v>45413</v>
      </c>
      <c r="E59" s="1183">
        <f>EDATE(D59,-1)</f>
        <v>45383</v>
      </c>
      <c r="F59" s="1183">
        <f t="shared" ref="F59:O59" si="16">EDATE(E59,-1)</f>
        <v>45352</v>
      </c>
      <c r="G59" s="1183">
        <f t="shared" si="16"/>
        <v>45323</v>
      </c>
      <c r="H59" s="1183">
        <f t="shared" si="16"/>
        <v>45292</v>
      </c>
      <c r="I59" s="1183">
        <f t="shared" si="16"/>
        <v>45261</v>
      </c>
      <c r="J59" s="1183">
        <f t="shared" si="16"/>
        <v>45231</v>
      </c>
      <c r="K59" s="1183">
        <f t="shared" si="16"/>
        <v>45200</v>
      </c>
      <c r="L59" s="1183">
        <f t="shared" si="16"/>
        <v>45170</v>
      </c>
      <c r="M59" s="1183">
        <f t="shared" si="16"/>
        <v>45139</v>
      </c>
      <c r="N59" s="1183">
        <f t="shared" si="16"/>
        <v>45108</v>
      </c>
      <c r="O59" s="1183">
        <f t="shared" si="16"/>
        <v>45078</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9908.9000000000015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912"/>
      <c r="M4" s="913"/>
      <c r="N4" s="913"/>
      <c r="O4" s="913"/>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912"/>
      <c r="M5" s="913"/>
      <c r="N5" s="913"/>
      <c r="O5" s="913"/>
      <c r="P5" s="3674"/>
      <c r="Q5" s="3675"/>
      <c r="R5" s="3657"/>
      <c r="S5" s="3658"/>
      <c r="T5" s="3657"/>
      <c r="U5" s="3658"/>
      <c r="V5" s="3652"/>
      <c r="W5" s="3652"/>
      <c r="X5" s="1353"/>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912"/>
      <c r="M6" s="913"/>
      <c r="N6" s="913"/>
      <c r="O6" s="913"/>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4"/>
      <c r="M7" s="915"/>
      <c r="N7" s="915"/>
      <c r="O7" s="915"/>
      <c r="P7" s="3653"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3" t="s">
        <v>1683</v>
      </c>
      <c r="Q8" s="3654"/>
      <c r="R8" s="700" t="s">
        <v>14</v>
      </c>
      <c r="S8" s="701">
        <f t="shared" si="0"/>
        <v>100</v>
      </c>
      <c r="T8" s="700" t="s">
        <v>14</v>
      </c>
      <c r="U8" s="701">
        <f t="shared" si="1"/>
        <v>100</v>
      </c>
      <c r="V8" s="700" t="s">
        <v>14</v>
      </c>
      <c r="W8" s="701">
        <f t="shared" si="2"/>
        <v>100</v>
      </c>
      <c r="X8" s="702"/>
      <c r="Y8" s="3653" t="s">
        <v>1683</v>
      </c>
      <c r="Z8" s="365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0"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9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0"/>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9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90"/>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3" t="s">
        <v>1691</v>
      </c>
      <c r="Q15" s="1350" t="str">
        <f t="shared" si="6"/>
        <v>产业集聚程度</v>
      </c>
      <c r="R15" s="704" t="s">
        <v>14</v>
      </c>
      <c r="S15" s="705">
        <f t="shared" si="0"/>
        <v>100</v>
      </c>
      <c r="T15" s="704" t="s">
        <v>14</v>
      </c>
      <c r="U15" s="705">
        <f t="shared" si="1"/>
        <v>100</v>
      </c>
      <c r="V15" s="704" t="s">
        <v>14</v>
      </c>
      <c r="W15" s="705">
        <f t="shared" si="2"/>
        <v>100</v>
      </c>
      <c r="X15" s="1353"/>
      <c r="Y15" s="368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84"/>
      <c r="Q16" s="1350"/>
      <c r="R16" s="704"/>
      <c r="S16" s="705"/>
      <c r="T16" s="704"/>
      <c r="U16" s="705"/>
      <c r="V16" s="704"/>
      <c r="W16" s="705"/>
      <c r="X16" s="1353"/>
      <c r="Y16" s="3684"/>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4"/>
      <c r="Q17" s="1350" t="str">
        <f>B17</f>
        <v>交通便捷度</v>
      </c>
      <c r="R17" s="704" t="s">
        <v>14</v>
      </c>
      <c r="S17" s="705">
        <f>F17</f>
        <v>100</v>
      </c>
      <c r="T17" s="704" t="s">
        <v>14</v>
      </c>
      <c r="U17" s="705">
        <f>H17</f>
        <v>100</v>
      </c>
      <c r="V17" s="704" t="s">
        <v>14</v>
      </c>
      <c r="W17" s="705">
        <f>J17</f>
        <v>100</v>
      </c>
      <c r="X17" s="1353"/>
      <c r="Y17" s="3684"/>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922"/>
      <c r="M18" s="913"/>
      <c r="N18" s="913"/>
      <c r="O18" s="921"/>
      <c r="P18" s="3684"/>
      <c r="Q18" s="1350"/>
      <c r="R18" s="704"/>
      <c r="S18" s="705"/>
      <c r="T18" s="704"/>
      <c r="U18" s="705"/>
      <c r="V18" s="704"/>
      <c r="W18" s="705"/>
      <c r="X18" s="1353"/>
      <c r="Y18" s="3684"/>
      <c r="Z18" s="1354"/>
      <c r="AA18" s="1351">
        <v>1</v>
      </c>
      <c r="AB18" s="1351">
        <v>1</v>
      </c>
      <c r="AC18" s="1351">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4"/>
      <c r="Q19" s="1350" t="str">
        <f>B19</f>
        <v>公共配套设施</v>
      </c>
      <c r="R19" s="704" t="s">
        <v>14</v>
      </c>
      <c r="S19" s="705">
        <f>F19</f>
        <v>100</v>
      </c>
      <c r="T19" s="704" t="s">
        <v>14</v>
      </c>
      <c r="U19" s="705">
        <f>H19</f>
        <v>100</v>
      </c>
      <c r="V19" s="704" t="s">
        <v>14</v>
      </c>
      <c r="W19" s="705">
        <f>J19</f>
        <v>100</v>
      </c>
      <c r="X19" s="1353"/>
      <c r="Y19" s="3684"/>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922"/>
      <c r="M20" s="913"/>
      <c r="N20" s="913"/>
      <c r="O20" s="921"/>
      <c r="P20" s="3684"/>
      <c r="Q20" s="1350"/>
      <c r="R20" s="704"/>
      <c r="S20" s="705"/>
      <c r="T20" s="704"/>
      <c r="U20" s="705"/>
      <c r="V20" s="704"/>
      <c r="W20" s="705"/>
      <c r="X20" s="1353"/>
      <c r="Y20" s="3684"/>
      <c r="Z20" s="1354"/>
      <c r="AA20" s="1351">
        <v>1</v>
      </c>
      <c r="AB20" s="1351">
        <v>1</v>
      </c>
      <c r="AC20" s="1351">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4"/>
      <c r="Q21" s="1350" t="str">
        <f>B21</f>
        <v>基础设施水平</v>
      </c>
      <c r="R21" s="704" t="s">
        <v>14</v>
      </c>
      <c r="S21" s="705">
        <f>F21</f>
        <v>100</v>
      </c>
      <c r="T21" s="704" t="s">
        <v>14</v>
      </c>
      <c r="U21" s="705">
        <f>H21</f>
        <v>100</v>
      </c>
      <c r="V21" s="704" t="s">
        <v>14</v>
      </c>
      <c r="W21" s="705">
        <f>J21</f>
        <v>100</v>
      </c>
      <c r="X21" s="1353"/>
      <c r="Y21" s="3684"/>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922"/>
      <c r="M22" s="913"/>
      <c r="N22" s="913"/>
      <c r="O22" s="921"/>
      <c r="P22" s="3684"/>
      <c r="Q22" s="1350"/>
      <c r="R22" s="704"/>
      <c r="S22" s="705"/>
      <c r="T22" s="704"/>
      <c r="U22" s="705"/>
      <c r="V22" s="704"/>
      <c r="W22" s="705"/>
      <c r="X22" s="1353"/>
      <c r="Y22" s="3684"/>
      <c r="Z22" s="1354"/>
      <c r="AA22" s="1351">
        <v>1</v>
      </c>
      <c r="AB22" s="1351">
        <v>1</v>
      </c>
      <c r="AC22" s="1351">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4"/>
      <c r="Q23" s="1350" t="str">
        <f>B23</f>
        <v>环境质量</v>
      </c>
      <c r="R23" s="704" t="s">
        <v>14</v>
      </c>
      <c r="S23" s="705">
        <f>F23</f>
        <v>100</v>
      </c>
      <c r="T23" s="704" t="s">
        <v>14</v>
      </c>
      <c r="U23" s="705">
        <f>H23</f>
        <v>100</v>
      </c>
      <c r="V23" s="704" t="s">
        <v>14</v>
      </c>
      <c r="W23" s="705">
        <f>J23</f>
        <v>100</v>
      </c>
      <c r="X23" s="1353"/>
      <c r="Y23" s="3684"/>
      <c r="Z23" s="1354" t="str">
        <f>Q23</f>
        <v>环境质量</v>
      </c>
      <c r="AA23" s="1351">
        <f t="shared" si="3"/>
        <v>1</v>
      </c>
      <c r="AB23" s="1351">
        <f t="shared" si="4"/>
        <v>1</v>
      </c>
      <c r="AC23" s="1351">
        <f t="shared" si="5"/>
        <v>1</v>
      </c>
    </row>
    <row r="24" spans="1:29" ht="15">
      <c r="A24" s="379"/>
      <c r="B24" s="1130"/>
      <c r="C24" s="398"/>
      <c r="D24" s="399"/>
      <c r="E24" s="1895"/>
      <c r="F24" s="400"/>
      <c r="G24" s="1894"/>
      <c r="H24" s="399"/>
      <c r="I24" s="1895"/>
      <c r="J24" s="399"/>
      <c r="K24" s="564"/>
      <c r="L24" s="922"/>
      <c r="M24" s="913"/>
      <c r="N24" s="913"/>
      <c r="O24" s="921"/>
      <c r="P24" s="3684"/>
      <c r="Q24" s="1350"/>
      <c r="R24" s="704"/>
      <c r="S24" s="705"/>
      <c r="T24" s="704"/>
      <c r="U24" s="705"/>
      <c r="V24" s="704"/>
      <c r="W24" s="705"/>
      <c r="X24" s="1353"/>
      <c r="Y24" s="3684"/>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4"/>
      <c r="Q25" s="1350">
        <f>B25</f>
        <v>111</v>
      </c>
      <c r="R25" s="704" t="s">
        <v>14</v>
      </c>
      <c r="S25" s="705">
        <f>F25</f>
        <v>100</v>
      </c>
      <c r="T25" s="704" t="s">
        <v>14</v>
      </c>
      <c r="U25" s="705">
        <f>H25</f>
        <v>100</v>
      </c>
      <c r="V25" s="704" t="s">
        <v>14</v>
      </c>
      <c r="W25" s="705">
        <f>J25</f>
        <v>100</v>
      </c>
      <c r="X25" s="1353"/>
      <c r="Y25" s="3684"/>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4"/>
      <c r="Q26" s="1350">
        <f t="shared" ref="Q26:Q40" si="11">B26</f>
        <v>111</v>
      </c>
      <c r="R26" s="704" t="s">
        <v>14</v>
      </c>
      <c r="S26" s="705">
        <f>F26</f>
        <v>100</v>
      </c>
      <c r="T26" s="704" t="s">
        <v>14</v>
      </c>
      <c r="U26" s="705">
        <f>H26</f>
        <v>100</v>
      </c>
      <c r="V26" s="704" t="s">
        <v>14</v>
      </c>
      <c r="W26" s="705">
        <f>J26</f>
        <v>100</v>
      </c>
      <c r="X26" s="1353"/>
      <c r="Y26" s="3684"/>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4"/>
      <c r="Q27" s="1341">
        <f t="shared" si="11"/>
        <v>111</v>
      </c>
      <c r="R27" s="700" t="s">
        <v>14</v>
      </c>
      <c r="S27" s="701">
        <f>F27</f>
        <v>100</v>
      </c>
      <c r="T27" s="700" t="s">
        <v>14</v>
      </c>
      <c r="U27" s="701">
        <f>H27</f>
        <v>100</v>
      </c>
      <c r="V27" s="700" t="s">
        <v>14</v>
      </c>
      <c r="W27" s="701">
        <f>J27</f>
        <v>100</v>
      </c>
      <c r="X27" s="702"/>
      <c r="Y27" s="3684"/>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4"/>
      <c r="Q28" s="1350">
        <f t="shared" si="11"/>
        <v>111</v>
      </c>
      <c r="R28" s="704" t="s">
        <v>14</v>
      </c>
      <c r="S28" s="705">
        <f t="shared" ref="S28:S40" si="12">F28</f>
        <v>100</v>
      </c>
      <c r="T28" s="704" t="s">
        <v>14</v>
      </c>
      <c r="U28" s="705">
        <f t="shared" ref="U28:U40" si="13">H28</f>
        <v>100</v>
      </c>
      <c r="V28" s="704" t="s">
        <v>14</v>
      </c>
      <c r="W28" s="705">
        <f t="shared" ref="W28:W40" si="14">J28</f>
        <v>100</v>
      </c>
      <c r="X28" s="1353"/>
      <c r="Y28" s="3684"/>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31" t="s">
        <v>1696</v>
      </c>
      <c r="Q29" s="1350" t="str">
        <f t="shared" si="11"/>
        <v>建筑类型</v>
      </c>
      <c r="R29" s="704" t="s">
        <v>14</v>
      </c>
      <c r="S29" s="705">
        <f t="shared" si="12"/>
        <v>100</v>
      </c>
      <c r="T29" s="704" t="s">
        <v>14</v>
      </c>
      <c r="U29" s="705">
        <f t="shared" si="13"/>
        <v>100</v>
      </c>
      <c r="V29" s="704" t="s">
        <v>14</v>
      </c>
      <c r="W29" s="705">
        <f t="shared" si="14"/>
        <v>100</v>
      </c>
      <c r="X29" s="1353"/>
      <c r="Y29" s="368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8"/>
      <c r="Q30" s="706" t="str">
        <f t="shared" si="11"/>
        <v>项目建筑规模</v>
      </c>
      <c r="R30" s="707" t="s">
        <v>14</v>
      </c>
      <c r="S30" s="708" t="e">
        <f t="shared" si="12"/>
        <v>#N/A</v>
      </c>
      <c r="T30" s="707" t="s">
        <v>14</v>
      </c>
      <c r="U30" s="708" t="e">
        <f t="shared" si="13"/>
        <v>#N/A</v>
      </c>
      <c r="V30" s="707" t="s">
        <v>14</v>
      </c>
      <c r="W30" s="708" t="e">
        <f t="shared" si="14"/>
        <v>#N/A</v>
      </c>
      <c r="X30" s="709"/>
      <c r="Y30" s="3688"/>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8"/>
      <c r="Q31" s="1350" t="str">
        <f t="shared" si="11"/>
        <v>建筑结构</v>
      </c>
      <c r="R31" s="704" t="s">
        <v>14</v>
      </c>
      <c r="S31" s="705">
        <f t="shared" si="12"/>
        <v>100</v>
      </c>
      <c r="T31" s="704" t="s">
        <v>14</v>
      </c>
      <c r="U31" s="705">
        <f t="shared" si="13"/>
        <v>100</v>
      </c>
      <c r="V31" s="704" t="s">
        <v>14</v>
      </c>
      <c r="W31" s="705">
        <f t="shared" si="14"/>
        <v>100</v>
      </c>
      <c r="X31" s="1353"/>
      <c r="Y31" s="368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8"/>
      <c r="Q32" s="1350" t="str">
        <f t="shared" si="11"/>
        <v>公共部分装修</v>
      </c>
      <c r="R32" s="704" t="s">
        <v>14</v>
      </c>
      <c r="S32" s="705">
        <f t="shared" si="12"/>
        <v>100</v>
      </c>
      <c r="T32" s="704" t="s">
        <v>14</v>
      </c>
      <c r="U32" s="705">
        <f t="shared" si="13"/>
        <v>100</v>
      </c>
      <c r="V32" s="704" t="s">
        <v>14</v>
      </c>
      <c r="W32" s="705">
        <f t="shared" si="14"/>
        <v>100</v>
      </c>
      <c r="X32" s="1353"/>
      <c r="Y32" s="368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8"/>
      <c r="Q33" s="1350" t="str">
        <f t="shared" si="11"/>
        <v>成新度</v>
      </c>
      <c r="R33" s="704" t="s">
        <v>14</v>
      </c>
      <c r="S33" s="705" t="e">
        <f t="shared" si="12"/>
        <v>#N/A</v>
      </c>
      <c r="T33" s="704" t="s">
        <v>14</v>
      </c>
      <c r="U33" s="705" t="e">
        <f t="shared" si="13"/>
        <v>#N/A</v>
      </c>
      <c r="V33" s="704" t="s">
        <v>14</v>
      </c>
      <c r="W33" s="705" t="e">
        <f t="shared" si="14"/>
        <v>#N/A</v>
      </c>
      <c r="X33" s="1353"/>
      <c r="Y33" s="368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8"/>
      <c r="Q34" s="1341" t="str">
        <f t="shared" si="11"/>
        <v>物业管理</v>
      </c>
      <c r="R34" s="700" t="s">
        <v>14</v>
      </c>
      <c r="S34" s="701">
        <f t="shared" si="12"/>
        <v>100</v>
      </c>
      <c r="T34" s="700" t="s">
        <v>14</v>
      </c>
      <c r="U34" s="701">
        <f t="shared" si="13"/>
        <v>100</v>
      </c>
      <c r="V34" s="700" t="s">
        <v>14</v>
      </c>
      <c r="W34" s="701">
        <f t="shared" si="14"/>
        <v>100</v>
      </c>
      <c r="X34" s="702"/>
      <c r="Y34" s="368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8" t="s">
        <v>1696</v>
      </c>
      <c r="Q35" s="1350" t="str">
        <f t="shared" si="11"/>
        <v>市政基础设施</v>
      </c>
      <c r="R35" s="704" t="s">
        <v>14</v>
      </c>
      <c r="S35" s="705">
        <f t="shared" si="12"/>
        <v>100</v>
      </c>
      <c r="T35" s="704" t="s">
        <v>14</v>
      </c>
      <c r="U35" s="705">
        <f t="shared" si="13"/>
        <v>100</v>
      </c>
      <c r="V35" s="704" t="s">
        <v>14</v>
      </c>
      <c r="W35" s="705">
        <f t="shared" si="14"/>
        <v>100</v>
      </c>
      <c r="X35" s="1353"/>
      <c r="Y35" s="368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8"/>
      <c r="Q36" s="1350" t="str">
        <f t="shared" si="11"/>
        <v>内部装修</v>
      </c>
      <c r="R36" s="704" t="s">
        <v>14</v>
      </c>
      <c r="S36" s="705">
        <f t="shared" si="12"/>
        <v>100</v>
      </c>
      <c r="T36" s="704" t="s">
        <v>14</v>
      </c>
      <c r="U36" s="705">
        <f t="shared" si="13"/>
        <v>100</v>
      </c>
      <c r="V36" s="704" t="s">
        <v>14</v>
      </c>
      <c r="W36" s="705">
        <f t="shared" si="14"/>
        <v>100</v>
      </c>
      <c r="X36" s="1353"/>
      <c r="Y36" s="368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8"/>
      <c r="Q37" s="1350" t="str">
        <f t="shared" si="11"/>
        <v>内部装修状况</v>
      </c>
      <c r="R37" s="704" t="s">
        <v>14</v>
      </c>
      <c r="S37" s="705">
        <f t="shared" si="12"/>
        <v>100</v>
      </c>
      <c r="T37" s="704" t="s">
        <v>14</v>
      </c>
      <c r="U37" s="705">
        <f t="shared" si="13"/>
        <v>100</v>
      </c>
      <c r="V37" s="704" t="s">
        <v>14</v>
      </c>
      <c r="W37" s="705">
        <f t="shared" si="14"/>
        <v>100</v>
      </c>
      <c r="X37" s="1353"/>
      <c r="Y37" s="3688"/>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8"/>
      <c r="Q38" s="706">
        <f t="shared" si="11"/>
        <v>111</v>
      </c>
      <c r="R38" s="707" t="s">
        <v>14</v>
      </c>
      <c r="S38" s="708">
        <f t="shared" si="12"/>
        <v>100</v>
      </c>
      <c r="T38" s="707" t="s">
        <v>14</v>
      </c>
      <c r="U38" s="708">
        <f t="shared" si="13"/>
        <v>100</v>
      </c>
      <c r="V38" s="707" t="s">
        <v>14</v>
      </c>
      <c r="W38" s="708">
        <f t="shared" si="14"/>
        <v>100</v>
      </c>
      <c r="X38" s="709"/>
      <c r="Y38" s="3688"/>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8"/>
      <c r="Q39" s="1350">
        <f t="shared" si="11"/>
        <v>111</v>
      </c>
      <c r="R39" s="704" t="s">
        <v>14</v>
      </c>
      <c r="S39" s="705">
        <f t="shared" si="12"/>
        <v>100</v>
      </c>
      <c r="T39" s="704" t="s">
        <v>14</v>
      </c>
      <c r="U39" s="705">
        <f t="shared" si="13"/>
        <v>100</v>
      </c>
      <c r="V39" s="704" t="s">
        <v>14</v>
      </c>
      <c r="W39" s="705">
        <f t="shared" si="14"/>
        <v>100</v>
      </c>
      <c r="X39" s="1353"/>
      <c r="Y39" s="3688"/>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9"/>
      <c r="Q40" s="1350">
        <f t="shared" si="11"/>
        <v>111</v>
      </c>
      <c r="R40" s="704" t="s">
        <v>14</v>
      </c>
      <c r="S40" s="705">
        <f t="shared" si="12"/>
        <v>100</v>
      </c>
      <c r="T40" s="704" t="s">
        <v>14</v>
      </c>
      <c r="U40" s="705">
        <f t="shared" si="13"/>
        <v>100</v>
      </c>
      <c r="V40" s="704" t="s">
        <v>14</v>
      </c>
      <c r="W40" s="705">
        <f t="shared" si="14"/>
        <v>100</v>
      </c>
      <c r="X40" s="1353"/>
      <c r="Y40" s="3689"/>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690" t="str">
        <f>A41</f>
        <v>成交单价（元/平方米）</v>
      </c>
      <c r="Q41" s="3690"/>
      <c r="R41" s="3691">
        <f>E41</f>
        <v>0</v>
      </c>
      <c r="S41" s="3691"/>
      <c r="T41" s="3691">
        <f>G41</f>
        <v>0</v>
      </c>
      <c r="U41" s="3691"/>
      <c r="V41" s="3691">
        <f>I41</f>
        <v>0</v>
      </c>
      <c r="W41" s="3691"/>
      <c r="X41" s="689"/>
      <c r="Y41" s="711"/>
      <c r="Z41" s="689"/>
      <c r="AA41" s="689"/>
      <c r="AB41" s="689"/>
      <c r="AC41" s="689"/>
    </row>
    <row r="42" spans="1:29" ht="15.75" thickBot="1">
      <c r="A42" s="437" t="s">
        <v>1793</v>
      </c>
      <c r="B42" s="438"/>
      <c r="C42" s="1159" t="e">
        <f>R43</f>
        <v>#DIV/0!</v>
      </c>
      <c r="D42" s="2314" t="s">
        <v>2137</v>
      </c>
      <c r="E42" s="1160" t="e">
        <f>R42</f>
        <v>#DIV/0!</v>
      </c>
      <c r="F42" s="2315"/>
      <c r="G42" s="1159" t="e">
        <f>T42</f>
        <v>#DIV/0!</v>
      </c>
      <c r="H42" s="2315"/>
      <c r="I42" s="1160" t="e">
        <f>V42</f>
        <v>#DIV/0!</v>
      </c>
      <c r="J42" s="2315"/>
      <c r="K42" s="2317">
        <f>F42+H42+J42</f>
        <v>0</v>
      </c>
      <c r="L42" s="925"/>
      <c r="M42" s="926"/>
      <c r="N42" s="913"/>
      <c r="O42" s="926"/>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2024-6</v>
      </c>
      <c r="D52" s="1183">
        <f>EDATE(C52,-1)</f>
        <v>45413</v>
      </c>
      <c r="E52" s="1183">
        <f t="shared" ref="E52:O52" si="16">EDATE(D52,-1)</f>
        <v>45383</v>
      </c>
      <c r="F52" s="1183">
        <f t="shared" si="16"/>
        <v>45352</v>
      </c>
      <c r="G52" s="1183">
        <f t="shared" si="16"/>
        <v>45323</v>
      </c>
      <c r="H52" s="1183">
        <f t="shared" si="16"/>
        <v>45292</v>
      </c>
      <c r="I52" s="1183">
        <f t="shared" si="16"/>
        <v>45261</v>
      </c>
      <c r="J52" s="1183">
        <f t="shared" si="16"/>
        <v>45231</v>
      </c>
      <c r="K52" s="1183">
        <f t="shared" si="16"/>
        <v>45200</v>
      </c>
      <c r="L52" s="1183">
        <f t="shared" si="16"/>
        <v>45170</v>
      </c>
      <c r="M52" s="1183">
        <f t="shared" si="16"/>
        <v>45139</v>
      </c>
      <c r="N52" s="1183">
        <f t="shared" si="16"/>
        <v>45108</v>
      </c>
      <c r="O52" s="1183">
        <f t="shared" si="16"/>
        <v>45078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估价对象为房地产，为所有。根据《国有土地使用证》[]，估价对象（分摊）出让国有建设用地使用权面积为38090.49平方米，建筑面积为9908.9平方米。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估价对象为房地产,属开发建设的工业项目，该项目尚在开发建设中。根据《国有土地使用证》[]，估价对象（分摊）出让国有建设用地使用权面积为38090.49平方米，规划建筑面积为9908.9平方米。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2024年6月6日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0"/>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2712"/>
      <c r="M5" s="2713"/>
      <c r="N5" s="2713"/>
      <c r="O5" s="2713"/>
      <c r="P5" s="3674"/>
      <c r="Q5" s="3675"/>
      <c r="R5" s="3657"/>
      <c r="S5" s="3658"/>
      <c r="T5" s="3657"/>
      <c r="U5" s="3658"/>
      <c r="V5" s="3652"/>
      <c r="W5" s="3652"/>
      <c r="X5" s="1353"/>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2712"/>
      <c r="M6" s="2713"/>
      <c r="N6" s="2713"/>
      <c r="O6" s="2713"/>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53" t="s">
        <v>1680</v>
      </c>
      <c r="Q7" s="3680"/>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53" t="s">
        <v>1683</v>
      </c>
      <c r="Q8" s="3654"/>
      <c r="R8" s="700" t="s">
        <v>14</v>
      </c>
      <c r="S8" s="701">
        <f t="shared" si="0"/>
        <v>100</v>
      </c>
      <c r="T8" s="700" t="s">
        <v>14</v>
      </c>
      <c r="U8" s="701">
        <f t="shared" si="1"/>
        <v>100</v>
      </c>
      <c r="V8" s="700" t="s">
        <v>14</v>
      </c>
      <c r="W8" s="701">
        <f t="shared" si="2"/>
        <v>100</v>
      </c>
      <c r="X8" s="702"/>
      <c r="Y8" s="3653" t="s">
        <v>1683</v>
      </c>
      <c r="Z8" s="365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0" t="s">
        <v>1686</v>
      </c>
      <c r="Q9" s="1341"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0"/>
      <c r="Q11" s="1341">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55" t="s">
        <v>1690</v>
      </c>
      <c r="B14" s="576"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3" t="s">
        <v>1691</v>
      </c>
      <c r="Q14" s="1350" t="str">
        <f t="shared" si="6"/>
        <v>交通便捷度</v>
      </c>
      <c r="R14" s="704" t="s">
        <v>14</v>
      </c>
      <c r="S14" s="705">
        <f t="shared" si="0"/>
        <v>100</v>
      </c>
      <c r="T14" s="704" t="s">
        <v>14</v>
      </c>
      <c r="U14" s="705">
        <f t="shared" si="1"/>
        <v>100</v>
      </c>
      <c r="V14" s="704" t="s">
        <v>14</v>
      </c>
      <c r="W14" s="705">
        <f t="shared" si="2"/>
        <v>100</v>
      </c>
      <c r="X14" s="1353"/>
      <c r="Y14" s="3683"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684"/>
      <c r="Q15" s="1350"/>
      <c r="R15" s="704"/>
      <c r="S15" s="705"/>
      <c r="T15" s="704"/>
      <c r="U15" s="705"/>
      <c r="V15" s="704"/>
      <c r="W15" s="705"/>
      <c r="X15" s="1353"/>
      <c r="Y15" s="3684"/>
      <c r="Z15" s="1354"/>
      <c r="AA15" s="1351">
        <v>1</v>
      </c>
      <c r="AB15" s="1351">
        <v>1</v>
      </c>
      <c r="AC15" s="1351">
        <v>1</v>
      </c>
    </row>
    <row r="16" spans="1:29" ht="42.75">
      <c r="A16" s="358"/>
      <c r="B16" s="578"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4"/>
      <c r="Q16" s="1350" t="str">
        <f>B16</f>
        <v>公共配套设施</v>
      </c>
      <c r="R16" s="704" t="s">
        <v>14</v>
      </c>
      <c r="S16" s="705">
        <f>F16</f>
        <v>100</v>
      </c>
      <c r="T16" s="704" t="s">
        <v>14</v>
      </c>
      <c r="U16" s="705">
        <f>H16</f>
        <v>100</v>
      </c>
      <c r="V16" s="704" t="s">
        <v>14</v>
      </c>
      <c r="W16" s="705">
        <f>J16</f>
        <v>100</v>
      </c>
      <c r="X16" s="1353"/>
      <c r="Y16" s="3684"/>
      <c r="Z16" s="1354" t="str">
        <f>Q16</f>
        <v>公共配套设施</v>
      </c>
      <c r="AA16" s="1351">
        <f t="shared" si="3"/>
        <v>1</v>
      </c>
      <c r="AB16" s="1351">
        <f t="shared" si="4"/>
        <v>1</v>
      </c>
      <c r="AC16" s="1351">
        <f t="shared" si="5"/>
        <v>1</v>
      </c>
    </row>
    <row r="17" spans="1:29" ht="15">
      <c r="A17" s="358"/>
      <c r="B17" s="579"/>
      <c r="C17" s="1898"/>
      <c r="D17" s="399"/>
      <c r="E17" s="398"/>
      <c r="F17" s="400"/>
      <c r="G17" s="398"/>
      <c r="H17" s="399"/>
      <c r="I17" s="398"/>
      <c r="J17" s="399"/>
      <c r="K17" s="564"/>
      <c r="L17" s="2719"/>
      <c r="M17" s="2713"/>
      <c r="N17" s="2713"/>
      <c r="O17" s="2713"/>
      <c r="P17" s="3684"/>
      <c r="Q17" s="1350"/>
      <c r="R17" s="704"/>
      <c r="S17" s="705"/>
      <c r="T17" s="704"/>
      <c r="U17" s="705"/>
      <c r="V17" s="704"/>
      <c r="W17" s="705"/>
      <c r="X17" s="1353"/>
      <c r="Y17" s="3684"/>
      <c r="Z17" s="1354"/>
      <c r="AA17" s="1351">
        <v>1</v>
      </c>
      <c r="AB17" s="1351">
        <v>1</v>
      </c>
      <c r="AC17" s="1351">
        <v>1</v>
      </c>
    </row>
    <row r="18" spans="1:29" ht="28.5">
      <c r="A18" s="358"/>
      <c r="B18" s="580"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4"/>
      <c r="Q18" s="1350" t="str">
        <f>B18</f>
        <v>基础设施水平</v>
      </c>
      <c r="R18" s="704" t="s">
        <v>14</v>
      </c>
      <c r="S18" s="705">
        <f>F18</f>
        <v>100</v>
      </c>
      <c r="T18" s="704" t="s">
        <v>14</v>
      </c>
      <c r="U18" s="705">
        <f>H18</f>
        <v>100</v>
      </c>
      <c r="V18" s="704" t="s">
        <v>14</v>
      </c>
      <c r="W18" s="705">
        <f>J18</f>
        <v>100</v>
      </c>
      <c r="X18" s="1353"/>
      <c r="Y18" s="3684"/>
      <c r="Z18" s="1354" t="str">
        <f>Q18</f>
        <v>基础设施水平</v>
      </c>
      <c r="AA18" s="1351">
        <f t="shared" ref="AA18" si="8">D18/F18</f>
        <v>1</v>
      </c>
      <c r="AB18" s="1351">
        <f t="shared" ref="AB18" si="9">D18/H18</f>
        <v>1</v>
      </c>
      <c r="AC18" s="1351">
        <f t="shared" ref="AC18" si="10">D18/J18</f>
        <v>1</v>
      </c>
    </row>
    <row r="19" spans="1:29" ht="15">
      <c r="A19" s="358"/>
      <c r="B19" s="580"/>
      <c r="C19" s="1898"/>
      <c r="D19" s="401"/>
      <c r="E19" s="1898"/>
      <c r="F19" s="404"/>
      <c r="G19" s="1898"/>
      <c r="H19" s="399"/>
      <c r="I19" s="398"/>
      <c r="J19" s="399"/>
      <c r="K19" s="1129"/>
      <c r="L19" s="2719"/>
      <c r="M19" s="2713"/>
      <c r="N19" s="2713"/>
      <c r="O19" s="2713"/>
      <c r="P19" s="3684"/>
      <c r="Q19" s="1350"/>
      <c r="R19" s="704"/>
      <c r="S19" s="705"/>
      <c r="T19" s="704"/>
      <c r="U19" s="705"/>
      <c r="V19" s="704"/>
      <c r="W19" s="705"/>
      <c r="X19" s="1353"/>
      <c r="Y19" s="3684"/>
      <c r="Z19" s="1354"/>
      <c r="AA19" s="1351">
        <v>1</v>
      </c>
      <c r="AB19" s="1351">
        <v>1</v>
      </c>
      <c r="AC19" s="1351">
        <v>1</v>
      </c>
    </row>
    <row r="20" spans="1:29" ht="57">
      <c r="A20" s="358"/>
      <c r="B20" s="578"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4"/>
      <c r="Q20" s="1350" t="str">
        <f>B20</f>
        <v>自然及人文环境</v>
      </c>
      <c r="R20" s="704" t="s">
        <v>14</v>
      </c>
      <c r="S20" s="705">
        <f>F20</f>
        <v>100</v>
      </c>
      <c r="T20" s="704" t="s">
        <v>14</v>
      </c>
      <c r="U20" s="705">
        <f>H20</f>
        <v>100</v>
      </c>
      <c r="V20" s="704" t="s">
        <v>14</v>
      </c>
      <c r="W20" s="705">
        <f>J20</f>
        <v>100</v>
      </c>
      <c r="X20" s="1353"/>
      <c r="Y20" s="368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684"/>
      <c r="Q21" s="1350"/>
      <c r="R21" s="704"/>
      <c r="S21" s="705"/>
      <c r="T21" s="704"/>
      <c r="U21" s="705"/>
      <c r="V21" s="704"/>
      <c r="W21" s="705"/>
      <c r="X21" s="1353"/>
      <c r="Y21" s="3684"/>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4"/>
      <c r="Q22" s="1350" t="str">
        <f>B22</f>
        <v>楼层</v>
      </c>
      <c r="R22" s="704" t="s">
        <v>14</v>
      </c>
      <c r="S22" s="705">
        <f>F22</f>
        <v>100</v>
      </c>
      <c r="T22" s="704" t="s">
        <v>14</v>
      </c>
      <c r="U22" s="705">
        <f>H22</f>
        <v>100</v>
      </c>
      <c r="V22" s="704" t="s">
        <v>14</v>
      </c>
      <c r="W22" s="705">
        <f>J22</f>
        <v>100</v>
      </c>
      <c r="X22" s="1353"/>
      <c r="Y22" s="368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4"/>
      <c r="Q23" s="1350">
        <f>B23</f>
        <v>111</v>
      </c>
      <c r="R23" s="704" t="s">
        <v>14</v>
      </c>
      <c r="S23" s="705">
        <f>F23</f>
        <v>100</v>
      </c>
      <c r="T23" s="704" t="s">
        <v>14</v>
      </c>
      <c r="U23" s="705">
        <f>H23</f>
        <v>100</v>
      </c>
      <c r="V23" s="704" t="s">
        <v>14</v>
      </c>
      <c r="W23" s="705">
        <f>J23</f>
        <v>100</v>
      </c>
      <c r="X23" s="1353"/>
      <c r="Y23" s="368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4"/>
      <c r="Q24" s="1350">
        <f t="shared" ref="Q24:Q36" si="11">B24</f>
        <v>111</v>
      </c>
      <c r="R24" s="704" t="s">
        <v>14</v>
      </c>
      <c r="S24" s="705">
        <f>F24</f>
        <v>100</v>
      </c>
      <c r="T24" s="704" t="s">
        <v>14</v>
      </c>
      <c r="U24" s="705">
        <f>H24</f>
        <v>100</v>
      </c>
      <c r="V24" s="704" t="s">
        <v>14</v>
      </c>
      <c r="W24" s="705">
        <f>J24</f>
        <v>100</v>
      </c>
      <c r="X24" s="1353"/>
      <c r="Y24" s="368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684"/>
      <c r="Q25" s="1341">
        <f t="shared" si="11"/>
        <v>111</v>
      </c>
      <c r="R25" s="700" t="s">
        <v>14</v>
      </c>
      <c r="S25" s="701">
        <f>F25</f>
        <v>100</v>
      </c>
      <c r="T25" s="700" t="s">
        <v>14</v>
      </c>
      <c r="U25" s="701">
        <f>H25</f>
        <v>100</v>
      </c>
      <c r="V25" s="700" t="s">
        <v>14</v>
      </c>
      <c r="W25" s="701">
        <f>J25</f>
        <v>100</v>
      </c>
      <c r="X25" s="702"/>
      <c r="Y25" s="3684"/>
      <c r="Z25" s="52">
        <f>Q25</f>
        <v>111</v>
      </c>
      <c r="AA25" s="1351">
        <f>D25/F25</f>
        <v>1</v>
      </c>
      <c r="AB25" s="1351">
        <f>D25/H25</f>
        <v>1</v>
      </c>
      <c r="AC25" s="1351">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1"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88"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688"/>
      <c r="Q27" s="706" t="str">
        <f t="shared" si="11"/>
        <v>项目停车位配比</v>
      </c>
      <c r="R27" s="707" t="s">
        <v>14</v>
      </c>
      <c r="S27" s="708">
        <f t="shared" si="12"/>
        <v>100</v>
      </c>
      <c r="T27" s="707" t="s">
        <v>14</v>
      </c>
      <c r="U27" s="708">
        <f t="shared" si="13"/>
        <v>100</v>
      </c>
      <c r="V27" s="707" t="s">
        <v>14</v>
      </c>
      <c r="W27" s="708">
        <f t="shared" si="14"/>
        <v>100</v>
      </c>
      <c r="X27" s="709"/>
      <c r="Y27" s="3688"/>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88"/>
      <c r="Q28" s="1350" t="str">
        <f t="shared" si="11"/>
        <v>公共部分装修</v>
      </c>
      <c r="R28" s="704" t="s">
        <v>14</v>
      </c>
      <c r="S28" s="705">
        <f t="shared" si="12"/>
        <v>100</v>
      </c>
      <c r="T28" s="704" t="s">
        <v>14</v>
      </c>
      <c r="U28" s="705">
        <f t="shared" si="13"/>
        <v>100</v>
      </c>
      <c r="V28" s="704" t="s">
        <v>14</v>
      </c>
      <c r="W28" s="705">
        <f t="shared" si="14"/>
        <v>100</v>
      </c>
      <c r="X28" s="1353"/>
      <c r="Y28" s="3688"/>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88"/>
      <c r="Q29" s="1350" t="str">
        <f t="shared" si="11"/>
        <v>成新率</v>
      </c>
      <c r="R29" s="704" t="s">
        <v>14</v>
      </c>
      <c r="S29" s="705" t="e">
        <f t="shared" si="12"/>
        <v>#N/A</v>
      </c>
      <c r="T29" s="704" t="s">
        <v>14</v>
      </c>
      <c r="U29" s="705" t="e">
        <f t="shared" si="13"/>
        <v>#N/A</v>
      </c>
      <c r="V29" s="704" t="s">
        <v>14</v>
      </c>
      <c r="W29" s="705" t="e">
        <f t="shared" si="14"/>
        <v>#N/A</v>
      </c>
      <c r="X29" s="1353"/>
      <c r="Y29" s="3688"/>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688"/>
      <c r="Q30" s="1350" t="str">
        <f t="shared" si="11"/>
        <v>物业等级</v>
      </c>
      <c r="R30" s="704" t="s">
        <v>14</v>
      </c>
      <c r="S30" s="705">
        <f t="shared" si="12"/>
        <v>100</v>
      </c>
      <c r="T30" s="704" t="s">
        <v>14</v>
      </c>
      <c r="U30" s="705">
        <f t="shared" si="13"/>
        <v>100</v>
      </c>
      <c r="V30" s="704" t="s">
        <v>14</v>
      </c>
      <c r="W30" s="705">
        <f t="shared" si="14"/>
        <v>100</v>
      </c>
      <c r="X30" s="1353"/>
      <c r="Y30" s="3688"/>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88"/>
      <c r="Q31" s="1341" t="str">
        <f t="shared" si="11"/>
        <v>停车位面积</v>
      </c>
      <c r="R31" s="700" t="s">
        <v>14</v>
      </c>
      <c r="S31" s="701" t="e">
        <f t="shared" si="12"/>
        <v>#N/A</v>
      </c>
      <c r="T31" s="700" t="s">
        <v>14</v>
      </c>
      <c r="U31" s="701" t="e">
        <f t="shared" si="13"/>
        <v>#N/A</v>
      </c>
      <c r="V31" s="700" t="s">
        <v>14</v>
      </c>
      <c r="W31" s="701" t="e">
        <f t="shared" si="14"/>
        <v>#N/A</v>
      </c>
      <c r="X31" s="702"/>
      <c r="Y31" s="368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88" t="s">
        <v>1696</v>
      </c>
      <c r="Q32" s="1350" t="str">
        <f t="shared" si="11"/>
        <v>车位类型</v>
      </c>
      <c r="R32" s="704" t="s">
        <v>14</v>
      </c>
      <c r="S32" s="705">
        <f t="shared" si="12"/>
        <v>100</v>
      </c>
      <c r="T32" s="704" t="s">
        <v>14</v>
      </c>
      <c r="U32" s="705">
        <f t="shared" si="13"/>
        <v>100</v>
      </c>
      <c r="V32" s="704" t="s">
        <v>14</v>
      </c>
      <c r="W32" s="705">
        <f t="shared" si="14"/>
        <v>100</v>
      </c>
      <c r="X32" s="1353"/>
      <c r="Y32" s="3688"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88"/>
      <c r="Q33" s="1350" t="str">
        <f t="shared" si="11"/>
        <v>是否直接入户</v>
      </c>
      <c r="R33" s="704" t="s">
        <v>14</v>
      </c>
      <c r="S33" s="705">
        <f t="shared" si="12"/>
        <v>100</v>
      </c>
      <c r="T33" s="704" t="s">
        <v>14</v>
      </c>
      <c r="U33" s="705">
        <f t="shared" si="13"/>
        <v>100</v>
      </c>
      <c r="V33" s="704" t="s">
        <v>14</v>
      </c>
      <c r="W33" s="705">
        <f t="shared" si="14"/>
        <v>100</v>
      </c>
      <c r="X33" s="1353"/>
      <c r="Y33" s="368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88"/>
      <c r="Q34" s="1350">
        <f t="shared" si="11"/>
        <v>111</v>
      </c>
      <c r="R34" s="704" t="s">
        <v>14</v>
      </c>
      <c r="S34" s="705">
        <f t="shared" si="12"/>
        <v>100</v>
      </c>
      <c r="T34" s="704" t="s">
        <v>14</v>
      </c>
      <c r="U34" s="705">
        <f t="shared" si="13"/>
        <v>100</v>
      </c>
      <c r="V34" s="704" t="s">
        <v>14</v>
      </c>
      <c r="W34" s="705">
        <f t="shared" si="14"/>
        <v>100</v>
      </c>
      <c r="X34" s="1353"/>
      <c r="Y34" s="368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88"/>
      <c r="Q35" s="706">
        <f t="shared" si="11"/>
        <v>111</v>
      </c>
      <c r="R35" s="707" t="s">
        <v>14</v>
      </c>
      <c r="S35" s="708">
        <f t="shared" si="12"/>
        <v>100</v>
      </c>
      <c r="T35" s="707" t="s">
        <v>14</v>
      </c>
      <c r="U35" s="708">
        <f t="shared" si="13"/>
        <v>100</v>
      </c>
      <c r="V35" s="707" t="s">
        <v>14</v>
      </c>
      <c r="W35" s="708">
        <f t="shared" si="14"/>
        <v>100</v>
      </c>
      <c r="X35" s="709"/>
      <c r="Y35" s="3688"/>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88"/>
      <c r="Q36" s="1350">
        <f t="shared" si="11"/>
        <v>111</v>
      </c>
      <c r="R36" s="704" t="s">
        <v>14</v>
      </c>
      <c r="S36" s="705">
        <f t="shared" si="12"/>
        <v>100</v>
      </c>
      <c r="T36" s="704" t="s">
        <v>14</v>
      </c>
      <c r="U36" s="705">
        <f t="shared" si="13"/>
        <v>100</v>
      </c>
      <c r="V36" s="704" t="s">
        <v>14</v>
      </c>
      <c r="W36" s="705">
        <f t="shared" si="14"/>
        <v>100</v>
      </c>
      <c r="X36" s="1353"/>
      <c r="Y36" s="3688"/>
      <c r="Z36" s="1354">
        <f t="shared" si="15"/>
        <v>111</v>
      </c>
      <c r="AA36" s="1351">
        <f t="shared" si="3"/>
        <v>1</v>
      </c>
      <c r="AB36" s="1351">
        <f t="shared" si="4"/>
        <v>1</v>
      </c>
      <c r="AC36" s="1351">
        <f t="shared" si="5"/>
        <v>1</v>
      </c>
    </row>
    <row r="37" spans="1:29" ht="15">
      <c r="A37" s="430" t="s">
        <v>1844</v>
      </c>
      <c r="B37" s="1970" t="s">
        <v>3356</v>
      </c>
      <c r="C37" s="1153" t="s">
        <v>0</v>
      </c>
      <c r="D37" s="1154"/>
      <c r="E37" s="1155"/>
      <c r="F37" s="1156"/>
      <c r="G37" s="1157"/>
      <c r="H37" s="1158"/>
      <c r="I37" s="1155"/>
      <c r="J37" s="1158"/>
      <c r="K37" s="567"/>
      <c r="L37" s="2721"/>
      <c r="M37" s="2722"/>
      <c r="N37" s="2713"/>
      <c r="O37" s="2722"/>
      <c r="P37" s="3690" t="str">
        <f>A37</f>
        <v>成交单价</v>
      </c>
      <c r="Q37" s="3690"/>
      <c r="R37" s="3691">
        <f>E37</f>
        <v>0</v>
      </c>
      <c r="S37" s="3691"/>
      <c r="T37" s="3691">
        <f>G37</f>
        <v>0</v>
      </c>
      <c r="U37" s="3691"/>
      <c r="V37" s="3691">
        <f>I37</f>
        <v>0</v>
      </c>
      <c r="W37" s="3691"/>
      <c r="X37" s="689"/>
      <c r="Y37" s="711"/>
      <c r="Z37" s="689"/>
      <c r="AA37" s="689"/>
      <c r="AB37" s="689"/>
      <c r="AC37" s="689"/>
    </row>
    <row r="38" spans="1:29" ht="15.75" thickBot="1">
      <c r="A38" s="437" t="s">
        <v>1845</v>
      </c>
      <c r="B38" s="438" t="str">
        <f>B37</f>
        <v>元/平方米</v>
      </c>
      <c r="C38" s="1159" t="e">
        <f>R39</f>
        <v>#DIV/0!</v>
      </c>
      <c r="D38" s="2314" t="s">
        <v>2137</v>
      </c>
      <c r="E38" s="1160" t="e">
        <f>R38</f>
        <v>#DIV/0!</v>
      </c>
      <c r="F38" s="2315"/>
      <c r="G38" s="1159" t="e">
        <f>T38</f>
        <v>#DIV/0!</v>
      </c>
      <c r="H38" s="2315"/>
      <c r="I38" s="1160" t="e">
        <f>V38</f>
        <v>#DIV/0!</v>
      </c>
      <c r="J38" s="2315"/>
      <c r="K38" s="2317">
        <f>F38+H38+J38</f>
        <v>0</v>
      </c>
      <c r="L38" s="2721"/>
      <c r="M38" s="2722"/>
      <c r="N38" s="2722"/>
      <c r="O38" s="2722"/>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1"/>
      <c r="M39" s="2722"/>
      <c r="N39" s="2722"/>
      <c r="O39" s="2722"/>
      <c r="P39" s="3692" t="str">
        <f>A39</f>
        <v>估价对象XX用房的比较价值（楼面单价，元/平方米）</v>
      </c>
      <c r="Q39" s="3693"/>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2024-6</v>
      </c>
      <c r="D48" s="1183">
        <f>EDATE(C48,-1)</f>
        <v>45413</v>
      </c>
      <c r="E48" s="1183">
        <f t="shared" ref="E48:O48" si="16">EDATE(D48,-1)</f>
        <v>45383</v>
      </c>
      <c r="F48" s="1183">
        <f t="shared" si="16"/>
        <v>45352</v>
      </c>
      <c r="G48" s="1183">
        <f t="shared" si="16"/>
        <v>45323</v>
      </c>
      <c r="H48" s="1183">
        <f t="shared" si="16"/>
        <v>45292</v>
      </c>
      <c r="I48" s="1183">
        <f t="shared" si="16"/>
        <v>45261</v>
      </c>
      <c r="J48" s="1183">
        <f t="shared" si="16"/>
        <v>45231</v>
      </c>
      <c r="K48" s="1183">
        <f t="shared" si="16"/>
        <v>45200</v>
      </c>
      <c r="L48" s="1183">
        <f t="shared" si="16"/>
        <v>45170</v>
      </c>
      <c r="M48" s="1183">
        <f t="shared" si="16"/>
        <v>45139</v>
      </c>
      <c r="N48" s="1183">
        <f t="shared" si="16"/>
        <v>45108</v>
      </c>
      <c r="O48" s="1183">
        <f t="shared" si="16"/>
        <v>45078</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7" t="s">
        <v>1799</v>
      </c>
      <c r="D67" s="607" t="s">
        <v>1800</v>
      </c>
      <c r="E67" s="607" t="s">
        <v>1801</v>
      </c>
      <c r="F67" s="607" t="s">
        <v>1802</v>
      </c>
      <c r="G67" s="607"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2712"/>
      <c r="M5" s="2713"/>
      <c r="N5" s="2713"/>
      <c r="O5" s="2713"/>
      <c r="P5" s="3674"/>
      <c r="Q5" s="3675"/>
      <c r="R5" s="3657"/>
      <c r="S5" s="3658"/>
      <c r="T5" s="3657"/>
      <c r="U5" s="3658"/>
      <c r="V5" s="3652"/>
      <c r="W5" s="3652"/>
      <c r="X5" s="1353"/>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2712"/>
      <c r="M6" s="2713"/>
      <c r="N6" s="2713"/>
      <c r="O6" s="2713"/>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45449</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53" t="s">
        <v>1680</v>
      </c>
      <c r="Q7" s="3680"/>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53" t="s">
        <v>1683</v>
      </c>
      <c r="Q8" s="3654"/>
      <c r="R8" s="700" t="s">
        <v>14</v>
      </c>
      <c r="S8" s="701">
        <f t="shared" si="0"/>
        <v>100</v>
      </c>
      <c r="T8" s="700" t="s">
        <v>14</v>
      </c>
      <c r="U8" s="701">
        <f t="shared" si="1"/>
        <v>100</v>
      </c>
      <c r="V8" s="700" t="s">
        <v>14</v>
      </c>
      <c r="W8" s="701">
        <f t="shared" si="2"/>
        <v>100</v>
      </c>
      <c r="X8" s="702"/>
      <c r="Y8" s="3653" t="s">
        <v>1683</v>
      </c>
      <c r="Z8" s="365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0" t="s">
        <v>1686</v>
      </c>
      <c r="Q9" s="1341"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0"/>
      <c r="Q11" s="1341">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3" t="s">
        <v>1691</v>
      </c>
      <c r="Q14" s="1350" t="str">
        <f t="shared" si="6"/>
        <v>交通便捷度</v>
      </c>
      <c r="R14" s="704" t="s">
        <v>14</v>
      </c>
      <c r="S14" s="705">
        <f t="shared" si="0"/>
        <v>100</v>
      </c>
      <c r="T14" s="704" t="s">
        <v>14</v>
      </c>
      <c r="U14" s="705">
        <f t="shared" si="1"/>
        <v>100</v>
      </c>
      <c r="V14" s="704" t="s">
        <v>14</v>
      </c>
      <c r="W14" s="705">
        <f t="shared" si="2"/>
        <v>100</v>
      </c>
      <c r="X14" s="1353"/>
      <c r="Y14" s="368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684"/>
      <c r="Q15" s="1350"/>
      <c r="R15" s="704"/>
      <c r="S15" s="705"/>
      <c r="T15" s="704"/>
      <c r="U15" s="705"/>
      <c r="V15" s="704"/>
      <c r="W15" s="705"/>
      <c r="X15" s="1353"/>
      <c r="Y15" s="3684"/>
      <c r="Z15" s="1354"/>
      <c r="AA15" s="1351">
        <v>1</v>
      </c>
      <c r="AB15" s="1351">
        <v>1</v>
      </c>
      <c r="AC15" s="1351">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4"/>
      <c r="Q16" s="1350" t="str">
        <f>B16</f>
        <v>公共配套设施</v>
      </c>
      <c r="R16" s="704" t="s">
        <v>14</v>
      </c>
      <c r="S16" s="705">
        <f>F16</f>
        <v>100</v>
      </c>
      <c r="T16" s="704" t="s">
        <v>14</v>
      </c>
      <c r="U16" s="705">
        <f>H16</f>
        <v>100</v>
      </c>
      <c r="V16" s="704" t="s">
        <v>14</v>
      </c>
      <c r="W16" s="705">
        <f>J16</f>
        <v>100</v>
      </c>
      <c r="X16" s="1353"/>
      <c r="Y16" s="3684"/>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719"/>
      <c r="M17" s="2713"/>
      <c r="N17" s="2713"/>
      <c r="O17" s="2771"/>
      <c r="P17" s="3684"/>
      <c r="Q17" s="1350"/>
      <c r="R17" s="704"/>
      <c r="S17" s="705"/>
      <c r="T17" s="704"/>
      <c r="U17" s="705"/>
      <c r="V17" s="704"/>
      <c r="W17" s="705"/>
      <c r="X17" s="1353"/>
      <c r="Y17" s="3684"/>
      <c r="Z17" s="1354"/>
      <c r="AA17" s="1351">
        <v>1</v>
      </c>
      <c r="AB17" s="1351">
        <v>1</v>
      </c>
      <c r="AC17" s="1351">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4"/>
      <c r="Q18" s="1350" t="str">
        <f>B18</f>
        <v>基础设施水平</v>
      </c>
      <c r="R18" s="704" t="s">
        <v>14</v>
      </c>
      <c r="S18" s="705">
        <f>F18</f>
        <v>100</v>
      </c>
      <c r="T18" s="704" t="s">
        <v>14</v>
      </c>
      <c r="U18" s="705">
        <f>H18</f>
        <v>100</v>
      </c>
      <c r="V18" s="704" t="s">
        <v>14</v>
      </c>
      <c r="W18" s="705">
        <f>J18</f>
        <v>100</v>
      </c>
      <c r="X18" s="1353"/>
      <c r="Y18" s="3684"/>
      <c r="Z18" s="1354" t="str">
        <f>Q18</f>
        <v>基础设施水平</v>
      </c>
      <c r="AA18" s="1351">
        <f t="shared" ref="AA18" si="8">D18/F18</f>
        <v>1</v>
      </c>
      <c r="AB18" s="1351">
        <f t="shared" ref="AB18" si="9">D18/H18</f>
        <v>1</v>
      </c>
      <c r="AC18" s="1351">
        <f t="shared" ref="AC18" si="10">D18/J18</f>
        <v>1</v>
      </c>
    </row>
    <row r="19" spans="1:29" ht="15">
      <c r="A19" s="379"/>
      <c r="B19" s="1130"/>
      <c r="C19" s="1898"/>
      <c r="D19" s="401"/>
      <c r="E19" s="1898"/>
      <c r="F19" s="404"/>
      <c r="G19" s="1898"/>
      <c r="H19" s="399"/>
      <c r="I19" s="398"/>
      <c r="J19" s="399"/>
      <c r="K19" s="1129"/>
      <c r="L19" s="2719"/>
      <c r="M19" s="2713"/>
      <c r="N19" s="2713"/>
      <c r="O19" s="2771"/>
      <c r="P19" s="3684"/>
      <c r="Q19" s="1350"/>
      <c r="R19" s="704"/>
      <c r="S19" s="705"/>
      <c r="T19" s="704"/>
      <c r="U19" s="705"/>
      <c r="V19" s="704"/>
      <c r="W19" s="705"/>
      <c r="X19" s="1353"/>
      <c r="Y19" s="3684"/>
      <c r="Z19" s="1354"/>
      <c r="AA19" s="1351">
        <v>1</v>
      </c>
      <c r="AB19" s="1351">
        <v>1</v>
      </c>
      <c r="AC19" s="1351">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4"/>
      <c r="Q20" s="1350" t="str">
        <f>B20</f>
        <v>自然及人文环境</v>
      </c>
      <c r="R20" s="704" t="s">
        <v>14</v>
      </c>
      <c r="S20" s="705">
        <f>F20</f>
        <v>100</v>
      </c>
      <c r="T20" s="704" t="s">
        <v>14</v>
      </c>
      <c r="U20" s="705">
        <f>H20</f>
        <v>100</v>
      </c>
      <c r="V20" s="704" t="s">
        <v>14</v>
      </c>
      <c r="W20" s="705">
        <f>J20</f>
        <v>100</v>
      </c>
      <c r="X20" s="1353"/>
      <c r="Y20" s="368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684"/>
      <c r="Q21" s="1350"/>
      <c r="R21" s="704"/>
      <c r="S21" s="705"/>
      <c r="T21" s="704"/>
      <c r="U21" s="705"/>
      <c r="V21" s="704"/>
      <c r="W21" s="705"/>
      <c r="X21" s="1353"/>
      <c r="Y21" s="368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4"/>
      <c r="Q22" s="1350" t="str">
        <f>B22</f>
        <v>楼层</v>
      </c>
      <c r="R22" s="704" t="s">
        <v>14</v>
      </c>
      <c r="S22" s="705">
        <f>F22</f>
        <v>100</v>
      </c>
      <c r="T22" s="704" t="s">
        <v>14</v>
      </c>
      <c r="U22" s="705">
        <f>H22</f>
        <v>100</v>
      </c>
      <c r="V22" s="704" t="s">
        <v>14</v>
      </c>
      <c r="W22" s="705">
        <f>J22</f>
        <v>100</v>
      </c>
      <c r="X22" s="1353"/>
      <c r="Y22" s="3684"/>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4"/>
      <c r="Q23" s="1350">
        <f>B23</f>
        <v>111</v>
      </c>
      <c r="R23" s="704" t="s">
        <v>14</v>
      </c>
      <c r="S23" s="705">
        <f>F23</f>
        <v>100</v>
      </c>
      <c r="T23" s="704" t="s">
        <v>14</v>
      </c>
      <c r="U23" s="705">
        <f>H23</f>
        <v>100</v>
      </c>
      <c r="V23" s="704" t="s">
        <v>14</v>
      </c>
      <c r="W23" s="705">
        <f>J23</f>
        <v>100</v>
      </c>
      <c r="X23" s="1353"/>
      <c r="Y23" s="3684"/>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4"/>
      <c r="Q24" s="1350">
        <f t="shared" ref="Q24:Q34" si="11">B24</f>
        <v>111</v>
      </c>
      <c r="R24" s="704" t="s">
        <v>14</v>
      </c>
      <c r="S24" s="705">
        <f>F24</f>
        <v>100</v>
      </c>
      <c r="T24" s="704" t="s">
        <v>14</v>
      </c>
      <c r="U24" s="705">
        <f>H24</f>
        <v>100</v>
      </c>
      <c r="V24" s="704" t="s">
        <v>14</v>
      </c>
      <c r="W24" s="705">
        <f>J24</f>
        <v>100</v>
      </c>
      <c r="X24" s="1353"/>
      <c r="Y24" s="3684"/>
      <c r="Z24" s="1354">
        <f>Q24</f>
        <v>111</v>
      </c>
      <c r="AA24" s="1351">
        <f t="shared" si="3"/>
        <v>1</v>
      </c>
      <c r="AB24" s="1351">
        <f t="shared" si="4"/>
        <v>1</v>
      </c>
      <c r="AC24" s="1351">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4"/>
      <c r="M25" s="2715"/>
      <c r="N25" s="2715"/>
      <c r="O25" s="2769"/>
      <c r="P25" s="3684"/>
      <c r="Q25" s="1341">
        <f t="shared" si="11"/>
        <v>111</v>
      </c>
      <c r="R25" s="700" t="s">
        <v>14</v>
      </c>
      <c r="S25" s="701">
        <f>F25</f>
        <v>100</v>
      </c>
      <c r="T25" s="700" t="s">
        <v>14</v>
      </c>
      <c r="U25" s="701">
        <f>H25</f>
        <v>100</v>
      </c>
      <c r="V25" s="700" t="s">
        <v>14</v>
      </c>
      <c r="W25" s="701">
        <f>J25</f>
        <v>100</v>
      </c>
      <c r="X25" s="702"/>
      <c r="Y25" s="3684"/>
      <c r="Z25" s="52">
        <f>Q25</f>
        <v>111</v>
      </c>
      <c r="AA25" s="1351">
        <f>D25/F25</f>
        <v>1</v>
      </c>
      <c r="AB25" s="1351">
        <f>D25/H25</f>
        <v>1</v>
      </c>
      <c r="AC25" s="1351">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9"/>
      <c r="M26" s="2713"/>
      <c r="N26" s="2713"/>
      <c r="O26" s="2771"/>
      <c r="P26" s="3731"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8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88"/>
      <c r="Q27" s="706" t="str">
        <f t="shared" si="11"/>
        <v>成新率</v>
      </c>
      <c r="R27" s="707" t="s">
        <v>14</v>
      </c>
      <c r="S27" s="708" t="e">
        <f t="shared" si="12"/>
        <v>#N/A</v>
      </c>
      <c r="T27" s="707" t="s">
        <v>14</v>
      </c>
      <c r="U27" s="708" t="e">
        <f t="shared" si="13"/>
        <v>#N/A</v>
      </c>
      <c r="V27" s="707" t="s">
        <v>14</v>
      </c>
      <c r="W27" s="708" t="e">
        <f t="shared" si="14"/>
        <v>#N/A</v>
      </c>
      <c r="X27" s="709"/>
      <c r="Y27" s="3688"/>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88"/>
      <c r="Q28" s="1350" t="str">
        <f t="shared" si="11"/>
        <v>物业等级</v>
      </c>
      <c r="R28" s="704" t="s">
        <v>14</v>
      </c>
      <c r="S28" s="705">
        <f t="shared" si="12"/>
        <v>100</v>
      </c>
      <c r="T28" s="704" t="s">
        <v>14</v>
      </c>
      <c r="U28" s="705">
        <f t="shared" si="13"/>
        <v>100</v>
      </c>
      <c r="V28" s="704" t="s">
        <v>14</v>
      </c>
      <c r="W28" s="705">
        <f t="shared" si="14"/>
        <v>100</v>
      </c>
      <c r="X28" s="1353"/>
      <c r="Y28" s="3688"/>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688"/>
      <c r="Q29" s="1350" t="str">
        <f t="shared" si="11"/>
        <v>有无电梯</v>
      </c>
      <c r="R29" s="704" t="s">
        <v>14</v>
      </c>
      <c r="S29" s="705">
        <f t="shared" si="12"/>
        <v>100</v>
      </c>
      <c r="T29" s="704" t="s">
        <v>14</v>
      </c>
      <c r="U29" s="705">
        <f t="shared" si="13"/>
        <v>100</v>
      </c>
      <c r="V29" s="704" t="s">
        <v>14</v>
      </c>
      <c r="W29" s="705">
        <f t="shared" si="14"/>
        <v>100</v>
      </c>
      <c r="X29" s="1353"/>
      <c r="Y29" s="368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88"/>
      <c r="Q30" s="1350" t="str">
        <f t="shared" si="11"/>
        <v>建筑面积</v>
      </c>
      <c r="R30" s="704" t="s">
        <v>14</v>
      </c>
      <c r="S30" s="705" t="e">
        <f t="shared" si="12"/>
        <v>#N/A</v>
      </c>
      <c r="T30" s="704" t="s">
        <v>14</v>
      </c>
      <c r="U30" s="705" t="e">
        <f t="shared" si="13"/>
        <v>#N/A</v>
      </c>
      <c r="V30" s="704" t="s">
        <v>14</v>
      </c>
      <c r="W30" s="705" t="e">
        <f t="shared" si="14"/>
        <v>#N/A</v>
      </c>
      <c r="X30" s="1353"/>
      <c r="Y30" s="3688"/>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688"/>
      <c r="Q31" s="1341" t="str">
        <f t="shared" si="11"/>
        <v>是否封闭</v>
      </c>
      <c r="R31" s="700" t="s">
        <v>14</v>
      </c>
      <c r="S31" s="701">
        <f t="shared" si="12"/>
        <v>100</v>
      </c>
      <c r="T31" s="700" t="s">
        <v>14</v>
      </c>
      <c r="U31" s="701">
        <f t="shared" si="13"/>
        <v>100</v>
      </c>
      <c r="V31" s="700" t="s">
        <v>14</v>
      </c>
      <c r="W31" s="701">
        <f t="shared" si="14"/>
        <v>100</v>
      </c>
      <c r="X31" s="702"/>
      <c r="Y31" s="3688"/>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88" t="s">
        <v>1696</v>
      </c>
      <c r="Q32" s="1350">
        <f t="shared" si="11"/>
        <v>111</v>
      </c>
      <c r="R32" s="704" t="s">
        <v>14</v>
      </c>
      <c r="S32" s="705">
        <f t="shared" si="12"/>
        <v>100</v>
      </c>
      <c r="T32" s="704" t="s">
        <v>14</v>
      </c>
      <c r="U32" s="705">
        <f t="shared" si="13"/>
        <v>100</v>
      </c>
      <c r="V32" s="704" t="s">
        <v>14</v>
      </c>
      <c r="W32" s="705">
        <f t="shared" si="14"/>
        <v>100</v>
      </c>
      <c r="X32" s="1353"/>
      <c r="Y32" s="3688" t="s">
        <v>1696</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88"/>
      <c r="Q33" s="1350">
        <f t="shared" si="11"/>
        <v>111</v>
      </c>
      <c r="R33" s="704" t="s">
        <v>14</v>
      </c>
      <c r="S33" s="705">
        <f t="shared" si="12"/>
        <v>100</v>
      </c>
      <c r="T33" s="704" t="s">
        <v>14</v>
      </c>
      <c r="U33" s="705">
        <f t="shared" si="13"/>
        <v>100</v>
      </c>
      <c r="V33" s="704" t="s">
        <v>14</v>
      </c>
      <c r="W33" s="705">
        <f t="shared" si="14"/>
        <v>100</v>
      </c>
      <c r="X33" s="1353"/>
      <c r="Y33" s="3688"/>
      <c r="Z33" s="1354">
        <f t="shared" si="15"/>
        <v>111</v>
      </c>
      <c r="AA33" s="1351">
        <f t="shared" si="3"/>
        <v>1</v>
      </c>
      <c r="AB33" s="1351">
        <f t="shared" si="4"/>
        <v>1</v>
      </c>
      <c r="AC33" s="1351">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88"/>
      <c r="Q34" s="1350">
        <f t="shared" si="11"/>
        <v>111</v>
      </c>
      <c r="R34" s="704" t="s">
        <v>14</v>
      </c>
      <c r="S34" s="705">
        <f t="shared" si="12"/>
        <v>100</v>
      </c>
      <c r="T34" s="704" t="s">
        <v>14</v>
      </c>
      <c r="U34" s="705">
        <f t="shared" si="13"/>
        <v>100</v>
      </c>
      <c r="V34" s="704" t="s">
        <v>14</v>
      </c>
      <c r="W34" s="705">
        <f t="shared" si="14"/>
        <v>100</v>
      </c>
      <c r="X34" s="1353"/>
      <c r="Y34" s="3688"/>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1"/>
      <c r="M35" s="2722"/>
      <c r="N35" s="2713"/>
      <c r="O35" s="2722"/>
      <c r="P35" s="3690" t="str">
        <f>A35</f>
        <v>成交单价（元/平方米）</v>
      </c>
      <c r="Q35" s="3690"/>
      <c r="R35" s="3691">
        <f>E35</f>
        <v>0</v>
      </c>
      <c r="S35" s="3691"/>
      <c r="T35" s="3691">
        <f>G35</f>
        <v>0</v>
      </c>
      <c r="U35" s="3691"/>
      <c r="V35" s="3691">
        <f>I35</f>
        <v>0</v>
      </c>
      <c r="W35" s="3691"/>
      <c r="X35" s="689"/>
      <c r="Y35" s="711"/>
      <c r="Z35" s="689"/>
      <c r="AA35" s="689"/>
      <c r="AB35" s="689"/>
      <c r="AC35" s="689"/>
    </row>
    <row r="36" spans="1:30" ht="15.75" thickBot="1">
      <c r="A36" s="437" t="s">
        <v>1793</v>
      </c>
      <c r="B36" s="438"/>
      <c r="C36" s="1159" t="e">
        <f>R37</f>
        <v>#DIV/0!</v>
      </c>
      <c r="D36" s="2314" t="s">
        <v>2137</v>
      </c>
      <c r="E36" s="1160" t="e">
        <f>R36</f>
        <v>#DIV/0!</v>
      </c>
      <c r="F36" s="2315"/>
      <c r="G36" s="1159" t="e">
        <f>T36</f>
        <v>#DIV/0!</v>
      </c>
      <c r="H36" s="2315"/>
      <c r="I36" s="1160" t="e">
        <f>V36</f>
        <v>#DIV/0!</v>
      </c>
      <c r="J36" s="2315"/>
      <c r="K36" s="2317">
        <f>F36+H36+J36</f>
        <v>0</v>
      </c>
      <c r="L36" s="2721"/>
      <c r="M36" s="2722"/>
      <c r="N36" s="2713"/>
      <c r="O36" s="2722"/>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692" t="str">
        <f>A37</f>
        <v>估价对象XX用房的比较价值（楼面单价，元/平方米）</v>
      </c>
      <c r="Q37" s="3693"/>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2024-6</v>
      </c>
      <c r="D46" s="1183">
        <f>EDATE(C46,-1)</f>
        <v>45413</v>
      </c>
      <c r="E46" s="1183">
        <f t="shared" ref="E46:O46" si="16">EDATE(D46,-1)</f>
        <v>45383</v>
      </c>
      <c r="F46" s="1183">
        <f t="shared" si="16"/>
        <v>45352</v>
      </c>
      <c r="G46" s="1183">
        <f t="shared" si="16"/>
        <v>45323</v>
      </c>
      <c r="H46" s="1183">
        <f t="shared" si="16"/>
        <v>45292</v>
      </c>
      <c r="I46" s="1183">
        <f t="shared" si="16"/>
        <v>45261</v>
      </c>
      <c r="J46" s="1183">
        <f t="shared" si="16"/>
        <v>45231</v>
      </c>
      <c r="K46" s="1183">
        <f t="shared" si="16"/>
        <v>45200</v>
      </c>
      <c r="L46" s="1183">
        <f t="shared" si="16"/>
        <v>45170</v>
      </c>
      <c r="M46" s="1183">
        <f t="shared" si="16"/>
        <v>45139</v>
      </c>
      <c r="N46" s="1183">
        <f t="shared" si="16"/>
        <v>45108</v>
      </c>
      <c r="O46" s="1183">
        <f t="shared" si="16"/>
        <v>45078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7" t="s">
        <v>1799</v>
      </c>
      <c r="D65" s="607" t="s">
        <v>1800</v>
      </c>
      <c r="E65" s="607" t="s">
        <v>1801</v>
      </c>
      <c r="F65" s="607" t="s">
        <v>1802</v>
      </c>
      <c r="G65" s="607"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668" t="s">
        <v>1770</v>
      </c>
      <c r="D4" s="3669"/>
      <c r="E4" s="3670" t="s">
        <v>1771</v>
      </c>
      <c r="F4" s="3671"/>
      <c r="G4" s="3668" t="s">
        <v>1772</v>
      </c>
      <c r="H4" s="3669"/>
      <c r="I4" s="3668" t="s">
        <v>1773</v>
      </c>
      <c r="J4" s="3669"/>
      <c r="K4" s="559" t="s">
        <v>1774</v>
      </c>
      <c r="L4" s="2712"/>
      <c r="M4" s="2713"/>
      <c r="N4" s="2713"/>
      <c r="O4" s="2713"/>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30" ht="15">
      <c r="A5" s="358"/>
      <c r="B5" s="359"/>
      <c r="C5" s="3661" t="s">
        <v>1673</v>
      </c>
      <c r="D5" s="3662"/>
      <c r="E5" s="3659" t="s">
        <v>1674</v>
      </c>
      <c r="F5" s="3660"/>
      <c r="G5" s="3661" t="s">
        <v>1675</v>
      </c>
      <c r="H5" s="3662"/>
      <c r="I5" s="3661" t="s">
        <v>1676</v>
      </c>
      <c r="J5" s="3662"/>
      <c r="K5" s="559"/>
      <c r="L5" s="2712"/>
      <c r="M5" s="2713"/>
      <c r="N5" s="2713"/>
      <c r="O5" s="2713"/>
      <c r="P5" s="3674"/>
      <c r="Q5" s="3675"/>
      <c r="R5" s="3657"/>
      <c r="S5" s="3658"/>
      <c r="T5" s="3657"/>
      <c r="U5" s="3658"/>
      <c r="V5" s="3652"/>
      <c r="W5" s="3652"/>
      <c r="X5" s="1353"/>
      <c r="Y5" s="3657"/>
      <c r="Z5" s="3658"/>
      <c r="AA5" s="3650"/>
      <c r="AB5" s="3650"/>
      <c r="AC5" s="3650"/>
    </row>
    <row r="6" spans="1:30" ht="15.75" thickBot="1">
      <c r="A6" s="360"/>
      <c r="B6" s="361"/>
      <c r="C6" s="3663" t="s">
        <v>1677</v>
      </c>
      <c r="D6" s="3664"/>
      <c r="E6" s="3665" t="s">
        <v>1677</v>
      </c>
      <c r="F6" s="3666"/>
      <c r="G6" s="3663" t="s">
        <v>1677</v>
      </c>
      <c r="H6" s="3664"/>
      <c r="I6" s="3663" t="s">
        <v>1677</v>
      </c>
      <c r="J6" s="3664"/>
      <c r="K6" s="559" t="s">
        <v>1678</v>
      </c>
      <c r="L6" s="2712"/>
      <c r="M6" s="2713"/>
      <c r="N6" s="2713"/>
      <c r="O6" s="2713"/>
      <c r="P6" s="3676"/>
      <c r="Q6" s="3677"/>
      <c r="R6" s="3657"/>
      <c r="S6" s="3658"/>
      <c r="T6" s="3678"/>
      <c r="U6" s="3679"/>
      <c r="V6" s="3652"/>
      <c r="W6" s="3652"/>
      <c r="X6" s="1353"/>
      <c r="Y6" s="3678"/>
      <c r="Z6" s="3679"/>
      <c r="AA6" s="3651"/>
      <c r="AB6" s="3651"/>
      <c r="AC6" s="3651"/>
    </row>
    <row r="7" spans="1:30" s="108" customFormat="1" ht="15.75" thickBot="1">
      <c r="A7" s="362" t="s">
        <v>1679</v>
      </c>
      <c r="B7" s="363"/>
      <c r="C7" s="364">
        <f>'数据-取费表'!B2</f>
        <v>45449</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53"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53" t="s">
        <v>1683</v>
      </c>
      <c r="Q8" s="3654"/>
      <c r="R8" s="700" t="s">
        <v>14</v>
      </c>
      <c r="S8" s="701">
        <f t="shared" si="0"/>
        <v>0</v>
      </c>
      <c r="T8" s="700" t="s">
        <v>14</v>
      </c>
      <c r="U8" s="701">
        <f t="shared" si="1"/>
        <v>0</v>
      </c>
      <c r="V8" s="700" t="s">
        <v>14</v>
      </c>
      <c r="W8" s="701">
        <f t="shared" si="2"/>
        <v>0</v>
      </c>
      <c r="X8" s="702"/>
      <c r="Y8" s="3653" t="s">
        <v>1683</v>
      </c>
      <c r="Z8" s="3654"/>
      <c r="AA8" s="703" t="e">
        <f t="shared" ref="AA8:AA45" si="3">D8/F8</f>
        <v>#DIV/0!</v>
      </c>
      <c r="AB8" s="703" t="e">
        <f t="shared" ref="AB8:AB45" si="4">D8/H8</f>
        <v>#DIV/0!</v>
      </c>
      <c r="AC8" s="703"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90"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19"/>
      <c r="L10" s="2716"/>
      <c r="M10" s="2717"/>
      <c r="N10" s="2717"/>
      <c r="O10" s="2770"/>
      <c r="P10" s="3690"/>
      <c r="Q10" s="1341" t="str">
        <f t="shared" si="6"/>
        <v>土地使用年限（年）</v>
      </c>
      <c r="R10" s="700" t="s">
        <v>14</v>
      </c>
      <c r="S10" s="701">
        <f t="shared" si="0"/>
        <v>108</v>
      </c>
      <c r="T10" s="700" t="s">
        <v>14</v>
      </c>
      <c r="U10" s="701">
        <f t="shared" si="1"/>
        <v>108</v>
      </c>
      <c r="V10" s="700" t="s">
        <v>14</v>
      </c>
      <c r="W10" s="701">
        <f t="shared" si="2"/>
        <v>108</v>
      </c>
      <c r="X10" s="702"/>
      <c r="Y10" s="3617"/>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690"/>
      <c r="Q11" s="1341"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690"/>
      <c r="Q12" s="1341" t="str">
        <f t="shared" si="6"/>
        <v>配建</v>
      </c>
      <c r="R12" s="700" t="s">
        <v>14</v>
      </c>
      <c r="S12" s="701">
        <f t="shared" si="0"/>
        <v>100</v>
      </c>
      <c r="T12" s="700" t="s">
        <v>14</v>
      </c>
      <c r="U12" s="701">
        <f t="shared" si="1"/>
        <v>100</v>
      </c>
      <c r="V12" s="700" t="s">
        <v>14</v>
      </c>
      <c r="W12" s="701">
        <f t="shared" si="2"/>
        <v>100</v>
      </c>
      <c r="X12" s="702"/>
      <c r="Y12" s="3617"/>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690"/>
      <c r="Q14" s="1341">
        <f t="shared" si="6"/>
        <v>111</v>
      </c>
      <c r="R14" s="700" t="s">
        <v>14</v>
      </c>
      <c r="S14" s="701">
        <f t="shared" si="0"/>
        <v>100</v>
      </c>
      <c r="T14" s="700" t="s">
        <v>14</v>
      </c>
      <c r="U14" s="701">
        <f t="shared" si="1"/>
        <v>100</v>
      </c>
      <c r="V14" s="700" t="s">
        <v>14</v>
      </c>
      <c r="W14" s="701">
        <f t="shared" si="2"/>
        <v>100</v>
      </c>
      <c r="X14" s="702"/>
      <c r="Y14" s="3617"/>
      <c r="Z14" s="52">
        <f t="shared" si="7"/>
        <v>111</v>
      </c>
      <c r="AA14" s="703">
        <f>D14/F14</f>
        <v>1</v>
      </c>
      <c r="AB14" s="703">
        <f>D14/H14</f>
        <v>1</v>
      </c>
      <c r="AC14" s="703">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683" t="s">
        <v>1691</v>
      </c>
      <c r="Q15" s="1350" t="str">
        <f t="shared" si="6"/>
        <v>居住社区成熟度</v>
      </c>
      <c r="R15" s="704" t="s">
        <v>14</v>
      </c>
      <c r="S15" s="705">
        <f t="shared" si="0"/>
        <v>100</v>
      </c>
      <c r="T15" s="704" t="s">
        <v>14</v>
      </c>
      <c r="U15" s="705">
        <f t="shared" si="1"/>
        <v>100</v>
      </c>
      <c r="V15" s="704" t="s">
        <v>14</v>
      </c>
      <c r="W15" s="705">
        <f t="shared" si="2"/>
        <v>100</v>
      </c>
      <c r="X15" s="1353"/>
      <c r="Y15" s="3683" t="s">
        <v>1691</v>
      </c>
      <c r="Z15" s="1354" t="str">
        <f t="shared" si="7"/>
        <v>居住社区成熟度</v>
      </c>
      <c r="AA15" s="1351">
        <f t="shared" si="3"/>
        <v>1</v>
      </c>
      <c r="AB15" s="1351">
        <f t="shared" si="4"/>
        <v>1</v>
      </c>
      <c r="AC15" s="1351">
        <f t="shared" si="5"/>
        <v>1</v>
      </c>
    </row>
    <row r="16" spans="1:30" ht="15">
      <c r="A16" s="379"/>
      <c r="B16" s="397"/>
      <c r="C16" s="398"/>
      <c r="D16" s="399"/>
      <c r="E16" s="1895"/>
      <c r="F16" s="399"/>
      <c r="G16" s="1895"/>
      <c r="H16" s="401"/>
      <c r="I16" s="1894"/>
      <c r="J16" s="399"/>
      <c r="K16" s="619"/>
      <c r="L16" s="2719"/>
      <c r="M16" s="2713"/>
      <c r="N16" s="2713"/>
      <c r="O16" s="2771"/>
      <c r="P16" s="3684"/>
      <c r="Q16" s="1350"/>
      <c r="R16" s="704"/>
      <c r="S16" s="705"/>
      <c r="T16" s="704"/>
      <c r="U16" s="705"/>
      <c r="V16" s="704"/>
      <c r="W16" s="705"/>
      <c r="X16" s="1353"/>
      <c r="Y16" s="3684"/>
      <c r="Z16" s="1354"/>
      <c r="AA16" s="1351">
        <v>1</v>
      </c>
      <c r="AB16" s="1351">
        <v>1</v>
      </c>
      <c r="AC16" s="1351">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684"/>
      <c r="Q17" s="1350" t="str">
        <f>B17</f>
        <v>商业繁华度</v>
      </c>
      <c r="R17" s="704" t="s">
        <v>14</v>
      </c>
      <c r="S17" s="705">
        <f>F17</f>
        <v>100</v>
      </c>
      <c r="T17" s="704" t="s">
        <v>14</v>
      </c>
      <c r="U17" s="705">
        <f>H17</f>
        <v>100</v>
      </c>
      <c r="V17" s="704" t="s">
        <v>14</v>
      </c>
      <c r="W17" s="705">
        <f>J17</f>
        <v>100</v>
      </c>
      <c r="X17" s="1353"/>
      <c r="Y17" s="3684"/>
      <c r="Z17" s="1354" t="str">
        <f>Q17</f>
        <v>商业繁华度</v>
      </c>
      <c r="AA17" s="1351">
        <f t="shared" si="3"/>
        <v>1</v>
      </c>
      <c r="AB17" s="1351">
        <f t="shared" si="4"/>
        <v>1</v>
      </c>
      <c r="AC17" s="1351">
        <f t="shared" si="5"/>
        <v>1</v>
      </c>
    </row>
    <row r="18" spans="1:29" ht="15">
      <c r="A18" s="379"/>
      <c r="B18" s="407"/>
      <c r="C18" s="1898"/>
      <c r="D18" s="401"/>
      <c r="E18" s="1900"/>
      <c r="F18" s="401"/>
      <c r="G18" s="1900"/>
      <c r="H18" s="399"/>
      <c r="I18" s="1899"/>
      <c r="J18" s="399"/>
      <c r="K18" s="619"/>
      <c r="L18" s="2719"/>
      <c r="M18" s="2713"/>
      <c r="N18" s="2713"/>
      <c r="O18" s="2771"/>
      <c r="P18" s="3684"/>
      <c r="Q18" s="1350"/>
      <c r="R18" s="704"/>
      <c r="S18" s="705"/>
      <c r="T18" s="704"/>
      <c r="U18" s="705"/>
      <c r="V18" s="704"/>
      <c r="W18" s="705"/>
      <c r="X18" s="1353"/>
      <c r="Y18" s="3684"/>
      <c r="Z18" s="1354"/>
      <c r="AA18" s="1351">
        <v>1</v>
      </c>
      <c r="AB18" s="1351">
        <v>1</v>
      </c>
      <c r="AC18" s="1351">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684"/>
      <c r="Q19" s="1350" t="str">
        <f>B19</f>
        <v>办公集聚程度</v>
      </c>
      <c r="R19" s="704" t="s">
        <v>14</v>
      </c>
      <c r="S19" s="705">
        <f>F19</f>
        <v>100</v>
      </c>
      <c r="T19" s="704" t="s">
        <v>14</v>
      </c>
      <c r="U19" s="705">
        <f>H19</f>
        <v>100</v>
      </c>
      <c r="V19" s="704" t="s">
        <v>14</v>
      </c>
      <c r="W19" s="705">
        <f>J19</f>
        <v>100</v>
      </c>
      <c r="X19" s="1353"/>
      <c r="Y19" s="3684"/>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19"/>
      <c r="L20" s="2719"/>
      <c r="M20" s="2713"/>
      <c r="N20" s="2713"/>
      <c r="O20" s="2771"/>
      <c r="P20" s="3684"/>
      <c r="Q20" s="1350"/>
      <c r="R20" s="704"/>
      <c r="S20" s="705"/>
      <c r="T20" s="704"/>
      <c r="U20" s="705"/>
      <c r="V20" s="704"/>
      <c r="W20" s="705"/>
      <c r="X20" s="1353"/>
      <c r="Y20" s="3684"/>
      <c r="Z20" s="1354"/>
      <c r="AA20" s="1351">
        <v>1</v>
      </c>
      <c r="AB20" s="1351">
        <v>1</v>
      </c>
      <c r="AC20" s="1351">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684"/>
      <c r="Q21" s="1350" t="str">
        <f>B21</f>
        <v>交通便捷度</v>
      </c>
      <c r="R21" s="704" t="s">
        <v>14</v>
      </c>
      <c r="S21" s="705">
        <f>F21</f>
        <v>100</v>
      </c>
      <c r="T21" s="704" t="s">
        <v>14</v>
      </c>
      <c r="U21" s="705">
        <f>H21</f>
        <v>100</v>
      </c>
      <c r="V21" s="704" t="s">
        <v>14</v>
      </c>
      <c r="W21" s="705">
        <f>J21</f>
        <v>100</v>
      </c>
      <c r="X21" s="1353"/>
      <c r="Y21" s="3684"/>
      <c r="Z21" s="1354" t="str">
        <f>Q21</f>
        <v>交通便捷度</v>
      </c>
      <c r="AA21" s="1351">
        <f t="shared" si="3"/>
        <v>1</v>
      </c>
      <c r="AB21" s="1351">
        <f t="shared" si="4"/>
        <v>1</v>
      </c>
      <c r="AC21" s="1351">
        <f t="shared" si="5"/>
        <v>1</v>
      </c>
    </row>
    <row r="22" spans="1:29" ht="15">
      <c r="A22" s="379"/>
      <c r="B22" s="1130"/>
      <c r="C22" s="398"/>
      <c r="D22" s="401"/>
      <c r="E22" s="1895"/>
      <c r="F22" s="399"/>
      <c r="G22" s="1895"/>
      <c r="H22" s="399"/>
      <c r="I22" s="1894"/>
      <c r="J22" s="399"/>
      <c r="K22" s="619"/>
      <c r="L22" s="2719"/>
      <c r="M22" s="2713"/>
      <c r="N22" s="2713"/>
      <c r="O22" s="2771"/>
      <c r="P22" s="3684"/>
      <c r="Q22" s="1350"/>
      <c r="R22" s="704"/>
      <c r="S22" s="705"/>
      <c r="T22" s="704"/>
      <c r="U22" s="705"/>
      <c r="V22" s="704"/>
      <c r="W22" s="705"/>
      <c r="X22" s="1353"/>
      <c r="Y22" s="3684"/>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684"/>
      <c r="Q23" s="1350" t="str">
        <f t="shared" ref="Q23:Q37" si="8">B23</f>
        <v>区域土地利用方向</v>
      </c>
      <c r="R23" s="704" t="s">
        <v>14</v>
      </c>
      <c r="S23" s="705">
        <f>F23</f>
        <v>100</v>
      </c>
      <c r="T23" s="704" t="s">
        <v>14</v>
      </c>
      <c r="U23" s="705">
        <f>H23</f>
        <v>100</v>
      </c>
      <c r="V23" s="704" t="s">
        <v>14</v>
      </c>
      <c r="W23" s="705">
        <f>J23</f>
        <v>100</v>
      </c>
      <c r="X23" s="1353"/>
      <c r="Y23" s="3684"/>
      <c r="Z23" s="1354" t="str">
        <f>Q23</f>
        <v>区域土地利用方向</v>
      </c>
      <c r="AA23" s="1351">
        <f t="shared" si="3"/>
        <v>1</v>
      </c>
      <c r="AB23" s="1351">
        <f t="shared" si="4"/>
        <v>1</v>
      </c>
      <c r="AC23" s="1351">
        <f t="shared" si="5"/>
        <v>1</v>
      </c>
    </row>
    <row r="24" spans="1:29" ht="15">
      <c r="A24" s="358"/>
      <c r="B24" s="407"/>
      <c r="C24" s="565"/>
      <c r="D24" s="399"/>
      <c r="E24" s="1895"/>
      <c r="F24" s="399"/>
      <c r="G24" s="1894"/>
      <c r="H24" s="399"/>
      <c r="I24" s="1894"/>
      <c r="J24" s="399"/>
      <c r="K24" s="739"/>
      <c r="L24" s="2719"/>
      <c r="M24" s="2713"/>
      <c r="N24" s="2713"/>
      <c r="O24" s="2771"/>
      <c r="P24" s="3684"/>
      <c r="Q24" s="1350"/>
      <c r="R24" s="704"/>
      <c r="S24" s="705"/>
      <c r="T24" s="704"/>
      <c r="U24" s="705"/>
      <c r="V24" s="704"/>
      <c r="W24" s="705"/>
      <c r="X24" s="1353"/>
      <c r="Y24" s="3684"/>
      <c r="Z24" s="1354"/>
      <c r="AA24" s="1351"/>
      <c r="AB24" s="1351"/>
      <c r="AC24" s="1351"/>
    </row>
    <row r="25" spans="1:29" ht="57">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684"/>
      <c r="Q25" s="1350" t="str">
        <f t="shared" si="8"/>
        <v>自然及人文环境状况</v>
      </c>
      <c r="R25" s="704" t="s">
        <v>14</v>
      </c>
      <c r="S25" s="705">
        <f>F25</f>
        <v>100</v>
      </c>
      <c r="T25" s="704" t="s">
        <v>14</v>
      </c>
      <c r="U25" s="705">
        <f>H25</f>
        <v>100</v>
      </c>
      <c r="V25" s="704" t="s">
        <v>14</v>
      </c>
      <c r="W25" s="705">
        <f>J25</f>
        <v>100</v>
      </c>
      <c r="X25" s="1353"/>
      <c r="Y25" s="3684"/>
      <c r="Z25" s="1354" t="str">
        <f>Q25</f>
        <v>自然及人文环境状况</v>
      </c>
      <c r="AA25" s="1351">
        <f t="shared" si="3"/>
        <v>1</v>
      </c>
      <c r="AB25" s="1351">
        <f t="shared" si="4"/>
        <v>1</v>
      </c>
      <c r="AC25" s="1351">
        <f t="shared" si="5"/>
        <v>1</v>
      </c>
    </row>
    <row r="26" spans="1:29" ht="15">
      <c r="A26" s="358"/>
      <c r="B26" s="407"/>
      <c r="C26" s="398"/>
      <c r="D26" s="399"/>
      <c r="E26" s="1901"/>
      <c r="F26" s="399"/>
      <c r="G26" s="1901"/>
      <c r="H26" s="399"/>
      <c r="I26" s="398"/>
      <c r="J26" s="399"/>
      <c r="K26" s="619"/>
      <c r="L26" s="2719"/>
      <c r="M26" s="2713"/>
      <c r="N26" s="2713"/>
      <c r="O26" s="2771"/>
      <c r="P26" s="3684"/>
      <c r="Q26" s="1350"/>
      <c r="R26" s="704"/>
      <c r="S26" s="705"/>
      <c r="T26" s="704"/>
      <c r="U26" s="705"/>
      <c r="V26" s="704"/>
      <c r="W26" s="705"/>
      <c r="X26" s="1353"/>
      <c r="Y26" s="3684"/>
      <c r="Z26" s="1354"/>
      <c r="AA26" s="1351">
        <v>1</v>
      </c>
      <c r="AB26" s="1351">
        <v>1</v>
      </c>
      <c r="AC26" s="1351">
        <v>1</v>
      </c>
    </row>
    <row r="27" spans="1:29" s="108" customFormat="1" ht="42.75">
      <c r="A27" s="596"/>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684"/>
      <c r="Q27" s="1341" t="str">
        <f t="shared" si="8"/>
        <v>公共配套设施</v>
      </c>
      <c r="R27" s="700" t="s">
        <v>14</v>
      </c>
      <c r="S27" s="701">
        <f>F27</f>
        <v>100</v>
      </c>
      <c r="T27" s="700" t="s">
        <v>14</v>
      </c>
      <c r="U27" s="701">
        <f>H27</f>
        <v>100</v>
      </c>
      <c r="V27" s="700" t="s">
        <v>14</v>
      </c>
      <c r="W27" s="701">
        <f>J27</f>
        <v>100</v>
      </c>
      <c r="X27" s="702"/>
      <c r="Y27" s="3684"/>
      <c r="Z27" s="52" t="str">
        <f>Q27</f>
        <v>公共配套设施</v>
      </c>
      <c r="AA27" s="1351">
        <f>D27/F27</f>
        <v>1</v>
      </c>
      <c r="AB27" s="1351">
        <f>D27/H27</f>
        <v>1</v>
      </c>
      <c r="AC27" s="1351">
        <f>D27/J27</f>
        <v>1</v>
      </c>
    </row>
    <row r="28" spans="1:29" s="108" customFormat="1" ht="15">
      <c r="A28" s="596"/>
      <c r="B28" s="407"/>
      <c r="C28" s="1975"/>
      <c r="D28" s="399"/>
      <c r="E28" s="1901"/>
      <c r="F28" s="399"/>
      <c r="G28" s="1901"/>
      <c r="H28" s="399"/>
      <c r="I28" s="398"/>
      <c r="J28" s="399"/>
      <c r="K28" s="619"/>
      <c r="L28" s="2714"/>
      <c r="M28" s="2715"/>
      <c r="N28" s="2715"/>
      <c r="O28" s="2769"/>
      <c r="P28" s="3684"/>
      <c r="Q28" s="1341"/>
      <c r="R28" s="700"/>
      <c r="S28" s="701"/>
      <c r="T28" s="700"/>
      <c r="U28" s="701"/>
      <c r="V28" s="700"/>
      <c r="W28" s="701"/>
      <c r="X28" s="702"/>
      <c r="Y28" s="3684"/>
      <c r="Z28" s="52"/>
      <c r="AA28" s="1351">
        <v>1</v>
      </c>
      <c r="AB28" s="1351">
        <v>1</v>
      </c>
      <c r="AC28" s="1351">
        <v>1</v>
      </c>
    </row>
    <row r="29" spans="1:29" s="108" customFormat="1" ht="28.5">
      <c r="A29" s="596"/>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684"/>
      <c r="Q29" s="1341" t="str">
        <f t="shared" ref="Q29" si="9">B29</f>
        <v>基础设施水平</v>
      </c>
      <c r="R29" s="700" t="s">
        <v>14</v>
      </c>
      <c r="S29" s="701">
        <f>F29</f>
        <v>100</v>
      </c>
      <c r="T29" s="700" t="s">
        <v>14</v>
      </c>
      <c r="U29" s="701">
        <f>H29</f>
        <v>100</v>
      </c>
      <c r="V29" s="700" t="s">
        <v>14</v>
      </c>
      <c r="W29" s="701">
        <f>J29</f>
        <v>100</v>
      </c>
      <c r="X29" s="702"/>
      <c r="Y29" s="3684"/>
      <c r="Z29" s="52" t="str">
        <f>Q29</f>
        <v>基础设施水平</v>
      </c>
      <c r="AA29" s="1351">
        <f>D29/F29</f>
        <v>1</v>
      </c>
      <c r="AB29" s="1351">
        <f>D29/H29</f>
        <v>1</v>
      </c>
      <c r="AC29" s="1351">
        <f>D29/J29</f>
        <v>1</v>
      </c>
    </row>
    <row r="30" spans="1:29" s="108" customFormat="1" ht="15">
      <c r="A30" s="596"/>
      <c r="B30" s="407"/>
      <c r="C30" s="1975"/>
      <c r="D30" s="399"/>
      <c r="E30" s="1976"/>
      <c r="F30" s="399"/>
      <c r="G30" s="1976"/>
      <c r="H30" s="399"/>
      <c r="I30" s="1976"/>
      <c r="J30" s="399"/>
      <c r="K30" s="619"/>
      <c r="L30" s="2714"/>
      <c r="M30" s="2715"/>
      <c r="N30" s="2715"/>
      <c r="O30" s="2769"/>
      <c r="P30" s="3684"/>
      <c r="Q30" s="1341"/>
      <c r="R30" s="700"/>
      <c r="S30" s="701"/>
      <c r="T30" s="700"/>
      <c r="U30" s="701"/>
      <c r="V30" s="700"/>
      <c r="W30" s="701"/>
      <c r="X30" s="702"/>
      <c r="Y30" s="3684"/>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684"/>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84"/>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684"/>
      <c r="Q32" s="1350" t="str">
        <f t="shared" si="8"/>
        <v>毗邻道路的类型与等级</v>
      </c>
      <c r="R32" s="704" t="s">
        <v>14</v>
      </c>
      <c r="S32" s="705">
        <f t="shared" si="10"/>
        <v>100</v>
      </c>
      <c r="T32" s="704" t="s">
        <v>14</v>
      </c>
      <c r="U32" s="705">
        <f t="shared" si="11"/>
        <v>100</v>
      </c>
      <c r="V32" s="704" t="s">
        <v>14</v>
      </c>
      <c r="W32" s="705">
        <f t="shared" si="12"/>
        <v>100</v>
      </c>
      <c r="X32" s="1353"/>
      <c r="Y32" s="3684"/>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719"/>
      <c r="M33" s="2713"/>
      <c r="N33" s="2713"/>
      <c r="O33" s="2771"/>
      <c r="P33" s="3684"/>
      <c r="Q33" s="1350"/>
      <c r="R33" s="704"/>
      <c r="S33" s="705"/>
      <c r="T33" s="704"/>
      <c r="U33" s="705"/>
      <c r="V33" s="704"/>
      <c r="W33" s="705"/>
      <c r="X33" s="1353"/>
      <c r="Y33" s="3684"/>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684"/>
      <c r="Q34" s="1350" t="str">
        <f t="shared" si="8"/>
        <v>土地级别</v>
      </c>
      <c r="R34" s="704" t="s">
        <v>14</v>
      </c>
      <c r="S34" s="705">
        <f t="shared" si="10"/>
        <v>100</v>
      </c>
      <c r="T34" s="704" t="s">
        <v>14</v>
      </c>
      <c r="U34" s="705">
        <f t="shared" si="11"/>
        <v>100</v>
      </c>
      <c r="V34" s="704" t="s">
        <v>14</v>
      </c>
      <c r="W34" s="705">
        <f t="shared" si="12"/>
        <v>100</v>
      </c>
      <c r="X34" s="1353"/>
      <c r="Y34" s="3684"/>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684"/>
      <c r="Q35" s="1350">
        <f t="shared" si="8"/>
        <v>111</v>
      </c>
      <c r="R35" s="704" t="s">
        <v>14</v>
      </c>
      <c r="S35" s="705">
        <f t="shared" si="10"/>
        <v>100</v>
      </c>
      <c r="T35" s="704" t="s">
        <v>14</v>
      </c>
      <c r="U35" s="705">
        <f t="shared" si="11"/>
        <v>100</v>
      </c>
      <c r="V35" s="704" t="s">
        <v>14</v>
      </c>
      <c r="W35" s="705">
        <f t="shared" si="12"/>
        <v>100</v>
      </c>
      <c r="X35" s="1353"/>
      <c r="Y35" s="3684"/>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31" t="s">
        <v>1696</v>
      </c>
      <c r="Q36" s="1350">
        <f t="shared" si="8"/>
        <v>111</v>
      </c>
      <c r="R36" s="704" t="s">
        <v>14</v>
      </c>
      <c r="S36" s="705">
        <f t="shared" si="10"/>
        <v>100</v>
      </c>
      <c r="T36" s="704" t="s">
        <v>14</v>
      </c>
      <c r="U36" s="705">
        <f t="shared" si="11"/>
        <v>100</v>
      </c>
      <c r="V36" s="704" t="s">
        <v>14</v>
      </c>
      <c r="W36" s="705">
        <f t="shared" si="12"/>
        <v>100</v>
      </c>
      <c r="X36" s="1353"/>
      <c r="Y36" s="3688" t="s">
        <v>1696</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688"/>
      <c r="Q37" s="1350">
        <f t="shared" si="8"/>
        <v>111</v>
      </c>
      <c r="R37" s="707" t="s">
        <v>14</v>
      </c>
      <c r="S37" s="708">
        <f t="shared" si="10"/>
        <v>100</v>
      </c>
      <c r="T37" s="707" t="s">
        <v>14</v>
      </c>
      <c r="U37" s="708">
        <f t="shared" si="11"/>
        <v>100</v>
      </c>
      <c r="V37" s="707" t="s">
        <v>14</v>
      </c>
      <c r="W37" s="708">
        <f t="shared" si="12"/>
        <v>100</v>
      </c>
      <c r="X37" s="709"/>
      <c r="Y37" s="3688"/>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688"/>
      <c r="Q38" s="1350" t="str">
        <f>B38</f>
        <v>宗地面积</v>
      </c>
      <c r="R38" s="704" t="s">
        <v>14</v>
      </c>
      <c r="S38" s="705" t="e">
        <f t="shared" si="10"/>
        <v>#N/A</v>
      </c>
      <c r="T38" s="704" t="s">
        <v>14</v>
      </c>
      <c r="U38" s="705" t="e">
        <f t="shared" si="11"/>
        <v>#N/A</v>
      </c>
      <c r="V38" s="704" t="s">
        <v>14</v>
      </c>
      <c r="W38" s="705" t="e">
        <f t="shared" si="12"/>
        <v>#N/A</v>
      </c>
      <c r="X38" s="1353"/>
      <c r="Y38" s="3688"/>
      <c r="Z38" s="1354" t="str">
        <f t="shared" si="13"/>
        <v>宗地面积</v>
      </c>
      <c r="AA38" s="1351" t="e">
        <f t="shared" si="3"/>
        <v>#N/A</v>
      </c>
      <c r="AB38" s="1351" t="e">
        <f t="shared" si="4"/>
        <v>#N/A</v>
      </c>
      <c r="AC38" s="1351"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88"/>
      <c r="Q39" s="1350" t="str">
        <f t="shared" ref="Q39:Q45" si="14">B39</f>
        <v>宗地形状</v>
      </c>
      <c r="R39" s="704" t="s">
        <v>14</v>
      </c>
      <c r="S39" s="705">
        <f t="shared" si="10"/>
        <v>100</v>
      </c>
      <c r="T39" s="704" t="s">
        <v>14</v>
      </c>
      <c r="U39" s="705">
        <f t="shared" si="11"/>
        <v>100</v>
      </c>
      <c r="V39" s="704" t="s">
        <v>14</v>
      </c>
      <c r="W39" s="705">
        <f t="shared" si="12"/>
        <v>100</v>
      </c>
      <c r="X39" s="1353"/>
      <c r="Y39" s="3688"/>
      <c r="Z39" s="1354" t="str">
        <f t="shared" si="13"/>
        <v>宗地形状</v>
      </c>
      <c r="AA39" s="1351">
        <f t="shared" si="3"/>
        <v>1</v>
      </c>
      <c r="AB39" s="1351">
        <f t="shared" si="4"/>
        <v>1</v>
      </c>
      <c r="AC39" s="1351">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88"/>
      <c r="Q40" s="1350" t="str">
        <f t="shared" si="14"/>
        <v>临街宽度及深度</v>
      </c>
      <c r="R40" s="704" t="s">
        <v>14</v>
      </c>
      <c r="S40" s="705">
        <f t="shared" si="10"/>
        <v>100</v>
      </c>
      <c r="T40" s="704" t="s">
        <v>14</v>
      </c>
      <c r="U40" s="705">
        <f t="shared" si="11"/>
        <v>100</v>
      </c>
      <c r="V40" s="704" t="s">
        <v>14</v>
      </c>
      <c r="W40" s="705">
        <f t="shared" si="12"/>
        <v>100</v>
      </c>
      <c r="X40" s="1353"/>
      <c r="Y40" s="3688"/>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88"/>
      <c r="Q41" s="1350" t="str">
        <f t="shared" si="14"/>
        <v>宗地开发程度</v>
      </c>
      <c r="R41" s="700" t="s">
        <v>14</v>
      </c>
      <c r="S41" s="701">
        <f t="shared" si="10"/>
        <v>100</v>
      </c>
      <c r="T41" s="700" t="s">
        <v>14</v>
      </c>
      <c r="U41" s="701">
        <f t="shared" si="11"/>
        <v>100</v>
      </c>
      <c r="V41" s="700" t="s">
        <v>14</v>
      </c>
      <c r="W41" s="701">
        <f t="shared" si="12"/>
        <v>100</v>
      </c>
      <c r="X41" s="702"/>
      <c r="Y41" s="3688"/>
      <c r="Z41" s="52" t="str">
        <f t="shared" si="13"/>
        <v>宗地开发程度</v>
      </c>
      <c r="AA41" s="703">
        <f t="shared" si="3"/>
        <v>1</v>
      </c>
      <c r="AB41" s="703">
        <f t="shared" si="4"/>
        <v>1</v>
      </c>
      <c r="AC41" s="703">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88" t="s">
        <v>1696</v>
      </c>
      <c r="Q42" s="1350" t="str">
        <f t="shared" si="14"/>
        <v>工程地质条件</v>
      </c>
      <c r="R42" s="704" t="s">
        <v>14</v>
      </c>
      <c r="S42" s="705">
        <f t="shared" si="10"/>
        <v>100</v>
      </c>
      <c r="T42" s="704" t="s">
        <v>14</v>
      </c>
      <c r="U42" s="705">
        <f t="shared" si="11"/>
        <v>100</v>
      </c>
      <c r="V42" s="704" t="s">
        <v>14</v>
      </c>
      <c r="W42" s="705">
        <f t="shared" si="12"/>
        <v>100</v>
      </c>
      <c r="X42" s="1353"/>
      <c r="Y42" s="3688" t="s">
        <v>1696</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688"/>
      <c r="Q43" s="1350">
        <f t="shared" si="14"/>
        <v>111</v>
      </c>
      <c r="R43" s="704" t="s">
        <v>14</v>
      </c>
      <c r="S43" s="705">
        <f t="shared" si="10"/>
        <v>100</v>
      </c>
      <c r="T43" s="704" t="s">
        <v>14</v>
      </c>
      <c r="U43" s="705">
        <f t="shared" si="11"/>
        <v>100</v>
      </c>
      <c r="V43" s="704" t="s">
        <v>14</v>
      </c>
      <c r="W43" s="705">
        <f t="shared" si="12"/>
        <v>100</v>
      </c>
      <c r="X43" s="1353"/>
      <c r="Y43" s="3688"/>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688"/>
      <c r="Q44" s="1350">
        <f t="shared" si="14"/>
        <v>111</v>
      </c>
      <c r="R44" s="704" t="s">
        <v>14</v>
      </c>
      <c r="S44" s="705">
        <f t="shared" si="10"/>
        <v>100</v>
      </c>
      <c r="T44" s="704" t="s">
        <v>14</v>
      </c>
      <c r="U44" s="705">
        <f t="shared" si="11"/>
        <v>100</v>
      </c>
      <c r="V44" s="704" t="s">
        <v>14</v>
      </c>
      <c r="W44" s="705">
        <f t="shared" si="12"/>
        <v>100</v>
      </c>
      <c r="X44" s="1353"/>
      <c r="Y44" s="3688"/>
      <c r="Z44" s="1354">
        <f t="shared" si="13"/>
        <v>111</v>
      </c>
      <c r="AA44" s="1351">
        <f t="shared" si="3"/>
        <v>1</v>
      </c>
      <c r="AB44" s="1351">
        <f t="shared" si="4"/>
        <v>1</v>
      </c>
      <c r="AC44" s="1351">
        <f t="shared" si="5"/>
        <v>1</v>
      </c>
    </row>
    <row r="45" spans="1:29" s="422" customFormat="1" ht="15.75" thickBot="1">
      <c r="A45" s="419"/>
      <c r="B45" s="1133">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688"/>
      <c r="Q45" s="1350">
        <f t="shared" si="14"/>
        <v>111</v>
      </c>
      <c r="R45" s="707" t="s">
        <v>14</v>
      </c>
      <c r="S45" s="708">
        <f t="shared" si="10"/>
        <v>100</v>
      </c>
      <c r="T45" s="707" t="s">
        <v>14</v>
      </c>
      <c r="U45" s="708">
        <f t="shared" si="11"/>
        <v>100</v>
      </c>
      <c r="V45" s="707" t="s">
        <v>14</v>
      </c>
      <c r="W45" s="708">
        <f t="shared" si="12"/>
        <v>100</v>
      </c>
      <c r="X45" s="709"/>
      <c r="Y45" s="3688"/>
      <c r="Z45" s="710">
        <f t="shared" si="13"/>
        <v>111</v>
      </c>
      <c r="AA45" s="1351">
        <f t="shared" si="3"/>
        <v>1</v>
      </c>
      <c r="AB45" s="1351">
        <f t="shared" si="4"/>
        <v>1</v>
      </c>
      <c r="AC45" s="1351">
        <f t="shared" si="5"/>
        <v>1</v>
      </c>
    </row>
    <row r="46" spans="1:29" ht="15">
      <c r="A46" s="430" t="s">
        <v>1844</v>
      </c>
      <c r="B46" s="1979" t="s">
        <v>1879</v>
      </c>
      <c r="C46" s="629" t="s">
        <v>0</v>
      </c>
      <c r="D46" s="432"/>
      <c r="E46" s="433"/>
      <c r="F46" s="434"/>
      <c r="G46" s="435"/>
      <c r="H46" s="436"/>
      <c r="I46" s="433"/>
      <c r="J46" s="436"/>
      <c r="K46" s="713"/>
      <c r="L46" s="2721"/>
      <c r="M46" s="2722"/>
      <c r="N46" s="2713"/>
      <c r="O46" s="2722"/>
      <c r="P46" s="3690" t="str">
        <f>A46</f>
        <v>成交单价</v>
      </c>
      <c r="Q46" s="3690"/>
      <c r="R46" s="3652">
        <f>E46</f>
        <v>0</v>
      </c>
      <c r="S46" s="3652"/>
      <c r="T46" s="3652">
        <f>G46</f>
        <v>0</v>
      </c>
      <c r="U46" s="3652"/>
      <c r="V46" s="3652">
        <f>I46</f>
        <v>0</v>
      </c>
      <c r="W46" s="3652"/>
      <c r="X46" s="689"/>
      <c r="Y46" s="711"/>
      <c r="Z46" s="689"/>
      <c r="AA46" s="689"/>
      <c r="AB46" s="689"/>
      <c r="AC46" s="689"/>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21"/>
      <c r="M47" s="2722"/>
      <c r="N47" s="2722"/>
      <c r="O47" s="2722"/>
      <c r="P47" s="3690" t="str">
        <f>A47</f>
        <v>比较价值（元/平方米）</v>
      </c>
      <c r="Q47" s="3690"/>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692" t="str">
        <f>A48</f>
        <v>估价对象XX用房的比较价值（楼面单价，元/平方米）</v>
      </c>
      <c r="Q48" s="3693"/>
      <c r="R48" s="3734" t="e">
        <f>ROUND(IF(D47="简单平均",AVERAGE(R47:W47),R47*F47+T47*H47+V47*J47),0)</f>
        <v>#DIV/0!</v>
      </c>
      <c r="S48" s="3734"/>
      <c r="T48" s="3734"/>
      <c r="U48" s="3734"/>
      <c r="V48" s="3734"/>
      <c r="W48" s="3734"/>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0" t="s">
        <v>1883</v>
      </c>
      <c r="D55" s="1981" t="s">
        <v>1884</v>
      </c>
      <c r="E55" s="633" t="s">
        <v>1885</v>
      </c>
      <c r="F55" s="889" t="s">
        <v>1886</v>
      </c>
      <c r="G55" s="3668" t="s">
        <v>1887</v>
      </c>
      <c r="H55" s="3735"/>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9908.9000000000015</v>
      </c>
      <c r="F56" s="885" t="e">
        <f t="shared" ref="F56:F64" si="15">ROUND(B56*E56/10000,0)</f>
        <v>#DIV/0!</v>
      </c>
      <c r="G56" s="3667"/>
      <c r="H56" s="3690"/>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8" t="e">
        <f>ROUND($C$48*C57*D57,0)</f>
        <v>#DIV/0!</v>
      </c>
      <c r="C57" s="171">
        <f t="shared" ref="C57:C64" si="16">IF($C$55="北京市系数",I57,J57)</f>
        <v>0</v>
      </c>
      <c r="D57" s="944">
        <v>0.25</v>
      </c>
      <c r="E57" s="641"/>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8" t="e">
        <f t="shared" ref="B58:B64" si="17">ROUND($C$48*C58*D58,0)</f>
        <v>#DIV/0!</v>
      </c>
      <c r="C58" s="171">
        <f t="shared" si="16"/>
        <v>0</v>
      </c>
      <c r="D58" s="944">
        <v>0.25</v>
      </c>
      <c r="E58" s="641"/>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8" t="e">
        <f t="shared" si="17"/>
        <v>#DIV/0!</v>
      </c>
      <c r="C59" s="171">
        <f t="shared" si="16"/>
        <v>0</v>
      </c>
      <c r="D59" s="944">
        <v>0.25</v>
      </c>
      <c r="E59" s="641"/>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8" t="e">
        <f t="shared" si="17"/>
        <v>#DIV/0!</v>
      </c>
      <c r="C60" s="171">
        <f t="shared" si="16"/>
        <v>0</v>
      </c>
      <c r="D60" s="944">
        <v>0.25</v>
      </c>
      <c r="E60" s="217">
        <f>'数据-汇总表'!E11</f>
        <v>0</v>
      </c>
      <c r="F60" s="885" t="e">
        <f t="shared" si="15"/>
        <v>#DIV/0!</v>
      </c>
      <c r="G60" s="1984"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8" t="e">
        <f t="shared" si="17"/>
        <v>#DIV/0!</v>
      </c>
      <c r="C63" s="171">
        <f t="shared" si="16"/>
        <v>0</v>
      </c>
      <c r="D63" s="944">
        <v>0.25</v>
      </c>
      <c r="E63" s="217">
        <f>'数据-汇总表'!E14</f>
        <v>0</v>
      </c>
      <c r="F63" s="885" t="e">
        <f t="shared" si="15"/>
        <v>#DIV/0!</v>
      </c>
      <c r="G63" s="1984"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8" t="e">
        <f t="shared" si="17"/>
        <v>#DIV/0!</v>
      </c>
      <c r="C64" s="171">
        <f t="shared" si="16"/>
        <v>0</v>
      </c>
      <c r="D64" s="944">
        <v>0.25</v>
      </c>
      <c r="E64" s="217">
        <f>'数据-汇总表'!E15</f>
        <v>0</v>
      </c>
      <c r="F64" s="885" t="e">
        <f t="shared" si="15"/>
        <v>#DIV/0!</v>
      </c>
      <c r="G64" s="1985"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9908.9000000000015</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8"/>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Normal="60" zoomScaleSheetLayoutView="100" workbookViewId="0">
      <selection activeCell="I14" sqref="I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f>F61</f>
        <v>2460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ROUND(IF(D3="",B2*10000/'数据-汇总表'!E3,B2*10000/D3),0)</f>
        <v>2483</v>
      </c>
      <c r="C3" s="203" t="s">
        <v>1869</v>
      </c>
      <c r="D3" s="1191">
        <f>'数据-汇总表'!E19</f>
        <v>9908.9000000000015</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29" ht="15">
      <c r="A5" s="358"/>
      <c r="B5" s="359"/>
      <c r="C5" s="3661" t="s">
        <v>1673</v>
      </c>
      <c r="D5" s="3662"/>
      <c r="E5" s="3659" t="str">
        <f>案例信息!A3</f>
        <v>海港区纬一路以南、宁静山路以西</v>
      </c>
      <c r="F5" s="3660"/>
      <c r="G5" s="3661" t="str">
        <f>案例信息!A4</f>
        <v>海港区迎宾路以东、规划一路以北、规划二路以南</v>
      </c>
      <c r="H5" s="3662"/>
      <c r="I5" s="3661" t="str">
        <f>案例信息!A5</f>
        <v>东、南、北均至规划绿线;西至用地范围线。</v>
      </c>
      <c r="J5" s="3662"/>
      <c r="K5" s="559"/>
      <c r="L5" s="2712"/>
      <c r="M5" s="2713"/>
      <c r="N5" s="2713"/>
      <c r="O5" s="2713"/>
      <c r="P5" s="3674"/>
      <c r="Q5" s="3675"/>
      <c r="R5" s="3657"/>
      <c r="S5" s="3658"/>
      <c r="T5" s="3657"/>
      <c r="U5" s="3658"/>
      <c r="V5" s="3652"/>
      <c r="W5" s="3652"/>
      <c r="X5" s="1353"/>
      <c r="Y5" s="3657"/>
      <c r="Z5" s="3658"/>
      <c r="AA5" s="3650"/>
      <c r="AB5" s="3650"/>
      <c r="AC5" s="3650"/>
    </row>
    <row r="6" spans="1:29" ht="15.75" thickBot="1">
      <c r="A6" s="360"/>
      <c r="B6" s="361"/>
      <c r="C6" s="3736" t="s">
        <v>1919</v>
      </c>
      <c r="D6" s="3737"/>
      <c r="E6" s="3738" t="s">
        <v>1919</v>
      </c>
      <c r="F6" s="3739"/>
      <c r="G6" s="3736" t="s">
        <v>1919</v>
      </c>
      <c r="H6" s="3737"/>
      <c r="I6" s="3736" t="s">
        <v>1919</v>
      </c>
      <c r="J6" s="3737"/>
      <c r="K6" s="559" t="s">
        <v>1678</v>
      </c>
      <c r="L6" s="2712"/>
      <c r="M6" s="2713"/>
      <c r="N6" s="2713"/>
      <c r="O6" s="2713"/>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45449</v>
      </c>
      <c r="D7" s="365">
        <v>100</v>
      </c>
      <c r="E7" s="366">
        <f>案例信息!N4</f>
        <v>45286.000497685185</v>
      </c>
      <c r="F7" s="367">
        <f>SUMIF(65:65,YEAR(E7)&amp;"-"&amp;INT((MONTH(E7)+2)/3),66:66)</f>
        <v>99</v>
      </c>
      <c r="G7" s="1971">
        <f>案例信息!N5</f>
        <v>45275.000497685185</v>
      </c>
      <c r="H7" s="365">
        <f>SUMIF(65:65,YEAR(G7)&amp;"-"&amp;INT((MONTH(G7)+2)/3),66:66)</f>
        <v>99</v>
      </c>
      <c r="I7" s="1971">
        <f>案例信息!N10</f>
        <v>44645.000497685185</v>
      </c>
      <c r="J7" s="365">
        <f>SUMIF(65:65,YEAR(I7)&amp;"-"&amp;INT((MONTH(I7)+2)/3),66:66)</f>
        <v>95.5</v>
      </c>
      <c r="K7" s="560"/>
      <c r="L7" s="2714"/>
      <c r="M7" s="2715"/>
      <c r="N7" s="2715"/>
      <c r="O7" s="2715"/>
      <c r="P7" s="3653" t="s">
        <v>1680</v>
      </c>
      <c r="Q7" s="3680"/>
      <c r="R7" s="700" t="s">
        <v>14</v>
      </c>
      <c r="S7" s="701">
        <f t="shared" ref="S7:S15" si="0">F7</f>
        <v>99</v>
      </c>
      <c r="T7" s="700" t="s">
        <v>14</v>
      </c>
      <c r="U7" s="701">
        <f t="shared" ref="U7:U15" si="1">H7</f>
        <v>99</v>
      </c>
      <c r="V7" s="700" t="s">
        <v>14</v>
      </c>
      <c r="W7" s="701">
        <f t="shared" ref="W7:W15" si="2">J7</f>
        <v>95.5</v>
      </c>
      <c r="X7" s="702"/>
      <c r="Y7" s="3653" t="s">
        <v>1680</v>
      </c>
      <c r="Z7" s="3654"/>
      <c r="AA7" s="703">
        <f>D7/F7</f>
        <v>1.0101010101010102</v>
      </c>
      <c r="AB7" s="703">
        <f>D7/H7</f>
        <v>1.0101010101010102</v>
      </c>
      <c r="AC7" s="703">
        <f>D7/J7</f>
        <v>1.0471204188481675</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4"/>
      <c r="M8" s="2715"/>
      <c r="N8" s="2715"/>
      <c r="O8" s="2715"/>
      <c r="P8" s="3653" t="s">
        <v>1683</v>
      </c>
      <c r="Q8" s="3654"/>
      <c r="R8" s="700" t="s">
        <v>14</v>
      </c>
      <c r="S8" s="701">
        <f t="shared" si="0"/>
        <v>100</v>
      </c>
      <c r="T8" s="700" t="s">
        <v>14</v>
      </c>
      <c r="U8" s="701">
        <f t="shared" si="1"/>
        <v>100</v>
      </c>
      <c r="V8" s="700" t="s">
        <v>14</v>
      </c>
      <c r="W8" s="701">
        <f t="shared" si="2"/>
        <v>100</v>
      </c>
      <c r="X8" s="702"/>
      <c r="Y8" s="3653" t="s">
        <v>1683</v>
      </c>
      <c r="Z8" s="3654"/>
      <c r="AA8" s="703">
        <f t="shared" ref="AA8:AA40" si="3">D8/F8</f>
        <v>1</v>
      </c>
      <c r="AB8" s="703">
        <f t="shared" ref="AB8:AB40" si="4">D8/H8</f>
        <v>1</v>
      </c>
      <c r="AC8" s="703">
        <f t="shared" ref="AC8:AC40" si="5">D8/J8</f>
        <v>1</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90"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19"/>
      <c r="L10" s="2716"/>
      <c r="M10" s="2717"/>
      <c r="N10" s="2717"/>
      <c r="O10" s="2770"/>
      <c r="P10" s="3690"/>
      <c r="Q10" s="1341" t="str">
        <f t="shared" si="6"/>
        <v>土地使用年限（年）</v>
      </c>
      <c r="R10" s="700" t="s">
        <v>14</v>
      </c>
      <c r="S10" s="701">
        <f t="shared" si="0"/>
        <v>108</v>
      </c>
      <c r="T10" s="700" t="s">
        <v>14</v>
      </c>
      <c r="U10" s="701">
        <f t="shared" si="1"/>
        <v>108</v>
      </c>
      <c r="V10" s="700" t="s">
        <v>14</v>
      </c>
      <c r="W10" s="701">
        <f t="shared" si="2"/>
        <v>108</v>
      </c>
      <c r="X10" s="702"/>
      <c r="Y10" s="3617"/>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0">
        <v>0</v>
      </c>
      <c r="L11" s="2718"/>
      <c r="M11" s="2713"/>
      <c r="N11" s="2713"/>
      <c r="O11" s="2771"/>
      <c r="P11" s="3690"/>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69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690"/>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9"/>
      <c r="M15" s="2713"/>
      <c r="N15" s="2713"/>
      <c r="O15" s="2771"/>
      <c r="P15" s="3683" t="s">
        <v>1691</v>
      </c>
      <c r="Q15" s="1350" t="str">
        <f t="shared" si="6"/>
        <v>产业集聚程度</v>
      </c>
      <c r="R15" s="704" t="s">
        <v>14</v>
      </c>
      <c r="S15" s="705">
        <f t="shared" si="0"/>
        <v>100</v>
      </c>
      <c r="T15" s="704" t="s">
        <v>14</v>
      </c>
      <c r="U15" s="705">
        <f t="shared" si="1"/>
        <v>100</v>
      </c>
      <c r="V15" s="704" t="s">
        <v>14</v>
      </c>
      <c r="W15" s="705">
        <f t="shared" si="2"/>
        <v>100</v>
      </c>
      <c r="X15" s="1353"/>
      <c r="Y15" s="3683" t="s">
        <v>1691</v>
      </c>
      <c r="Z15" s="1354" t="str">
        <f t="shared" si="7"/>
        <v>产业集聚程度</v>
      </c>
      <c r="AA15" s="1351">
        <f t="shared" si="3"/>
        <v>1</v>
      </c>
      <c r="AB15" s="1351">
        <f t="shared" si="4"/>
        <v>1</v>
      </c>
      <c r="AC15" s="1351">
        <f t="shared" si="5"/>
        <v>1</v>
      </c>
    </row>
    <row r="16" spans="1:29" ht="15">
      <c r="A16" s="379"/>
      <c r="B16" s="577"/>
      <c r="C16" s="398" t="s">
        <v>3403</v>
      </c>
      <c r="D16" s="399"/>
      <c r="E16" s="398" t="s">
        <v>3403</v>
      </c>
      <c r="F16" s="399"/>
      <c r="G16" s="398" t="s">
        <v>3403</v>
      </c>
      <c r="H16" s="401"/>
      <c r="I16" s="398" t="s">
        <v>3403</v>
      </c>
      <c r="J16" s="399"/>
      <c r="K16" s="619"/>
      <c r="L16" s="2719"/>
      <c r="M16" s="2713"/>
      <c r="N16" s="2713"/>
      <c r="O16" s="2771"/>
      <c r="P16" s="3684"/>
      <c r="Q16" s="1350"/>
      <c r="R16" s="704"/>
      <c r="S16" s="705"/>
      <c r="T16" s="704"/>
      <c r="U16" s="705"/>
      <c r="V16" s="704"/>
      <c r="W16" s="705"/>
      <c r="X16" s="1353"/>
      <c r="Y16" s="3684"/>
      <c r="Z16" s="1354"/>
      <c r="AA16" s="1351">
        <v>1</v>
      </c>
      <c r="AB16" s="1351">
        <v>1</v>
      </c>
      <c r="AC16" s="1351">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9"/>
      <c r="M17" s="2713"/>
      <c r="N17" s="2713"/>
      <c r="O17" s="2771"/>
      <c r="P17" s="3684"/>
      <c r="Q17" s="1350" t="str">
        <f>B17</f>
        <v>交通便捷度</v>
      </c>
      <c r="R17" s="704" t="s">
        <v>14</v>
      </c>
      <c r="S17" s="705">
        <f>F17</f>
        <v>100</v>
      </c>
      <c r="T17" s="704" t="s">
        <v>14</v>
      </c>
      <c r="U17" s="705">
        <f>H17</f>
        <v>100</v>
      </c>
      <c r="V17" s="704" t="s">
        <v>14</v>
      </c>
      <c r="W17" s="705">
        <f>J17</f>
        <v>100</v>
      </c>
      <c r="X17" s="1353"/>
      <c r="Y17" s="3684"/>
      <c r="Z17" s="1354" t="str">
        <f>Q17</f>
        <v>交通便捷度</v>
      </c>
      <c r="AA17" s="1351">
        <f t="shared" si="3"/>
        <v>1</v>
      </c>
      <c r="AB17" s="1351">
        <f t="shared" si="4"/>
        <v>1</v>
      </c>
      <c r="AC17" s="1351">
        <f t="shared" si="5"/>
        <v>1</v>
      </c>
    </row>
    <row r="18" spans="1:29" ht="15">
      <c r="A18" s="379"/>
      <c r="B18" s="579"/>
      <c r="C18" s="398" t="s">
        <v>3403</v>
      </c>
      <c r="D18" s="399"/>
      <c r="E18" s="398" t="s">
        <v>3403</v>
      </c>
      <c r="F18" s="399"/>
      <c r="G18" s="398" t="s">
        <v>3403</v>
      </c>
      <c r="H18" s="399"/>
      <c r="I18" s="398" t="s">
        <v>3403</v>
      </c>
      <c r="J18" s="399"/>
      <c r="K18" s="619"/>
      <c r="L18" s="2719"/>
      <c r="M18" s="2713"/>
      <c r="N18" s="2713"/>
      <c r="O18" s="2771"/>
      <c r="P18" s="3684"/>
      <c r="Q18" s="1350"/>
      <c r="R18" s="704"/>
      <c r="S18" s="705"/>
      <c r="T18" s="704"/>
      <c r="U18" s="705"/>
      <c r="V18" s="704"/>
      <c r="W18" s="705"/>
      <c r="X18" s="1353"/>
      <c r="Y18" s="3684"/>
      <c r="Z18" s="1354"/>
      <c r="AA18" s="1351">
        <v>1</v>
      </c>
      <c r="AB18" s="1351">
        <v>1</v>
      </c>
      <c r="AC18" s="1351">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21</v>
      </c>
      <c r="L19" s="2719"/>
      <c r="M19" s="2713"/>
      <c r="N19" s="2713"/>
      <c r="O19" s="2771"/>
      <c r="P19" s="3684"/>
      <c r="Q19" s="1350" t="str">
        <f t="shared" ref="Q19:Q33" si="8">B19</f>
        <v>区域土地利用方向</v>
      </c>
      <c r="R19" s="704" t="s">
        <v>14</v>
      </c>
      <c r="S19" s="705">
        <f>F19</f>
        <v>100</v>
      </c>
      <c r="T19" s="704" t="s">
        <v>14</v>
      </c>
      <c r="U19" s="705">
        <f>H19</f>
        <v>100</v>
      </c>
      <c r="V19" s="704" t="s">
        <v>14</v>
      </c>
      <c r="W19" s="705">
        <f>J19</f>
        <v>100</v>
      </c>
      <c r="X19" s="1353"/>
      <c r="Y19" s="3684"/>
      <c r="Z19" s="1354" t="str">
        <f>Q19</f>
        <v>区域土地利用方向</v>
      </c>
      <c r="AA19" s="1351">
        <f t="shared" si="3"/>
        <v>1</v>
      </c>
      <c r="AB19" s="1351">
        <f t="shared" si="4"/>
        <v>1</v>
      </c>
      <c r="AC19" s="1351">
        <f t="shared" si="5"/>
        <v>1</v>
      </c>
    </row>
    <row r="20" spans="1:29" ht="15">
      <c r="A20" s="358"/>
      <c r="B20" s="579"/>
      <c r="C20" s="398" t="s">
        <v>3403</v>
      </c>
      <c r="D20" s="399"/>
      <c r="E20" s="398" t="s">
        <v>3403</v>
      </c>
      <c r="F20" s="399"/>
      <c r="G20" s="398" t="s">
        <v>3403</v>
      </c>
      <c r="H20" s="399"/>
      <c r="I20" s="398" t="s">
        <v>3403</v>
      </c>
      <c r="J20" s="399"/>
      <c r="K20" s="739"/>
      <c r="L20" s="2719"/>
      <c r="M20" s="2713"/>
      <c r="N20" s="2713"/>
      <c r="O20" s="2771"/>
      <c r="P20" s="3684"/>
      <c r="Q20" s="1350"/>
      <c r="R20" s="704"/>
      <c r="S20" s="705"/>
      <c r="T20" s="704"/>
      <c r="U20" s="705"/>
      <c r="V20" s="704"/>
      <c r="W20" s="705"/>
      <c r="X20" s="1353"/>
      <c r="Y20" s="3684"/>
      <c r="Z20" s="1354"/>
      <c r="AA20" s="1351"/>
      <c r="AB20" s="1351"/>
      <c r="AC20" s="1351"/>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9"/>
      <c r="M21" s="2713"/>
      <c r="N21" s="2713"/>
      <c r="O21" s="2771"/>
      <c r="P21" s="3684"/>
      <c r="Q21" s="1350" t="str">
        <f t="shared" si="8"/>
        <v>环境状况</v>
      </c>
      <c r="R21" s="704" t="s">
        <v>14</v>
      </c>
      <c r="S21" s="705">
        <f>F21</f>
        <v>100</v>
      </c>
      <c r="T21" s="704" t="s">
        <v>14</v>
      </c>
      <c r="U21" s="705">
        <f>H21</f>
        <v>100</v>
      </c>
      <c r="V21" s="704" t="s">
        <v>14</v>
      </c>
      <c r="W21" s="705">
        <f>J21</f>
        <v>100</v>
      </c>
      <c r="X21" s="1353"/>
      <c r="Y21" s="3684"/>
      <c r="Z21" s="1354" t="str">
        <f>Q21</f>
        <v>环境状况</v>
      </c>
      <c r="AA21" s="1351">
        <f t="shared" si="3"/>
        <v>1</v>
      </c>
      <c r="AB21" s="1351">
        <f t="shared" si="4"/>
        <v>1</v>
      </c>
      <c r="AC21" s="1351">
        <f t="shared" si="5"/>
        <v>1</v>
      </c>
    </row>
    <row r="22" spans="1:29" ht="15">
      <c r="A22" s="358"/>
      <c r="B22" s="579"/>
      <c r="C22" s="398" t="s">
        <v>3403</v>
      </c>
      <c r="D22" s="399"/>
      <c r="E22" s="398" t="s">
        <v>3403</v>
      </c>
      <c r="F22" s="399"/>
      <c r="G22" s="398" t="s">
        <v>3403</v>
      </c>
      <c r="H22" s="399"/>
      <c r="I22" s="398" t="s">
        <v>3403</v>
      </c>
      <c r="J22" s="399"/>
      <c r="K22" s="619"/>
      <c r="L22" s="2719"/>
      <c r="M22" s="2713"/>
      <c r="N22" s="2713"/>
      <c r="O22" s="2771"/>
      <c r="P22" s="3684"/>
      <c r="Q22" s="1350"/>
      <c r="R22" s="704"/>
      <c r="S22" s="705"/>
      <c r="T22" s="704"/>
      <c r="U22" s="705"/>
      <c r="V22" s="704"/>
      <c r="W22" s="705"/>
      <c r="X22" s="1353"/>
      <c r="Y22" s="3684"/>
      <c r="Z22" s="1354"/>
      <c r="AA22" s="1351">
        <v>1</v>
      </c>
      <c r="AB22" s="1351">
        <v>1</v>
      </c>
      <c r="AC22" s="1351">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4"/>
      <c r="M23" s="2715"/>
      <c r="N23" s="2715"/>
      <c r="O23" s="2769"/>
      <c r="P23" s="3684"/>
      <c r="Q23" s="1341" t="str">
        <f t="shared" si="8"/>
        <v>公共配套设施</v>
      </c>
      <c r="R23" s="700" t="s">
        <v>14</v>
      </c>
      <c r="S23" s="701">
        <f>F23</f>
        <v>100</v>
      </c>
      <c r="T23" s="700" t="s">
        <v>14</v>
      </c>
      <c r="U23" s="701">
        <f>H23</f>
        <v>100</v>
      </c>
      <c r="V23" s="700" t="s">
        <v>14</v>
      </c>
      <c r="W23" s="701">
        <f>J23</f>
        <v>100</v>
      </c>
      <c r="X23" s="702"/>
      <c r="Y23" s="3684"/>
      <c r="Z23" s="52" t="str">
        <f>Q23</f>
        <v>公共配套设施</v>
      </c>
      <c r="AA23" s="1351">
        <f>D23/F23</f>
        <v>1</v>
      </c>
      <c r="AB23" s="1351">
        <f>D23/H23</f>
        <v>1</v>
      </c>
      <c r="AC23" s="1351">
        <f>D23/J23</f>
        <v>1</v>
      </c>
    </row>
    <row r="24" spans="1:29" s="108" customFormat="1" ht="15">
      <c r="A24" s="596"/>
      <c r="B24" s="579"/>
      <c r="C24" s="398" t="s">
        <v>3403</v>
      </c>
      <c r="D24" s="399"/>
      <c r="E24" s="398" t="s">
        <v>3403</v>
      </c>
      <c r="F24" s="399"/>
      <c r="G24" s="398" t="s">
        <v>3403</v>
      </c>
      <c r="H24" s="399"/>
      <c r="I24" s="398" t="s">
        <v>3403</v>
      </c>
      <c r="J24" s="399"/>
      <c r="K24" s="619"/>
      <c r="L24" s="2714"/>
      <c r="M24" s="2715"/>
      <c r="N24" s="2715"/>
      <c r="O24" s="2769"/>
      <c r="P24" s="3684"/>
      <c r="Q24" s="1341"/>
      <c r="R24" s="700"/>
      <c r="S24" s="701"/>
      <c r="T24" s="700"/>
      <c r="U24" s="701"/>
      <c r="V24" s="700"/>
      <c r="W24" s="701"/>
      <c r="X24" s="702"/>
      <c r="Y24" s="3684"/>
      <c r="Z24" s="52"/>
      <c r="AA24" s="703">
        <v>1</v>
      </c>
      <c r="AB24" s="703">
        <v>1</v>
      </c>
      <c r="AC24" s="703">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4"/>
      <c r="M25" s="2715"/>
      <c r="N25" s="2715"/>
      <c r="O25" s="2769"/>
      <c r="P25" s="3684"/>
      <c r="Q25" s="1341" t="str">
        <f t="shared" ref="Q25" si="9">B25</f>
        <v>基础设施水平</v>
      </c>
      <c r="R25" s="700" t="s">
        <v>14</v>
      </c>
      <c r="S25" s="701">
        <f>F25</f>
        <v>100</v>
      </c>
      <c r="T25" s="700" t="s">
        <v>14</v>
      </c>
      <c r="U25" s="701">
        <f>H25</f>
        <v>100</v>
      </c>
      <c r="V25" s="700" t="s">
        <v>14</v>
      </c>
      <c r="W25" s="701">
        <f>J25</f>
        <v>100</v>
      </c>
      <c r="X25" s="702"/>
      <c r="Y25" s="3684"/>
      <c r="Z25" s="52" t="str">
        <f>Q25</f>
        <v>基础设施水平</v>
      </c>
      <c r="AA25" s="1351">
        <f>D25/F25</f>
        <v>1</v>
      </c>
      <c r="AB25" s="1351">
        <f>D25/H25</f>
        <v>1</v>
      </c>
      <c r="AC25" s="1351">
        <f>D25/J25</f>
        <v>1</v>
      </c>
    </row>
    <row r="26" spans="1:29" s="108" customFormat="1" ht="15">
      <c r="A26" s="596"/>
      <c r="B26" s="579"/>
      <c r="C26" s="1975" t="s">
        <v>3411</v>
      </c>
      <c r="D26" s="399"/>
      <c r="E26" s="1975" t="s">
        <v>3411</v>
      </c>
      <c r="F26" s="399"/>
      <c r="G26" s="1975" t="s">
        <v>3411</v>
      </c>
      <c r="H26" s="399"/>
      <c r="I26" s="1975" t="s">
        <v>3411</v>
      </c>
      <c r="J26" s="399"/>
      <c r="K26" s="619"/>
      <c r="L26" s="2714"/>
      <c r="M26" s="2715"/>
      <c r="N26" s="2715"/>
      <c r="O26" s="2769"/>
      <c r="P26" s="3684"/>
      <c r="Q26" s="1341"/>
      <c r="R26" s="700"/>
      <c r="S26" s="701"/>
      <c r="T26" s="700"/>
      <c r="U26" s="701"/>
      <c r="V26" s="700"/>
      <c r="W26" s="701"/>
      <c r="X26" s="702"/>
      <c r="Y26" s="368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v>2</v>
      </c>
      <c r="L27" s="2719"/>
      <c r="M27" s="2713"/>
      <c r="N27" s="2713"/>
      <c r="O27" s="2771"/>
      <c r="P27" s="3684"/>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84"/>
      <c r="Z27" s="1354" t="str">
        <f t="shared" ref="Z27:Z40" si="13">Q27</f>
        <v>临街状况</v>
      </c>
      <c r="AA27" s="1351">
        <f t="shared" si="3"/>
        <v>1</v>
      </c>
      <c r="AB27" s="1351">
        <f t="shared" si="4"/>
        <v>1</v>
      </c>
      <c r="AC27" s="1351">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9"/>
      <c r="M28" s="2713"/>
      <c r="N28" s="2713"/>
      <c r="O28" s="2771"/>
      <c r="P28" s="3684"/>
      <c r="Q28" s="1350" t="str">
        <f t="shared" si="8"/>
        <v>毗邻道路的类型与等级</v>
      </c>
      <c r="R28" s="704" t="s">
        <v>14</v>
      </c>
      <c r="S28" s="705">
        <f t="shared" si="10"/>
        <v>100</v>
      </c>
      <c r="T28" s="704" t="s">
        <v>14</v>
      </c>
      <c r="U28" s="705">
        <f t="shared" si="11"/>
        <v>100</v>
      </c>
      <c r="V28" s="704" t="s">
        <v>14</v>
      </c>
      <c r="W28" s="705">
        <f t="shared" si="12"/>
        <v>100</v>
      </c>
      <c r="X28" s="1353"/>
      <c r="Y28" s="3684"/>
      <c r="Z28" s="1354" t="str">
        <f t="shared" si="13"/>
        <v>毗邻道路的类型与等级</v>
      </c>
      <c r="AA28" s="1351">
        <f t="shared" si="3"/>
        <v>1</v>
      </c>
      <c r="AB28" s="1351">
        <f t="shared" si="4"/>
        <v>1</v>
      </c>
      <c r="AC28" s="1351">
        <f t="shared" si="5"/>
        <v>1</v>
      </c>
    </row>
    <row r="29" spans="1:29" ht="15">
      <c r="A29" s="379"/>
      <c r="B29" s="579"/>
      <c r="C29" s="398" t="s">
        <v>3475</v>
      </c>
      <c r="D29" s="399"/>
      <c r="E29" s="398" t="s">
        <v>3475</v>
      </c>
      <c r="F29" s="399"/>
      <c r="G29" s="398" t="s">
        <v>3475</v>
      </c>
      <c r="H29" s="399"/>
      <c r="I29" s="398" t="s">
        <v>3475</v>
      </c>
      <c r="J29" s="399"/>
      <c r="K29" s="562"/>
      <c r="L29" s="2719"/>
      <c r="M29" s="2713"/>
      <c r="N29" s="2713"/>
      <c r="O29" s="2771"/>
      <c r="P29" s="3684"/>
      <c r="Q29" s="1350"/>
      <c r="R29" s="704"/>
      <c r="S29" s="705"/>
      <c r="T29" s="704"/>
      <c r="U29" s="705"/>
      <c r="V29" s="704"/>
      <c r="W29" s="705"/>
      <c r="X29" s="1353"/>
      <c r="Y29" s="3684"/>
      <c r="Z29" s="1354"/>
      <c r="AA29" s="1351">
        <v>1</v>
      </c>
      <c r="AB29" s="1351">
        <v>1</v>
      </c>
      <c r="AC29" s="1351">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684"/>
      <c r="Q30" s="1350" t="str">
        <f t="shared" si="8"/>
        <v>土地级别</v>
      </c>
      <c r="R30" s="704" t="s">
        <v>14</v>
      </c>
      <c r="S30" s="705">
        <f t="shared" si="10"/>
        <v>100</v>
      </c>
      <c r="T30" s="704" t="s">
        <v>14</v>
      </c>
      <c r="U30" s="705">
        <f t="shared" si="11"/>
        <v>100</v>
      </c>
      <c r="V30" s="704" t="s">
        <v>14</v>
      </c>
      <c r="W30" s="705">
        <f t="shared" si="12"/>
        <v>100</v>
      </c>
      <c r="X30" s="1353"/>
      <c r="Y30" s="3684"/>
      <c r="Z30" s="1354" t="str">
        <f t="shared" si="13"/>
        <v>土地级别</v>
      </c>
      <c r="AA30" s="1351">
        <f t="shared" si="3"/>
        <v>1</v>
      </c>
      <c r="AB30" s="1351">
        <f t="shared" si="4"/>
        <v>1</v>
      </c>
      <c r="AC30" s="1351">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4"/>
      <c r="Q31" s="1350">
        <f t="shared" si="8"/>
        <v>111</v>
      </c>
      <c r="R31" s="704" t="s">
        <v>14</v>
      </c>
      <c r="S31" s="705">
        <f t="shared" si="10"/>
        <v>100</v>
      </c>
      <c r="T31" s="704" t="s">
        <v>14</v>
      </c>
      <c r="U31" s="705">
        <f t="shared" si="11"/>
        <v>100</v>
      </c>
      <c r="V31" s="704" t="s">
        <v>14</v>
      </c>
      <c r="W31" s="705">
        <f t="shared" si="12"/>
        <v>100</v>
      </c>
      <c r="X31" s="1353"/>
      <c r="Y31" s="3684"/>
      <c r="Z31" s="1354">
        <f t="shared" si="13"/>
        <v>111</v>
      </c>
      <c r="AA31" s="1351">
        <f t="shared" si="3"/>
        <v>1</v>
      </c>
      <c r="AB31" s="1351">
        <f t="shared" si="4"/>
        <v>1</v>
      </c>
      <c r="AC31" s="1351">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31" t="s">
        <v>1696</v>
      </c>
      <c r="Q32" s="1350">
        <f t="shared" si="8"/>
        <v>111</v>
      </c>
      <c r="R32" s="704" t="s">
        <v>14</v>
      </c>
      <c r="S32" s="705">
        <f t="shared" si="10"/>
        <v>100</v>
      </c>
      <c r="T32" s="704" t="s">
        <v>14</v>
      </c>
      <c r="U32" s="705">
        <f t="shared" si="11"/>
        <v>100</v>
      </c>
      <c r="V32" s="704" t="s">
        <v>14</v>
      </c>
      <c r="W32" s="705">
        <f t="shared" si="12"/>
        <v>100</v>
      </c>
      <c r="X32" s="1353"/>
      <c r="Y32" s="3688" t="s">
        <v>1696</v>
      </c>
      <c r="Z32" s="1354">
        <f t="shared" si="13"/>
        <v>111</v>
      </c>
      <c r="AA32" s="1351">
        <f t="shared" si="3"/>
        <v>1</v>
      </c>
      <c r="AB32" s="1351">
        <f t="shared" si="4"/>
        <v>1</v>
      </c>
      <c r="AC32" s="1351">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688"/>
      <c r="Q33" s="1350">
        <f t="shared" si="8"/>
        <v>111</v>
      </c>
      <c r="R33" s="707" t="s">
        <v>14</v>
      </c>
      <c r="S33" s="708">
        <f t="shared" si="10"/>
        <v>100</v>
      </c>
      <c r="T33" s="707" t="s">
        <v>14</v>
      </c>
      <c r="U33" s="708">
        <f t="shared" si="11"/>
        <v>100</v>
      </c>
      <c r="V33" s="707" t="s">
        <v>14</v>
      </c>
      <c r="W33" s="708">
        <f t="shared" si="12"/>
        <v>100</v>
      </c>
      <c r="X33" s="709"/>
      <c r="Y33" s="3688"/>
      <c r="Z33" s="710">
        <f t="shared" si="13"/>
        <v>111</v>
      </c>
      <c r="AA33" s="1351">
        <f t="shared" si="3"/>
        <v>1</v>
      </c>
      <c r="AB33" s="1351">
        <f t="shared" si="4"/>
        <v>1</v>
      </c>
      <c r="AC33" s="1351">
        <f t="shared" si="5"/>
        <v>1</v>
      </c>
    </row>
    <row r="34" spans="1:31" ht="15">
      <c r="A34" s="391" t="s">
        <v>1694</v>
      </c>
      <c r="B34" s="407" t="s">
        <v>1874</v>
      </c>
      <c r="C34" s="626"/>
      <c r="D34" s="418">
        <v>100</v>
      </c>
      <c r="E34" s="626"/>
      <c r="F34" s="418">
        <f>LOOKUP(E34,108:108,109:109)-LOOKUP(C34,108:108,109:109)+100</f>
        <v>100</v>
      </c>
      <c r="G34" s="626"/>
      <c r="H34" s="418">
        <f>LOOKUP(G34,108:108,109:109)-LOOKUP(C34,108:108,109:109)+100</f>
        <v>100</v>
      </c>
      <c r="I34" s="479"/>
      <c r="J34" s="418">
        <f>LOOKUP(I34,108:108,109:109)-LOOKUP(C34,108:108,109:109)+100</f>
        <v>100</v>
      </c>
      <c r="K34" s="562"/>
      <c r="L34" s="2719"/>
      <c r="M34" s="2713"/>
      <c r="N34" s="2713"/>
      <c r="O34" s="2771"/>
      <c r="P34" s="3688"/>
      <c r="Q34" s="1350" t="str">
        <f>B34</f>
        <v>宗地面积</v>
      </c>
      <c r="R34" s="704" t="s">
        <v>14</v>
      </c>
      <c r="S34" s="705">
        <f t="shared" si="10"/>
        <v>100</v>
      </c>
      <c r="T34" s="704" t="s">
        <v>14</v>
      </c>
      <c r="U34" s="705">
        <f t="shared" si="11"/>
        <v>100</v>
      </c>
      <c r="V34" s="704" t="s">
        <v>14</v>
      </c>
      <c r="W34" s="705">
        <f t="shared" si="12"/>
        <v>100</v>
      </c>
      <c r="X34" s="1353"/>
      <c r="Y34" s="3688"/>
      <c r="Z34" s="1354" t="str">
        <f t="shared" si="13"/>
        <v>宗地面积</v>
      </c>
      <c r="AA34" s="1351">
        <f t="shared" si="3"/>
        <v>1</v>
      </c>
      <c r="AB34" s="1351">
        <f t="shared" si="4"/>
        <v>1</v>
      </c>
      <c r="AC34" s="1351">
        <f t="shared" si="5"/>
        <v>1</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88"/>
      <c r="Q35" s="1350" t="str">
        <f t="shared" ref="Q35:Q40" si="14">B35</f>
        <v>宗地形状</v>
      </c>
      <c r="R35" s="704" t="s">
        <v>14</v>
      </c>
      <c r="S35" s="705">
        <f t="shared" si="10"/>
        <v>100</v>
      </c>
      <c r="T35" s="704" t="s">
        <v>14</v>
      </c>
      <c r="U35" s="705">
        <f t="shared" si="11"/>
        <v>100</v>
      </c>
      <c r="V35" s="704" t="s">
        <v>14</v>
      </c>
      <c r="W35" s="705">
        <f t="shared" si="12"/>
        <v>100</v>
      </c>
      <c r="X35" s="1353"/>
      <c r="Y35" s="3688"/>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88"/>
      <c r="Q36" s="1350" t="str">
        <f t="shared" si="14"/>
        <v>宗地开发程度</v>
      </c>
      <c r="R36" s="700" t="s">
        <v>14</v>
      </c>
      <c r="S36" s="701">
        <f t="shared" si="10"/>
        <v>100</v>
      </c>
      <c r="T36" s="700" t="s">
        <v>14</v>
      </c>
      <c r="U36" s="701">
        <f t="shared" si="11"/>
        <v>100</v>
      </c>
      <c r="V36" s="700" t="s">
        <v>14</v>
      </c>
      <c r="W36" s="701">
        <f t="shared" si="12"/>
        <v>100</v>
      </c>
      <c r="X36" s="702"/>
      <c r="Y36" s="3688"/>
      <c r="Z36" s="52" t="str">
        <f t="shared" si="13"/>
        <v>宗地开发程度</v>
      </c>
      <c r="AA36" s="703">
        <f t="shared" si="3"/>
        <v>1</v>
      </c>
      <c r="AB36" s="703">
        <f t="shared" si="4"/>
        <v>1</v>
      </c>
      <c r="AC36" s="703">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88" t="s">
        <v>1696</v>
      </c>
      <c r="Q37" s="1350" t="str">
        <f t="shared" si="14"/>
        <v>工程地质条件</v>
      </c>
      <c r="R37" s="704" t="s">
        <v>14</v>
      </c>
      <c r="S37" s="705">
        <f t="shared" si="10"/>
        <v>100</v>
      </c>
      <c r="T37" s="704" t="s">
        <v>14</v>
      </c>
      <c r="U37" s="705">
        <f t="shared" si="11"/>
        <v>100</v>
      </c>
      <c r="V37" s="704" t="s">
        <v>14</v>
      </c>
      <c r="W37" s="705">
        <f t="shared" si="12"/>
        <v>100</v>
      </c>
      <c r="X37" s="1353"/>
      <c r="Y37" s="3688" t="s">
        <v>1696</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688"/>
      <c r="Q38" s="1350">
        <f t="shared" si="14"/>
        <v>111</v>
      </c>
      <c r="R38" s="704" t="s">
        <v>14</v>
      </c>
      <c r="S38" s="705">
        <f t="shared" si="10"/>
        <v>100</v>
      </c>
      <c r="T38" s="704" t="s">
        <v>14</v>
      </c>
      <c r="U38" s="705">
        <f t="shared" si="11"/>
        <v>100</v>
      </c>
      <c r="V38" s="704" t="s">
        <v>14</v>
      </c>
      <c r="W38" s="705">
        <f t="shared" si="12"/>
        <v>100</v>
      </c>
      <c r="X38" s="1353"/>
      <c r="Y38" s="3688"/>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688"/>
      <c r="Q39" s="1350">
        <f t="shared" si="14"/>
        <v>111</v>
      </c>
      <c r="R39" s="704" t="s">
        <v>14</v>
      </c>
      <c r="S39" s="705">
        <f t="shared" si="10"/>
        <v>100</v>
      </c>
      <c r="T39" s="704" t="s">
        <v>14</v>
      </c>
      <c r="U39" s="705">
        <f t="shared" si="11"/>
        <v>100</v>
      </c>
      <c r="V39" s="704" t="s">
        <v>14</v>
      </c>
      <c r="W39" s="705">
        <f t="shared" si="12"/>
        <v>100</v>
      </c>
      <c r="X39" s="1353"/>
      <c r="Y39" s="3688"/>
      <c r="Z39" s="1354">
        <f t="shared" si="13"/>
        <v>111</v>
      </c>
      <c r="AA39" s="1351">
        <f t="shared" si="3"/>
        <v>1</v>
      </c>
      <c r="AB39" s="1351">
        <f t="shared" si="4"/>
        <v>1</v>
      </c>
      <c r="AC39" s="1351">
        <f t="shared" si="5"/>
        <v>1</v>
      </c>
    </row>
    <row r="40" spans="1:31" s="422" customFormat="1" ht="15.75" thickBot="1">
      <c r="A40" s="419"/>
      <c r="B40" s="1133">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688"/>
      <c r="Q40" s="1350">
        <f t="shared" si="14"/>
        <v>111</v>
      </c>
      <c r="R40" s="707" t="s">
        <v>14</v>
      </c>
      <c r="S40" s="708">
        <f t="shared" si="10"/>
        <v>100</v>
      </c>
      <c r="T40" s="707" t="s">
        <v>14</v>
      </c>
      <c r="U40" s="708">
        <f t="shared" si="11"/>
        <v>100</v>
      </c>
      <c r="V40" s="707" t="s">
        <v>14</v>
      </c>
      <c r="W40" s="708">
        <f t="shared" si="12"/>
        <v>100</v>
      </c>
      <c r="X40" s="709"/>
      <c r="Y40" s="3688"/>
      <c r="Z40" s="710">
        <f t="shared" si="13"/>
        <v>111</v>
      </c>
      <c r="AA40" s="1351">
        <f t="shared" si="3"/>
        <v>1</v>
      </c>
      <c r="AB40" s="1351">
        <f t="shared" si="4"/>
        <v>1</v>
      </c>
      <c r="AC40" s="1351">
        <f t="shared" si="5"/>
        <v>1</v>
      </c>
    </row>
    <row r="41" spans="1:31" ht="15">
      <c r="A41" s="430" t="s">
        <v>1844</v>
      </c>
      <c r="B41" s="3452" t="s">
        <v>3629</v>
      </c>
      <c r="C41" s="629" t="s">
        <v>0</v>
      </c>
      <c r="D41" s="432"/>
      <c r="E41" s="433">
        <f>案例信息!U4</f>
        <v>2358</v>
      </c>
      <c r="F41" s="434"/>
      <c r="G41" s="435">
        <f>案例信息!U5</f>
        <v>2813</v>
      </c>
      <c r="H41" s="436"/>
      <c r="I41" s="433">
        <f>案例信息!U10</f>
        <v>2695</v>
      </c>
      <c r="J41" s="436"/>
      <c r="K41" s="713"/>
      <c r="L41" s="2721"/>
      <c r="M41" s="2713"/>
      <c r="N41" s="2713"/>
      <c r="O41" s="2722"/>
      <c r="P41" s="3690" t="str">
        <f>A41</f>
        <v>成交单价</v>
      </c>
      <c r="Q41" s="3690"/>
      <c r="R41" s="3652">
        <f>E41</f>
        <v>2358</v>
      </c>
      <c r="S41" s="3652"/>
      <c r="T41" s="3652">
        <f>G41</f>
        <v>2813</v>
      </c>
      <c r="U41" s="3652"/>
      <c r="V41" s="3652">
        <f>I41</f>
        <v>2695</v>
      </c>
      <c r="W41" s="3652"/>
      <c r="X41" s="689"/>
      <c r="Y41" s="711"/>
      <c r="Z41" s="689"/>
      <c r="AA41" s="689"/>
      <c r="AB41" s="689"/>
      <c r="AC41" s="689"/>
    </row>
    <row r="42" spans="1:31" ht="15.75" thickBot="1">
      <c r="A42" s="437" t="s">
        <v>1793</v>
      </c>
      <c r="B42" s="630"/>
      <c r="C42" s="440">
        <f>R43</f>
        <v>2483</v>
      </c>
      <c r="D42" s="2314" t="s">
        <v>2137</v>
      </c>
      <c r="E42" s="440">
        <f>R42</f>
        <v>2205</v>
      </c>
      <c r="F42" s="2315"/>
      <c r="G42" s="439">
        <f>T42</f>
        <v>2631</v>
      </c>
      <c r="H42" s="2315"/>
      <c r="I42" s="440">
        <f>V42</f>
        <v>2613</v>
      </c>
      <c r="J42" s="2315"/>
      <c r="K42" s="2317">
        <f>F42+H42+J42</f>
        <v>0</v>
      </c>
      <c r="L42" s="2721"/>
      <c r="M42" s="2713"/>
      <c r="N42" s="2713"/>
      <c r="O42" s="2722"/>
      <c r="P42" s="3690" t="str">
        <f>A42</f>
        <v>比较价值（元/平方米）</v>
      </c>
      <c r="Q42" s="3690"/>
      <c r="R42" s="3733">
        <f>ROUND(PRODUCT(R41,AA7:AA40),0)</f>
        <v>2205</v>
      </c>
      <c r="S42" s="3733"/>
      <c r="T42" s="3733">
        <f>ROUND(PRODUCT(T41,AB7:AB40),0)</f>
        <v>2631</v>
      </c>
      <c r="U42" s="3733"/>
      <c r="V42" s="3733">
        <f>ROUND(PRODUCT(V41,AC7:AC40),0)</f>
        <v>2613</v>
      </c>
      <c r="W42" s="3733"/>
      <c r="X42" s="689"/>
      <c r="Y42" s="689"/>
      <c r="Z42" s="689"/>
      <c r="AA42" s="689"/>
      <c r="AB42" s="689"/>
      <c r="AC42" s="689"/>
    </row>
    <row r="43" spans="1:31" ht="15.75" thickBot="1">
      <c r="A43" s="441" t="s">
        <v>1794</v>
      </c>
      <c r="B43" s="442"/>
      <c r="C43" s="443">
        <f>R43</f>
        <v>2483</v>
      </c>
      <c r="D43" s="443"/>
      <c r="E43" s="443"/>
      <c r="F43" s="443"/>
      <c r="G43" s="443"/>
      <c r="H43" s="443"/>
      <c r="I43" s="443"/>
      <c r="J43" s="443"/>
      <c r="K43" s="714"/>
      <c r="L43" s="2721"/>
      <c r="M43" s="2713"/>
      <c r="N43" s="2713"/>
      <c r="O43" s="2722"/>
      <c r="P43" s="3692" t="str">
        <f>A43</f>
        <v>估价对象XX用房的比较价值（楼面单价，元/平方米）</v>
      </c>
      <c r="Q43" s="3693"/>
      <c r="R43" s="3734">
        <f>ROUND(IF(D42="简单平均",AVERAGE(R42:W42),R42*F42+T42*H42+V42*J42),0)</f>
        <v>2483</v>
      </c>
      <c r="S43" s="3734"/>
      <c r="T43" s="3734"/>
      <c r="U43" s="3734"/>
      <c r="V43" s="3734"/>
      <c r="W43" s="3734"/>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f>IF(E41&lt;E42,E42/E41-1,E41/E42-1)</f>
        <v>6.938775510204076E-2</v>
      </c>
      <c r="F46" s="449" t="str">
        <f>IF(OR(E46&gt;=0.3,E46&lt;=-0.3),"超过30%","")</f>
        <v/>
      </c>
      <c r="G46" s="448">
        <f>IF(G41&lt;G42,G42/G41-1,G41/G42-1)</f>
        <v>6.9175218548080508E-2</v>
      </c>
      <c r="H46" s="449" t="str">
        <f>IF(OR(G46&gt;=0.3,G46&lt;=-0.3),"超过30%","")</f>
        <v/>
      </c>
      <c r="I46" s="448">
        <f>IF(I41&lt;I42,I42/I41-1,I41/I42-1)</f>
        <v>3.138155376961338E-2</v>
      </c>
      <c r="J46" s="449" t="str">
        <f>IF(OR(I46&gt;=0.3,I46&lt;=-0.3),"超过30%","")</f>
        <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f>IF(E42&lt;G42,G42/E42-1,E42/G42-1)</f>
        <v>0.19319727891156457</v>
      </c>
      <c r="F47" s="449" t="str">
        <f>IF(OR(E47&gt;=0.2,E47&lt;=-0.2),"超过20%","")</f>
        <v/>
      </c>
      <c r="G47" s="448">
        <f>IF(G42&lt;I42,I42/G42-1,G42/I42-1)</f>
        <v>6.8886337543054843E-3</v>
      </c>
      <c r="H47" s="449" t="str">
        <f>IF(OR(G47&gt;=0.2,G47&lt;=-0.2),"超过20%","")</f>
        <v/>
      </c>
      <c r="I47" s="448">
        <f>IF(I42&lt;E42,E42/I42-1,I42/E42-1)</f>
        <v>0.18503401360544225</v>
      </c>
      <c r="J47" s="449" t="str">
        <f>IF(OR(I47&gt;=0.2,I47&lt;=-0.2),"超过20%","")</f>
        <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f>IF(E41&lt;G41,G41/E41-1,E41/G41-1)</f>
        <v>0.19296013570822734</v>
      </c>
      <c r="F48" s="449" t="str">
        <f>IF(OR(E48&gt;=0.3,E48&lt;=-0.3),"超过30%","")</f>
        <v/>
      </c>
      <c r="G48" s="448">
        <f>IF(G41&lt;I41,I41/G41-1,G41/I41-1)</f>
        <v>4.3784786641929418E-2</v>
      </c>
      <c r="H48" s="449" t="str">
        <f>IF(OR(G48&gt;=0.3,G48&lt;=-0.3),"超过30%","")</f>
        <v/>
      </c>
      <c r="I48" s="448">
        <f>IF(I41&lt;E41,E41/I41-1,I41/E41-1)</f>
        <v>0.14291772688719262</v>
      </c>
      <c r="J48" s="449" t="str">
        <f>IF(OR(I48&gt;=0.3,I48&lt;=-0.3),"超过30%","")</f>
        <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0" t="s">
        <v>1883</v>
      </c>
      <c r="D50" s="1981" t="s">
        <v>1884</v>
      </c>
      <c r="E50" s="633" t="s">
        <v>1885</v>
      </c>
      <c r="F50" s="634" t="s">
        <v>1886</v>
      </c>
      <c r="G50" s="3668" t="s">
        <v>1887</v>
      </c>
      <c r="H50" s="3735"/>
      <c r="I50" s="1354" t="s">
        <v>1922</v>
      </c>
      <c r="J50" s="1354">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f>C43</f>
        <v>2483</v>
      </c>
      <c r="C51" s="637">
        <v>1</v>
      </c>
      <c r="D51" s="943">
        <v>1</v>
      </c>
      <c r="E51" s="637">
        <f>'数据-汇总表'!E8+'数据-汇总表'!E9</f>
        <v>9908.9000000000015</v>
      </c>
      <c r="F51" s="638">
        <f t="shared" ref="F51:F60" si="15">ROUND(B51*E51/10000,0)</f>
        <v>2460</v>
      </c>
      <c r="G51" s="3667"/>
      <c r="H51" s="3690"/>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8">
        <f>ROUND($C$43*C52*D52,0)</f>
        <v>0</v>
      </c>
      <c r="C52" s="171">
        <f t="shared" ref="C52:C60" si="16">IF($C$50="北京市系数",I52,J52)</f>
        <v>0</v>
      </c>
      <c r="D52" s="944">
        <v>0.25</v>
      </c>
      <c r="E52" s="641"/>
      <c r="F52" s="638">
        <f t="shared" si="15"/>
        <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8">
        <f t="shared" ref="B53:B60" si="17">ROUND($C$43*C53*D53,0)</f>
        <v>0</v>
      </c>
      <c r="C53" s="171">
        <f t="shared" si="16"/>
        <v>0</v>
      </c>
      <c r="D53" s="944">
        <v>0.25</v>
      </c>
      <c r="E53" s="641"/>
      <c r="F53" s="638">
        <f t="shared" si="15"/>
        <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8">
        <f t="shared" si="17"/>
        <v>0</v>
      </c>
      <c r="C54" s="171">
        <f t="shared" si="16"/>
        <v>0</v>
      </c>
      <c r="D54" s="944">
        <v>0.25</v>
      </c>
      <c r="E54" s="641"/>
      <c r="F54" s="638">
        <f t="shared" si="15"/>
        <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8">
        <f t="shared" si="17"/>
        <v>0</v>
      </c>
      <c r="C56" s="171">
        <f t="shared" si="16"/>
        <v>0</v>
      </c>
      <c r="D56" s="944">
        <v>0.25</v>
      </c>
      <c r="E56" s="217">
        <f>'数据-汇总表'!E11</f>
        <v>0</v>
      </c>
      <c r="F56" s="638">
        <f t="shared" si="15"/>
        <v>0</v>
      </c>
      <c r="G56" s="1984"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8">
        <f t="shared" si="17"/>
        <v>0</v>
      </c>
      <c r="C57" s="171">
        <f t="shared" si="16"/>
        <v>0</v>
      </c>
      <c r="D57" s="944">
        <v>0.25</v>
      </c>
      <c r="E57" s="217">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8">
        <f t="shared" si="17"/>
        <v>0</v>
      </c>
      <c r="C58" s="171">
        <f t="shared" si="16"/>
        <v>0</v>
      </c>
      <c r="D58" s="944">
        <v>0.25</v>
      </c>
      <c r="E58" s="217">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8">
        <f t="shared" si="17"/>
        <v>0</v>
      </c>
      <c r="C59" s="171">
        <f t="shared" si="16"/>
        <v>0</v>
      </c>
      <c r="D59" s="944">
        <v>0.25</v>
      </c>
      <c r="E59" s="217">
        <f>'数据-汇总表'!E14</f>
        <v>0</v>
      </c>
      <c r="F59" s="638">
        <f t="shared" si="15"/>
        <v>0</v>
      </c>
      <c r="G59" s="1984"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8">
        <f t="shared" si="17"/>
        <v>0</v>
      </c>
      <c r="C60" s="171">
        <f t="shared" si="16"/>
        <v>0</v>
      </c>
      <c r="D60" s="944">
        <v>0.25</v>
      </c>
      <c r="E60" s="217">
        <f>'数据-汇总表'!E15</f>
        <v>0</v>
      </c>
      <c r="F60" s="638">
        <f t="shared" si="15"/>
        <v>0</v>
      </c>
      <c r="G60" s="1985"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9908.9000000000015</v>
      </c>
      <c r="F61" s="644">
        <f>IF(B41="楼面地价",SUM(F51:F60),ROUND(C43*E61/10000,0))</f>
        <v>2460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8"/>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f t="shared" ref="I66" si="21">H66-0.5</f>
        <v>97</v>
      </c>
      <c r="J66" s="544">
        <f t="shared" ref="J66" si="22">I66-0.5</f>
        <v>96.5</v>
      </c>
      <c r="K66" s="544">
        <f t="shared" ref="K66" si="23">J66-0.5</f>
        <v>96</v>
      </c>
      <c r="L66" s="544">
        <f t="shared" ref="L66" si="24">K66-0.5</f>
        <v>95.5</v>
      </c>
      <c r="M66" s="544">
        <f t="shared" ref="M66" si="25">L66-0.5</f>
        <v>95</v>
      </c>
      <c r="N66" s="544">
        <f t="shared" ref="N66" si="26">M66-0.5</f>
        <v>94.5</v>
      </c>
      <c r="O66" s="544">
        <f t="shared" ref="O66" si="27">N66-0.5</f>
        <v>94</v>
      </c>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3448" t="s">
        <v>3470</v>
      </c>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v>100</v>
      </c>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0（含）-1</v>
      </c>
      <c r="D74" s="496" t="str">
        <f t="shared" ref="D74:L74" si="28">D75&amp;"（含）"&amp;"-"&amp;E75</f>
        <v>1（含）-2</v>
      </c>
      <c r="E74" s="496" t="str">
        <f t="shared" si="28"/>
        <v>2（含）-3</v>
      </c>
      <c r="F74" s="496" t="str">
        <f t="shared" si="28"/>
        <v>3（含）-4</v>
      </c>
      <c r="G74" s="496" t="str">
        <f t="shared" si="28"/>
        <v>4（含）-5</v>
      </c>
      <c r="H74" s="496" t="str">
        <f t="shared" si="28"/>
        <v>5（含）-</v>
      </c>
      <c r="I74" s="496" t="str">
        <f t="shared" si="28"/>
        <v>（含）-</v>
      </c>
      <c r="J74" s="496" t="str">
        <f t="shared" si="28"/>
        <v>（含）-</v>
      </c>
      <c r="K74" s="496" t="str">
        <f t="shared" si="28"/>
        <v>（含）-</v>
      </c>
      <c r="L74" s="496" t="str">
        <f t="shared" si="28"/>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v>0</v>
      </c>
      <c r="D75" s="498">
        <v>1</v>
      </c>
      <c r="E75" s="498">
        <v>2</v>
      </c>
      <c r="F75" s="498">
        <v>3</v>
      </c>
      <c r="G75" s="498">
        <v>4</v>
      </c>
      <c r="H75" s="498">
        <v>5</v>
      </c>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9">IF($B$41="单位面积地价",D76+$K11,D76-$K11)</f>
        <v>100</v>
      </c>
      <c r="F76" s="493">
        <f t="shared" si="29"/>
        <v>100</v>
      </c>
      <c r="G76" s="493">
        <f t="shared" si="29"/>
        <v>100</v>
      </c>
      <c r="H76" s="493">
        <f t="shared" si="29"/>
        <v>100</v>
      </c>
      <c r="I76" s="493">
        <f t="shared" si="29"/>
        <v>100</v>
      </c>
      <c r="J76" s="493">
        <f t="shared" si="29"/>
        <v>100</v>
      </c>
      <c r="K76" s="493">
        <f t="shared" si="29"/>
        <v>100</v>
      </c>
      <c r="L76" s="493">
        <f t="shared" si="29"/>
        <v>100</v>
      </c>
      <c r="M76" s="493">
        <f t="shared" si="29"/>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98</v>
      </c>
      <c r="E84" s="493">
        <f>D84-$K15</f>
        <v>96</v>
      </c>
      <c r="F84" s="493">
        <f>E84-$K15</f>
        <v>94</v>
      </c>
      <c r="G84" s="493">
        <f>F84-$K15</f>
        <v>92</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98</v>
      </c>
      <c r="E86" s="493">
        <f>D86-$K17</f>
        <v>96</v>
      </c>
      <c r="F86" s="493">
        <f>E86-$K17</f>
        <v>94</v>
      </c>
      <c r="G86" s="493">
        <f>F86-$K17</f>
        <v>92</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79</v>
      </c>
      <c r="E88" s="493">
        <f>D88-$K19</f>
        <v>58</v>
      </c>
      <c r="F88" s="493">
        <f>E88-$K19</f>
        <v>37</v>
      </c>
      <c r="G88" s="493">
        <f>F88-$K19</f>
        <v>16</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30">C96-$K27</f>
        <v>98</v>
      </c>
      <c r="E96" s="493">
        <f t="shared" si="30"/>
        <v>96</v>
      </c>
      <c r="F96" s="493">
        <f t="shared" si="30"/>
        <v>94</v>
      </c>
      <c r="G96" s="493">
        <f t="shared" si="30"/>
        <v>92</v>
      </c>
      <c r="H96" s="493">
        <f t="shared" si="30"/>
        <v>90</v>
      </c>
      <c r="I96" s="493">
        <f t="shared" si="30"/>
        <v>88</v>
      </c>
      <c r="J96" s="493">
        <f t="shared" si="30"/>
        <v>86</v>
      </c>
      <c r="K96" s="493">
        <f t="shared" si="30"/>
        <v>84</v>
      </c>
      <c r="L96" s="493">
        <f t="shared" si="30"/>
        <v>82</v>
      </c>
      <c r="M96" s="493">
        <f t="shared" si="30"/>
        <v>80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3447" t="s">
        <v>3471</v>
      </c>
      <c r="D97" s="3447" t="s">
        <v>3472</v>
      </c>
      <c r="E97" s="3447" t="s">
        <v>3473</v>
      </c>
      <c r="F97" s="3447" t="s">
        <v>3474</v>
      </c>
      <c r="G97" s="3447" t="s">
        <v>3476</v>
      </c>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31">C98-$K28</f>
        <v>99</v>
      </c>
      <c r="E98" s="493">
        <f t="shared" si="31"/>
        <v>98</v>
      </c>
      <c r="F98" s="493">
        <f t="shared" si="31"/>
        <v>97</v>
      </c>
      <c r="G98" s="493">
        <f t="shared" si="31"/>
        <v>96</v>
      </c>
      <c r="H98" s="493">
        <f t="shared" si="31"/>
        <v>95</v>
      </c>
      <c r="I98" s="493">
        <f t="shared" si="31"/>
        <v>94</v>
      </c>
      <c r="J98" s="493">
        <f t="shared" si="31"/>
        <v>93</v>
      </c>
      <c r="K98" s="493">
        <f t="shared" si="31"/>
        <v>92</v>
      </c>
      <c r="L98" s="493">
        <f t="shared" si="31"/>
        <v>91</v>
      </c>
      <c r="M98" s="493">
        <f t="shared" si="31"/>
        <v>90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32">C100-$K30</f>
        <v>100</v>
      </c>
      <c r="E100" s="493">
        <f t="shared" si="32"/>
        <v>100</v>
      </c>
      <c r="F100" s="493">
        <f t="shared" si="32"/>
        <v>100</v>
      </c>
      <c r="G100" s="493">
        <f t="shared" si="32"/>
        <v>100</v>
      </c>
      <c r="H100" s="493">
        <f t="shared" si="32"/>
        <v>100</v>
      </c>
      <c r="I100" s="493">
        <f t="shared" si="32"/>
        <v>100</v>
      </c>
      <c r="J100" s="493">
        <f t="shared" si="32"/>
        <v>100</v>
      </c>
      <c r="K100" s="493">
        <f t="shared" si="32"/>
        <v>100</v>
      </c>
      <c r="L100" s="493">
        <f t="shared" si="32"/>
        <v>100</v>
      </c>
      <c r="M100" s="493">
        <f t="shared" si="32"/>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28.5">
      <c r="A107" s="476" t="s">
        <v>1694</v>
      </c>
      <c r="B107" s="477" t="s">
        <v>1913</v>
      </c>
      <c r="C107" s="478" t="str">
        <f t="shared" ref="C107:L107" si="33">C108&amp;"(含)"&amp;"-"&amp;D108</f>
        <v>0(含)-30000</v>
      </c>
      <c r="D107" s="478" t="str">
        <f t="shared" si="33"/>
        <v>30000(含)-50000</v>
      </c>
      <c r="E107" s="478" t="str">
        <f t="shared" si="33"/>
        <v>50000(含)-100000</v>
      </c>
      <c r="F107" s="478" t="str">
        <f t="shared" si="33"/>
        <v>100000(含)-</v>
      </c>
      <c r="G107" s="478" t="str">
        <f t="shared" si="33"/>
        <v>(含)-</v>
      </c>
      <c r="H107" s="478" t="str">
        <f t="shared" si="33"/>
        <v>(含)-</v>
      </c>
      <c r="I107" s="478" t="str">
        <f t="shared" si="33"/>
        <v>(含)-</v>
      </c>
      <c r="J107" s="478" t="str">
        <f t="shared" si="33"/>
        <v>(含)-</v>
      </c>
      <c r="K107" s="1331" t="str">
        <f t="shared" si="33"/>
        <v>(含)-</v>
      </c>
      <c r="L107" s="1331" t="str">
        <f t="shared" si="33"/>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v>0</v>
      </c>
      <c r="D108" s="544">
        <v>30000</v>
      </c>
      <c r="E108" s="544">
        <v>50000</v>
      </c>
      <c r="F108" s="544">
        <v>100000</v>
      </c>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v>100</v>
      </c>
      <c r="D109" s="540">
        <f>C109-2</f>
        <v>98</v>
      </c>
      <c r="E109" s="540">
        <f t="shared" ref="E109:F109" si="34">D109-2</f>
        <v>96</v>
      </c>
      <c r="F109" s="540">
        <f t="shared" si="34"/>
        <v>94</v>
      </c>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35">C111-$K35</f>
        <v>100</v>
      </c>
      <c r="E111" s="493">
        <f t="shared" si="35"/>
        <v>100</v>
      </c>
      <c r="F111" s="493">
        <f t="shared" si="35"/>
        <v>100</v>
      </c>
      <c r="G111" s="493">
        <f t="shared" si="35"/>
        <v>100</v>
      </c>
      <c r="H111" s="493">
        <f t="shared" si="35"/>
        <v>100</v>
      </c>
      <c r="I111" s="493">
        <f t="shared" si="35"/>
        <v>100</v>
      </c>
      <c r="J111" s="493">
        <f t="shared" si="35"/>
        <v>100</v>
      </c>
      <c r="K111" s="493">
        <f t="shared" si="35"/>
        <v>100</v>
      </c>
      <c r="L111" s="493">
        <f t="shared" si="35"/>
        <v>100</v>
      </c>
      <c r="M111" s="494">
        <f t="shared" si="35"/>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36">C113-$K36</f>
        <v>100</v>
      </c>
      <c r="E113" s="493">
        <f t="shared" si="36"/>
        <v>100</v>
      </c>
      <c r="F113" s="493">
        <f t="shared" si="36"/>
        <v>100</v>
      </c>
      <c r="G113" s="493">
        <f t="shared" si="36"/>
        <v>100</v>
      </c>
      <c r="H113" s="493">
        <f t="shared" si="36"/>
        <v>100</v>
      </c>
      <c r="I113" s="493">
        <f t="shared" si="36"/>
        <v>100</v>
      </c>
      <c r="J113" s="493">
        <f t="shared" si="36"/>
        <v>100</v>
      </c>
      <c r="K113" s="493">
        <f t="shared" si="36"/>
        <v>100</v>
      </c>
      <c r="L113" s="493">
        <f t="shared" si="36"/>
        <v>100</v>
      </c>
      <c r="M113" s="494">
        <f t="shared" si="36"/>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37">C115-$K37</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43" t="s">
        <v>2083</v>
      </c>
      <c r="D1" s="3744"/>
      <c r="E1" s="3744"/>
      <c r="F1" s="3744"/>
      <c r="G1" s="3744"/>
      <c r="H1" s="3744"/>
      <c r="I1" s="3744"/>
      <c r="J1" s="3744"/>
      <c r="K1" s="3744"/>
      <c r="L1" s="3744"/>
      <c r="M1" s="3744"/>
      <c r="N1" s="3744"/>
      <c r="O1" s="3744"/>
      <c r="P1" s="3744"/>
      <c r="Q1" s="3744"/>
      <c r="R1" s="3744"/>
      <c r="S1" s="374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2092</v>
      </c>
      <c r="B17" s="2146"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8"/>
      <c r="F19" s="1338"/>
      <c r="G19" s="1338"/>
      <c r="H19" s="1058"/>
      <c r="I19" s="159"/>
      <c r="J19" s="159"/>
      <c r="K19" s="159"/>
      <c r="L19" s="159"/>
      <c r="M19" s="159"/>
      <c r="N19" s="159"/>
      <c r="O19" s="159"/>
      <c r="P19" s="159"/>
      <c r="Q19" s="159"/>
      <c r="R19" s="717"/>
      <c r="S19" s="129"/>
    </row>
    <row r="20" spans="1:45" ht="16.5" thickBot="1">
      <c r="A20" s="661" t="s">
        <v>2095</v>
      </c>
      <c r="B20" s="294" t="e">
        <f ca="1">IF(D20="——",S22,S22-F20)</f>
        <v>#REF!</v>
      </c>
      <c r="C20" s="159"/>
      <c r="D20" s="2148"/>
      <c r="E20" s="1339"/>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40" t="s">
        <v>27</v>
      </c>
      <c r="D22" s="3741"/>
      <c r="E22" s="3741"/>
      <c r="F22" s="3741"/>
      <c r="G22" s="3741"/>
      <c r="H22" s="3741"/>
      <c r="I22" s="3741"/>
      <c r="J22" s="3741"/>
      <c r="K22" s="3741"/>
      <c r="L22" s="3741"/>
      <c r="M22" s="3741"/>
      <c r="N22" s="3741"/>
      <c r="O22" s="3741"/>
      <c r="P22" s="3741"/>
      <c r="Q22" s="374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20138</v>
      </c>
      <c r="C2" s="2142" t="s">
        <v>2073</v>
      </c>
      <c r="D2" s="2142" t="s">
        <v>2074</v>
      </c>
      <c r="E2" s="2609">
        <f ca="1">SUMIF(E6:E13,"&lt;&gt;#ref!",E6:E13)</f>
        <v>38090.49</v>
      </c>
      <c r="F2" s="2790"/>
      <c r="G2" s="2790"/>
      <c r="H2" s="2790"/>
      <c r="I2" s="2790"/>
      <c r="J2" s="2790"/>
      <c r="K2" s="2790"/>
      <c r="L2" s="2790"/>
      <c r="M2" s="2790"/>
      <c r="N2" s="2790"/>
      <c r="O2" s="2790"/>
      <c r="P2" s="2790"/>
    </row>
    <row r="3" spans="1:16" ht="15.75">
      <c r="A3" s="2142" t="s">
        <v>2075</v>
      </c>
      <c r="B3" s="2599">
        <f ca="1">ROUND(B2*10000/E2,0)</f>
        <v>5287</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20138</v>
      </c>
      <c r="C6" s="2142" t="s">
        <v>2073</v>
      </c>
      <c r="D6" s="2790"/>
      <c r="E6" s="2609">
        <f ca="1">SUMIF(INDIRECT("'"&amp;A6&amp;"'"&amp;"!C:C"),"建筑面积",INDIRECT("'"&amp;A6&amp;"'"&amp;"!D:D"))</f>
        <v>38090.49</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38090.49</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20138</v>
      </c>
      <c r="C2" s="1996" t="s">
        <v>1934</v>
      </c>
      <c r="D2" s="1997" t="s">
        <v>1935</v>
      </c>
      <c r="E2" s="3419" t="s">
        <v>3</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Ⅴ-12</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8">
        <f>ROUND(SUMPRODUCT((B106:B110=R2)*(C105:N105=G2)*(C106:N110)),4)</f>
        <v>1.5019</v>
      </c>
      <c r="T2" s="3358">
        <f t="shared" ref="T2:T16" si="0">ROUND($C$5*$C$22*$C$23*$C$24*S2*$C$28,0)</f>
        <v>7077</v>
      </c>
      <c r="U2" s="1211"/>
      <c r="V2" s="3358">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5287</v>
      </c>
      <c r="C3" s="1996" t="s">
        <v>1940</v>
      </c>
      <c r="D3" s="1997" t="s">
        <v>1941</v>
      </c>
      <c r="E3" s="3417" t="s">
        <v>2486</v>
      </c>
      <c r="F3" s="2001" t="s">
        <v>3435</v>
      </c>
      <c r="G3" s="751">
        <f>IF(F3="宗地容积率",'数据-汇总表'!I4,IF(F3="估价对象容积率",'数据-汇总表'!I6,'数据-汇总表'!I7))</f>
        <v>1</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8">
        <f>ROUND(SUMPRODUCT((B106:B110=R3)*(C105:N105=G2)*(C106:N110)),4)</f>
        <v>1.1838</v>
      </c>
      <c r="T3" s="3358">
        <f t="shared" si="0"/>
        <v>5578</v>
      </c>
      <c r="U3" s="1211"/>
      <c r="V3" s="3358">
        <f t="shared" ref="V3:V16" si="1">ROUND(T3*U3/10000,0)</f>
        <v>0</v>
      </c>
      <c r="W3" s="1214"/>
      <c r="X3" s="1214"/>
      <c r="Y3" s="1214"/>
      <c r="Z3" s="1214"/>
      <c r="AA3" s="1214"/>
      <c r="AB3" s="1214"/>
      <c r="AC3" s="1215"/>
      <c r="AD3" s="1216"/>
      <c r="AE3" s="1216"/>
      <c r="AF3" s="1216"/>
      <c r="AG3" s="1216"/>
      <c r="AH3" s="1216"/>
      <c r="AI3" s="1216"/>
      <c r="AJ3" s="1217"/>
    </row>
    <row r="4" spans="1:36" ht="15.75">
      <c r="A4" s="3753"/>
      <c r="B4" s="3754"/>
      <c r="C4" s="3754"/>
      <c r="D4" s="3755"/>
      <c r="E4" s="3755"/>
      <c r="F4" s="3755"/>
      <c r="G4" s="3755"/>
      <c r="H4" s="3755"/>
      <c r="I4" s="3755"/>
      <c r="J4" s="3756"/>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8">
        <f>ROUND(SUMPRODUCT((B106:B110=R4)*(C105:N105=G2)*(C106:N110)),4)</f>
        <v>1.0004999999999999</v>
      </c>
      <c r="T4" s="3358">
        <f t="shared" si="0"/>
        <v>4714</v>
      </c>
      <c r="U4" s="1211"/>
      <c r="V4" s="3358">
        <f t="shared" si="1"/>
        <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2">
        <f>ROUND(IF(E2="商业",C6*C7*C17+C20,(IF(E2="住宅",C6*C13*C17+C20,IF(E2="办公",C6*C12*C17+C20,C6+C20)))),0)</f>
        <v>3020</v>
      </c>
      <c r="D5" s="1337">
        <f>ROUND(C6*C17+C20,0)</f>
        <v>3020</v>
      </c>
      <c r="E5" s="1337"/>
      <c r="F5" s="2004"/>
      <c r="G5" s="2005"/>
      <c r="H5" s="2005"/>
      <c r="I5" s="2005"/>
      <c r="J5" s="2006"/>
      <c r="K5" s="2007"/>
      <c r="L5" s="2000" t="s">
        <v>1947</v>
      </c>
      <c r="M5" s="863">
        <f>SUMPRODUCT((区片价!B87:B126=I2)*(区片价!C3:G3=E2)*(区片价!C87:G126))</f>
        <v>3080</v>
      </c>
      <c r="N5" s="865">
        <f>SUMPRODUCT((因素修正幅度!B87:B126=I2)*(因素修正幅度!C3:G3=E2)*(因素修正幅度!C87:G126))</f>
        <v>0.1</v>
      </c>
      <c r="O5" s="1118"/>
      <c r="P5" s="1118"/>
      <c r="Q5" s="1118"/>
      <c r="R5" s="1210">
        <v>4</v>
      </c>
      <c r="S5" s="3358">
        <f>ROUND(SUMPRODUCT((B106:B110=R5)*(C105:N105=G2)*(C106:N110)),4)</f>
        <v>0.88239999999999996</v>
      </c>
      <c r="T5" s="3358">
        <f t="shared" si="0"/>
        <v>4158</v>
      </c>
      <c r="U5" s="1211"/>
      <c r="V5" s="3358">
        <f t="shared" si="1"/>
        <v>0</v>
      </c>
      <c r="W5" s="1214"/>
      <c r="X5" s="1214"/>
      <c r="Y5" s="1214"/>
      <c r="Z5" s="1214"/>
      <c r="AA5" s="1214"/>
      <c r="AB5" s="1214"/>
      <c r="AC5" s="2008"/>
      <c r="AD5" s="2009"/>
      <c r="AE5" s="2009"/>
      <c r="AF5" s="2009"/>
      <c r="AG5" s="2009"/>
      <c r="AH5" s="2009"/>
      <c r="AI5" s="2009"/>
      <c r="AJ5" s="2010"/>
    </row>
    <row r="6" spans="1:36" ht="15.75" thickBot="1">
      <c r="A6" s="2012" t="s">
        <v>1948</v>
      </c>
      <c r="B6" s="2013" t="s">
        <v>1949</v>
      </c>
      <c r="C6" s="753">
        <f>SUMIF(L1:L12,G2,M1:M12)</f>
        <v>3080</v>
      </c>
      <c r="D6" s="2014"/>
      <c r="E6" s="2015"/>
      <c r="F6" s="2015"/>
      <c r="G6" s="2016"/>
      <c r="H6" s="2016"/>
      <c r="I6" s="2016"/>
      <c r="J6" s="2017"/>
      <c r="K6" s="1382"/>
      <c r="L6" s="2000" t="s">
        <v>1950</v>
      </c>
      <c r="M6" s="863">
        <f>SUMPRODUCT((区片价!B127:B189=I2)*(区片价!C3:G3=E2)*(区片价!C127:G189))</f>
        <v>0</v>
      </c>
      <c r="N6" s="865">
        <f>SUMPRODUCT((因素修正幅度!B127:B189=I2)*(因素修正幅度!C3:G3=E2)*(因素修正幅度!C127:G189))</f>
        <v>0</v>
      </c>
      <c r="O6" s="1118"/>
      <c r="P6" s="1118"/>
      <c r="Q6" s="1118"/>
      <c r="R6" s="1210">
        <v>5</v>
      </c>
      <c r="S6" s="3358">
        <f>ROUND(SUMPRODUCT((B106:B110=R6)*(C105:N105=G2)*(C106:N110)),4)</f>
        <v>0.84799999999999998</v>
      </c>
      <c r="T6" s="3358">
        <f t="shared" si="0"/>
        <v>3996</v>
      </c>
      <c r="U6" s="1211"/>
      <c r="V6" s="3358">
        <f t="shared" si="1"/>
        <v>0</v>
      </c>
      <c r="W6" s="1214"/>
      <c r="X6" s="1214"/>
      <c r="Y6" s="1214"/>
      <c r="Z6" s="1214"/>
      <c r="AA6" s="1214"/>
      <c r="AB6" s="1214"/>
      <c r="AC6" s="2008"/>
      <c r="AD6" s="2009"/>
      <c r="AE6" s="2009"/>
      <c r="AF6" s="2009"/>
      <c r="AG6" s="2009"/>
      <c r="AH6" s="2009"/>
      <c r="AI6" s="2009"/>
      <c r="AJ6" s="2010"/>
    </row>
    <row r="7" spans="1:36" ht="24.75" thickBot="1">
      <c r="A7" s="3301" t="s">
        <v>3240</v>
      </c>
      <c r="B7" s="2018" t="s">
        <v>1951</v>
      </c>
      <c r="C7" s="754">
        <f>IF(C8="不临65条商业街",1,ROUND(1+(1.6*E8+1.2*E9+0.8*E10+0.4*E11)*C9,4))</f>
        <v>1</v>
      </c>
      <c r="D7" s="2019" t="s">
        <v>1952</v>
      </c>
      <c r="E7" s="775"/>
      <c r="F7" s="2020"/>
      <c r="G7" s="2021"/>
      <c r="H7" s="2021"/>
      <c r="I7" s="2021"/>
      <c r="J7" s="2022"/>
      <c r="K7" s="1382"/>
      <c r="L7" s="2000" t="s">
        <v>1953</v>
      </c>
      <c r="M7" s="863">
        <f>SUMPRODUCT((区片价!B190:B233=I2)*(区片价!C3:G3=E2)*(区片价!C190:G233))</f>
        <v>0</v>
      </c>
      <c r="N7" s="865">
        <f>SUMPRODUCT((因素修正幅度!B190:B233=I2)*(因素修正幅度!C3:G3=E2)*(因素修正幅度!C190:G233))</f>
        <v>0</v>
      </c>
      <c r="O7" s="1118"/>
      <c r="P7" s="1118"/>
      <c r="Q7" s="1118"/>
      <c r="R7" s="1210">
        <v>6</v>
      </c>
      <c r="S7" s="3416"/>
      <c r="T7" s="3358">
        <f t="shared" si="0"/>
        <v>0</v>
      </c>
      <c r="U7" s="1211"/>
      <c r="V7" s="3358">
        <f t="shared" si="1"/>
        <v>0</v>
      </c>
      <c r="W7" s="1356" t="s">
        <v>1954</v>
      </c>
      <c r="X7" s="1212" t="str">
        <f>G2</f>
        <v>五级</v>
      </c>
      <c r="Y7" s="1212" t="s">
        <v>1955</v>
      </c>
      <c r="Z7" s="1213">
        <f>G3</f>
        <v>1</v>
      </c>
      <c r="AA7" s="1214"/>
      <c r="AB7" s="1214"/>
      <c r="AC7" s="1215"/>
      <c r="AD7" s="1216"/>
      <c r="AE7" s="1216"/>
      <c r="AF7" s="1216"/>
      <c r="AG7" s="1216"/>
      <c r="AH7" s="1216"/>
      <c r="AI7" s="1216"/>
      <c r="AJ7" s="1217"/>
    </row>
    <row r="8" spans="1:36" ht="25.5">
      <c r="A8" s="3296"/>
      <c r="B8" s="170" t="s">
        <v>1956</v>
      </c>
      <c r="C8" s="2023" t="s">
        <v>3444</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0">
        <v>7</v>
      </c>
      <c r="S8" s="1211"/>
      <c r="T8" s="3358">
        <f t="shared" si="0"/>
        <v>0</v>
      </c>
      <c r="U8" s="1211"/>
      <c r="V8" s="3358">
        <f t="shared" si="1"/>
        <v>0</v>
      </c>
      <c r="W8" s="3750" t="s">
        <v>1959</v>
      </c>
      <c r="X8" s="3751"/>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6"/>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8">
        <f t="shared" si="0"/>
        <v>0</v>
      </c>
      <c r="U9" s="1211"/>
      <c r="V9" s="3358">
        <f t="shared" si="1"/>
        <v>0</v>
      </c>
      <c r="W9" s="3752"/>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8">
        <f t="shared" si="0"/>
        <v>0</v>
      </c>
      <c r="U10" s="1211"/>
      <c r="V10" s="3358">
        <f t="shared" si="1"/>
        <v>0</v>
      </c>
      <c r="W10" s="375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3245</v>
      </c>
      <c r="B13" s="2031" t="s">
        <v>1981</v>
      </c>
      <c r="C13" s="754">
        <f>ROUND(C16*D16*E16*F16*G16*H16*I16*J16,4)</f>
        <v>0</v>
      </c>
      <c r="D13" s="2032" t="s">
        <v>1982</v>
      </c>
      <c r="E13" s="2033"/>
      <c r="F13" s="2033"/>
      <c r="G13" s="2034"/>
      <c r="H13" s="2034"/>
      <c r="I13" s="2034"/>
      <c r="J13" s="2035"/>
      <c r="K13" s="1118"/>
      <c r="L13" s="3297"/>
      <c r="M13" s="3298"/>
      <c r="N13" s="3299"/>
      <c r="O13" s="1118"/>
      <c r="P13" s="1118"/>
      <c r="Q13" s="1118"/>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7" t="s">
        <v>1984</v>
      </c>
      <c r="C14" s="2038" t="s">
        <v>1985</v>
      </c>
      <c r="D14" s="1348" t="s">
        <v>1986</v>
      </c>
      <c r="E14" s="27" t="s">
        <v>1987</v>
      </c>
      <c r="F14" s="3309" t="s">
        <v>3246</v>
      </c>
      <c r="G14" s="3309" t="s">
        <v>3246</v>
      </c>
      <c r="H14" s="3309" t="s">
        <v>3246</v>
      </c>
      <c r="I14" s="3309" t="s">
        <v>3246</v>
      </c>
      <c r="J14" s="3309" t="s">
        <v>3246</v>
      </c>
      <c r="K14" s="1118"/>
      <c r="L14" s="1118"/>
      <c r="M14" s="1118"/>
      <c r="N14" s="1118"/>
      <c r="O14" s="1118"/>
      <c r="P14" s="1118"/>
      <c r="Q14" s="1118"/>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39"/>
      <c r="C15" s="2040"/>
      <c r="D15" s="2041"/>
      <c r="E15" s="2042"/>
      <c r="F15" s="3310" t="s">
        <v>3247</v>
      </c>
      <c r="G15" s="3311"/>
      <c r="H15" s="3312"/>
      <c r="I15" s="3313"/>
      <c r="J15" s="3314"/>
      <c r="K15" s="1118"/>
      <c r="L15" s="1118"/>
      <c r="M15" s="1118"/>
      <c r="N15" s="1118"/>
      <c r="O15" s="1118"/>
      <c r="P15" s="1118"/>
      <c r="Q15" s="1118"/>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4"/>
      <c r="M16" s="1994"/>
      <c r="N16" s="1994"/>
      <c r="O16" s="1994"/>
      <c r="P16" s="1994"/>
      <c r="Q16" s="1118"/>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30"/>
      <c r="B18" s="3007"/>
      <c r="C18" s="3325"/>
      <c r="D18" s="3320" t="s">
        <v>3251</v>
      </c>
      <c r="E18" s="3326"/>
      <c r="F18" s="3321" t="s">
        <v>3254</v>
      </c>
      <c r="G18" s="3325">
        <f>ROUND(1-(1/(POWER(1+G24,E18))),4)</f>
        <v>0</v>
      </c>
      <c r="H18" s="3321" t="s">
        <v>3256</v>
      </c>
      <c r="I18" s="3325">
        <f>ROUND(1-(1/(POWER(1+G24,J24))),4)</f>
        <v>0.91279999999999994</v>
      </c>
      <c r="J18" s="3331"/>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5"/>
    </row>
    <row r="19" spans="1:37" s="2011" customFormat="1" ht="15" thickBot="1">
      <c r="A19" s="3332"/>
      <c r="B19" s="3333"/>
      <c r="C19" s="3334"/>
      <c r="D19" s="3334" t="s">
        <v>3252</v>
      </c>
      <c r="E19" s="3335"/>
      <c r="F19" s="3336" t="s">
        <v>3255</v>
      </c>
      <c r="G19" s="3335"/>
      <c r="H19" s="3334"/>
      <c r="I19" s="3334"/>
      <c r="J19" s="3337"/>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8"/>
      <c r="AH19" s="2138"/>
      <c r="AI19" s="2789"/>
      <c r="AJ19" s="2789"/>
      <c r="AK19" s="2054"/>
    </row>
    <row r="20" spans="1:37" s="2011" customFormat="1" ht="14.25">
      <c r="A20" s="3757" t="s">
        <v>3257</v>
      </c>
      <c r="B20" s="167" t="s">
        <v>1993</v>
      </c>
      <c r="C20" s="3322">
        <f>ROUND(IF(F21="与级别开发程度一致",0,(G21-E21)/C21),0)</f>
        <v>-60</v>
      </c>
      <c r="D20" s="3338" t="s">
        <v>1997</v>
      </c>
      <c r="E20" s="3339"/>
      <c r="F20" s="3763" t="s">
        <v>1994</v>
      </c>
      <c r="G20" s="3764"/>
      <c r="H20" s="3323" t="s">
        <v>3386</v>
      </c>
      <c r="I20" s="3323" t="s">
        <v>3387</v>
      </c>
      <c r="J20" s="3324" t="s">
        <v>3388</v>
      </c>
      <c r="K20" s="2044" t="s">
        <v>3389</v>
      </c>
      <c r="L20" s="2044" t="s">
        <v>3390</v>
      </c>
      <c r="M20" s="2044" t="s">
        <v>3446</v>
      </c>
      <c r="N20" s="2044"/>
      <c r="O20" s="2045"/>
      <c r="P20" s="1994"/>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1" customFormat="1" ht="26.25" thickBot="1">
      <c r="A21" s="3758"/>
      <c r="B21" s="2161" t="s">
        <v>1996</v>
      </c>
      <c r="C21" s="2162">
        <f>IF(E3="M4科研用地",SUMPRODUCT((修正!A2:A7=E3)*(修正!B1:M1=G2)*(修正!B2:M7)),SUMPRODUCT((修正!A2:A7=E2)*(修正!B1:M1=G2)*(修正!B2:M7)))</f>
        <v>1.5</v>
      </c>
      <c r="D21" s="187" t="str">
        <f>IF(OR(G2="八级",G2="九级",G2="十级",G2="十一级",G2="十二级"),"五通一平","七通一平")</f>
        <v>七通一平</v>
      </c>
      <c r="E21" s="2152">
        <f>SUMPRODUCT((修正!B1:M1=G2)*(修正!B17:M17))</f>
        <v>315</v>
      </c>
      <c r="F21" s="2153" t="s">
        <v>3632</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1" customFormat="1" ht="15.75" thickBot="1">
      <c r="A22" s="2155" t="s">
        <v>363</v>
      </c>
      <c r="B22" s="2156" t="s">
        <v>1999</v>
      </c>
      <c r="C22" s="2157">
        <f>SUMIF(修正!C20:C51,E3,修正!E20:E51)</f>
        <v>1.5</v>
      </c>
      <c r="D22" s="2158"/>
      <c r="E22" s="2159"/>
      <c r="F22" s="2159"/>
      <c r="G22" s="2159"/>
      <c r="H22" s="2159"/>
      <c r="I22" s="2159"/>
      <c r="J22" s="2160"/>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7" t="s">
        <v>364</v>
      </c>
      <c r="B23" s="2048"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1" t="s">
        <v>2001</v>
      </c>
      <c r="E23" s="760">
        <v>44197</v>
      </c>
      <c r="F23" s="2051" t="s">
        <v>2002</v>
      </c>
      <c r="G23" s="761">
        <f>'数据-取费表'!B2</f>
        <v>45449</v>
      </c>
      <c r="H23" s="3340" t="s">
        <v>3259</v>
      </c>
      <c r="I23" s="3341" t="str">
        <f>IF(H23="季度增幅（自定义）",SUMIF(N25:N28,E2,O25:O28),"")</f>
        <v/>
      </c>
      <c r="J23" s="3443" t="s">
        <v>3258</v>
      </c>
      <c r="K23" s="1124"/>
      <c r="L23" s="2052" t="s">
        <v>2003</v>
      </c>
      <c r="M23" s="1326">
        <f>ROUND(SUMIF(地价!B2:G2,E2,地价!B16:G16),0)</f>
        <v>318</v>
      </c>
      <c r="N23" s="2053" t="s">
        <v>2004</v>
      </c>
      <c r="O23" s="762">
        <f>ROUNDDOWN(DATEDIF(E23,G23,"M")/3,0)</f>
        <v>13</v>
      </c>
      <c r="P23" s="1121"/>
      <c r="Q23" s="2785"/>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0.9254</v>
      </c>
      <c r="D24" s="2057" t="s">
        <v>2006</v>
      </c>
      <c r="E24" s="1333">
        <f>存贷款利率!E24/100</f>
        <v>4.3499999999999997E-2</v>
      </c>
      <c r="F24" s="2057" t="s">
        <v>1998</v>
      </c>
      <c r="G24" s="767">
        <f>SUMIF(M30:Q30,E2,M33:Q33)</f>
        <v>0.05</v>
      </c>
      <c r="H24" s="2057" t="s">
        <v>2007</v>
      </c>
      <c r="I24" s="768">
        <f>SUMIF('数据-取费表'!C6:C15,E2,'数据-取费表'!F6:F15)/COUNTIF('数据-取费表'!C6:C15,E2)</f>
        <v>38.17</v>
      </c>
      <c r="J24" s="769">
        <f>IF(E2="住宅",70,IF(E2="商业",40,50))</f>
        <v>50</v>
      </c>
      <c r="K24" s="1124"/>
      <c r="L24" s="2058" t="s">
        <v>2008</v>
      </c>
      <c r="M24" s="1327">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2" t="s">
        <v>366</v>
      </c>
      <c r="B25" s="2063" t="s">
        <v>3445</v>
      </c>
      <c r="C25" s="770">
        <f>IF(B25="容积率修正",IF(G3&lt;10,D26,J26),C27)</f>
        <v>1.1220000000000001</v>
      </c>
      <c r="D25" s="2064"/>
      <c r="E25" s="2064"/>
      <c r="F25" s="2064"/>
      <c r="G25" s="2064"/>
      <c r="H25" s="2064"/>
      <c r="I25" s="2064"/>
      <c r="J25" s="2065"/>
      <c r="K25" s="1124"/>
      <c r="L25" s="2785"/>
      <c r="M25" s="2785"/>
      <c r="N25" s="2066"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2" t="s">
        <v>3260</v>
      </c>
      <c r="D26" s="1350">
        <f>IF(E26=G26,F26,IF(G3&lt;10,ROUND(F26+(H26-F26)*(G3-E26)/(G26-E26),4),"——"))</f>
        <v>1.1220000000000001</v>
      </c>
      <c r="E26" s="751">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51">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342" t="s">
        <v>3261</v>
      </c>
      <c r="J26" s="771" t="str">
        <f>IF(G3&gt;=10,D115,"——")</f>
        <v>——</v>
      </c>
      <c r="K26" s="1124"/>
      <c r="L26" s="2785"/>
      <c r="M26" s="2785"/>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1.0465</v>
      </c>
      <c r="D28" s="2049"/>
      <c r="E28" s="2074"/>
      <c r="F28" s="2074"/>
      <c r="G28" s="2074"/>
      <c r="H28" s="2074"/>
      <c r="I28" s="2074"/>
      <c r="J28" s="2075"/>
      <c r="K28" s="1124"/>
      <c r="L28" s="2785"/>
      <c r="M28" s="2785"/>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20138</v>
      </c>
      <c r="D30" s="2080"/>
      <c r="E30" s="2043"/>
      <c r="F30" s="2081"/>
      <c r="G30" s="2043"/>
      <c r="H30" s="2043"/>
      <c r="I30" s="2043"/>
      <c r="J30" s="2082"/>
      <c r="K30" s="1118"/>
      <c r="L30" s="3348" t="s">
        <v>1935</v>
      </c>
      <c r="M30" s="3349" t="s">
        <v>1989</v>
      </c>
      <c r="N30" s="3349" t="s">
        <v>1990</v>
      </c>
      <c r="O30" s="3349" t="s">
        <v>1991</v>
      </c>
      <c r="P30" s="3349" t="s">
        <v>1992</v>
      </c>
      <c r="Q30" s="3352" t="s">
        <v>3265</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50" t="s">
        <v>1995</v>
      </c>
      <c r="M31" s="1997">
        <v>0.25</v>
      </c>
      <c r="N31" s="1997">
        <v>0.2</v>
      </c>
      <c r="O31" s="1997">
        <v>0.15</v>
      </c>
      <c r="P31" s="1997">
        <v>0.1</v>
      </c>
      <c r="Q31" s="3345">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1" t="s">
        <v>1998</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5287</v>
      </c>
      <c r="D33" s="2095">
        <f>'数据-基础表'!A3</f>
        <v>38090.49</v>
      </c>
      <c r="E33" s="772">
        <f>ROUND(C33*D33/10000,0)</f>
        <v>20138</v>
      </c>
      <c r="F33" s="3343" t="s">
        <v>3263</v>
      </c>
      <c r="G33" s="2096"/>
      <c r="H33" s="2096"/>
      <c r="I33" s="2096"/>
      <c r="J33" s="2097"/>
      <c r="K33" s="1118"/>
      <c r="L33" s="3346" t="s">
        <v>3266</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793</v>
      </c>
      <c r="D34" s="2100"/>
      <c r="E34" s="772">
        <f>ROUND(IF(B25="楼层修正",SUM(V2:V16)*M40,C34*D34/10000),0)</f>
        <v>0</v>
      </c>
      <c r="F34" s="2101" t="s">
        <v>2031</v>
      </c>
      <c r="G34" s="2102"/>
      <c r="H34" s="2102"/>
      <c r="I34" s="2102"/>
      <c r="J34" s="2103"/>
      <c r="K34" s="1118"/>
      <c r="L34" s="3346" t="s">
        <v>3267</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4" t="s">
        <v>3264</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61"/>
      <c r="B37" s="2110" t="s">
        <v>2035</v>
      </c>
      <c r="C37" s="175">
        <f>ROUND(D5*C22*C23*C24*C28*F37,0)</f>
        <v>2827</v>
      </c>
      <c r="D37" s="2095"/>
      <c r="E37" s="171">
        <f>ROUND(C37*D37/10000,0)</f>
        <v>0</v>
      </c>
      <c r="F37" s="171">
        <f>SUMIF(修正!A57:A68,G2,修正!B57:B68)</f>
        <v>0.6</v>
      </c>
      <c r="G37" s="171">
        <f>ROUND(IF(E2="工业",C37*$M$42,C37*$M$41),0)</f>
        <v>424</v>
      </c>
      <c r="H37" s="171">
        <f>D37</f>
        <v>0</v>
      </c>
      <c r="I37" s="171">
        <f>ROUND(G37*H37/10000,0)</f>
        <v>0</v>
      </c>
      <c r="J37" s="3009"/>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62"/>
      <c r="B38" s="2038" t="s">
        <v>2036</v>
      </c>
      <c r="C38" s="175">
        <f>ROUND(D5*C22*C23*C24*C28*F38,0)</f>
        <v>1414</v>
      </c>
      <c r="D38" s="2095"/>
      <c r="E38" s="171">
        <f t="shared" ref="E38:E42" si="4">ROUND(C38*D38/10000,0)</f>
        <v>0</v>
      </c>
      <c r="F38" s="171">
        <f>SUMIF(修正!A57:A68,G2,修正!C57:C68)</f>
        <v>0.3</v>
      </c>
      <c r="G38" s="171">
        <f>ROUND(IF(E2="工业",C38*$M$42,C38*$M$41),0)</f>
        <v>212</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62"/>
      <c r="B39" s="2038" t="s">
        <v>3262</v>
      </c>
      <c r="C39" s="175">
        <f>ROUND(D5*C22*C23*C24*C28*F39,0)</f>
        <v>1178</v>
      </c>
      <c r="D39" s="2095"/>
      <c r="E39" s="171">
        <f t="shared" si="4"/>
        <v>0</v>
      </c>
      <c r="F39" s="171">
        <f>SUMIF(修正!A57:A68,G2,修正!D57:D68)</f>
        <v>0.25</v>
      </c>
      <c r="G39" s="171">
        <f>ROUND(IF(E2="工业",C39*$M$42,C39*$M$41),0)</f>
        <v>177</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1178</v>
      </c>
      <c r="D40" s="2095"/>
      <c r="E40" s="171">
        <f t="shared" si="4"/>
        <v>0</v>
      </c>
      <c r="F40" s="175">
        <f>SUMIF(修正!A57:A68,G2,修正!E57:E68)</f>
        <v>0.25</v>
      </c>
      <c r="G40" s="171">
        <f>ROUND(IF(E2="工业",C40*$M$42,C40*$M$41),0)</f>
        <v>177</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1178</v>
      </c>
      <c r="D41" s="2095"/>
      <c r="E41" s="171">
        <f t="shared" si="4"/>
        <v>0</v>
      </c>
      <c r="F41" s="175">
        <f>SUMIF(修正!A57:A68,G2,修正!F57:F68)</f>
        <v>0.25</v>
      </c>
      <c r="G41" s="171">
        <f>ROUND(IF(E2="工业",C41*$M$42,C41*$M$41),0)</f>
        <v>177</v>
      </c>
      <c r="H41" s="171">
        <f t="shared" si="5"/>
        <v>0</v>
      </c>
      <c r="I41" s="171">
        <f t="shared" si="6"/>
        <v>0</v>
      </c>
      <c r="J41" s="2111"/>
      <c r="L41" s="3357" t="s">
        <v>3270</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707</v>
      </c>
      <c r="D42" s="2100"/>
      <c r="E42" s="187">
        <f t="shared" si="4"/>
        <v>0</v>
      </c>
      <c r="F42" s="766">
        <f>SUMIF(修正!A57:A68,G2,修正!G57:G68)</f>
        <v>0.15</v>
      </c>
      <c r="G42" s="187">
        <f>ROUND(IF(E2="工业",C42*$M$42,C42*$M$41),0)</f>
        <v>106</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0.9254</v>
      </c>
      <c r="D44" s="171" t="s">
        <v>1998</v>
      </c>
      <c r="E44" s="2150">
        <f>G24</f>
        <v>0.05</v>
      </c>
      <c r="F44" s="171" t="s">
        <v>2007</v>
      </c>
      <c r="G44" s="183">
        <f>项目基本情况!G15</f>
        <v>38.17</v>
      </c>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3" t="s">
        <v>2042</v>
      </c>
      <c r="B48" s="2124" t="e">
        <f>1+E50</f>
        <v>#VALUE!</v>
      </c>
      <c r="C48" s="2125"/>
      <c r="D48" s="740"/>
      <c r="E48" s="741"/>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7" t="s">
        <v>2043</v>
      </c>
      <c r="B49" s="1349" t="s">
        <v>2044</v>
      </c>
      <c r="C49" s="1349" t="s">
        <v>2045</v>
      </c>
      <c r="D49" s="1349" t="s">
        <v>2046</v>
      </c>
      <c r="E49" s="742" t="s">
        <v>2047</v>
      </c>
      <c r="F49" s="2128" t="s">
        <v>2048</v>
      </c>
      <c r="G49" s="1349" t="s">
        <v>310</v>
      </c>
      <c r="H49" s="2129"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2051</v>
      </c>
      <c r="B50" s="2130" t="str">
        <f>估价对象房地状况!C4</f>
        <v>估价对象位于XX商圈，周边商业氛围成熟，人流量大，商业繁华度好</v>
      </c>
      <c r="C50" s="2041" t="s">
        <v>3404</v>
      </c>
      <c r="D50" s="1064">
        <f t="shared" ref="D50:D58" si="7">SUMIF($J$49:$N$49,C50,J50:N50)</f>
        <v>0</v>
      </c>
      <c r="E50" s="743" t="e">
        <f>ROUND(SUM(D50:D58),4)</f>
        <v>#VALUE!</v>
      </c>
      <c r="F50" s="1811" t="str">
        <f>IF(E2="商业",SUMIF(L1:L12,G2,N1:N12),"——")</f>
        <v>——</v>
      </c>
      <c r="G50" s="1062" t="str">
        <f t="shared" ref="G50:G58" si="8">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7" t="s">
        <v>2052</v>
      </c>
      <c r="B51" s="2131" t="str">
        <f>估价对象房地状况!C18</f>
        <v>估价对象周边道路状况、公共交通通达情况、停车便捷程度，综合评价交通便捷度较好</v>
      </c>
      <c r="C51" s="2041" t="s">
        <v>3403</v>
      </c>
      <c r="D51" s="1064" t="e">
        <f t="shared" si="7"/>
        <v>#VALUE!</v>
      </c>
      <c r="E51" s="744"/>
      <c r="F51" s="1811"/>
      <c r="G51" s="1062" t="str">
        <f t="shared" si="8"/>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6" t="s">
        <v>3272</v>
      </c>
      <c r="B52" s="2131">
        <f>估价对象房地状况!C19</f>
        <v>0</v>
      </c>
      <c r="C52" s="2041" t="s">
        <v>3403</v>
      </c>
      <c r="D52" s="1064" t="e">
        <f t="shared" si="7"/>
        <v>#VALUE!</v>
      </c>
      <c r="E52" s="744"/>
      <c r="F52" s="1811"/>
      <c r="G52" s="1062" t="str">
        <f t="shared" si="8"/>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7" t="s">
        <v>2053</v>
      </c>
      <c r="B53" s="2132" t="s">
        <v>2054</v>
      </c>
      <c r="C53" s="2041" t="s">
        <v>3403</v>
      </c>
      <c r="D53" s="1064" t="e">
        <f t="shared" si="7"/>
        <v>#VALUE!</v>
      </c>
      <c r="E53" s="744"/>
      <c r="F53" s="1811"/>
      <c r="G53" s="1062" t="str">
        <f t="shared" si="8"/>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3404</v>
      </c>
      <c r="D54" s="1064">
        <f t="shared" si="7"/>
        <v>0</v>
      </c>
      <c r="E54" s="744"/>
      <c r="F54" s="1811"/>
      <c r="G54" s="1062" t="str">
        <f t="shared" si="8"/>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7" t="s">
        <v>2056</v>
      </c>
      <c r="B55" s="2133" t="s">
        <v>2057</v>
      </c>
      <c r="C55" s="2041" t="s">
        <v>3403</v>
      </c>
      <c r="D55" s="1064" t="e">
        <f t="shared" si="7"/>
        <v>#VALUE!</v>
      </c>
      <c r="E55" s="744"/>
      <c r="F55" s="1811"/>
      <c r="G55" s="1062" t="str">
        <f t="shared" si="8"/>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4" t="s">
        <v>2058</v>
      </c>
      <c r="B56" s="1324" t="str">
        <f>估价对象房地状况!C21</f>
        <v>估价对象所在区域公共配套设施齐备情况</v>
      </c>
      <c r="C56" s="2041" t="s">
        <v>3403</v>
      </c>
      <c r="D56" s="1064" t="e">
        <f t="shared" si="7"/>
        <v>#VALUE!</v>
      </c>
      <c r="E56" s="744"/>
      <c r="F56" s="1811"/>
      <c r="G56" s="1062" t="str">
        <f t="shared" si="8"/>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4" t="s">
        <v>2059</v>
      </c>
      <c r="B57" s="2131" t="str">
        <f>估价对象房地状况!C22</f>
        <v>估价对象所在区域基础设施水平</v>
      </c>
      <c r="C57" s="2041" t="s">
        <v>3402</v>
      </c>
      <c r="D57" s="1064" t="e">
        <f t="shared" si="7"/>
        <v>#VALUE!</v>
      </c>
      <c r="E57" s="744"/>
      <c r="F57" s="1811"/>
      <c r="G57" s="1062" t="str">
        <f t="shared" si="8"/>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5" t="s">
        <v>2060</v>
      </c>
      <c r="B58" s="2136" t="str">
        <f>估价对象房地状况!C20</f>
        <v>区域自然环境：；人文环境；综合评价环境状况一般</v>
      </c>
      <c r="C58" s="2041" t="s">
        <v>3403</v>
      </c>
      <c r="D58" s="1064" t="e">
        <f t="shared" si="7"/>
        <v>#VALUE!</v>
      </c>
      <c r="E58" s="745"/>
      <c r="F58" s="1811"/>
      <c r="G58" s="1062" t="str">
        <f t="shared" si="8"/>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3" t="s">
        <v>2061</v>
      </c>
      <c r="B59" s="2124">
        <f>1+E61</f>
        <v>1.0603</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49"/>
      <c r="C60" s="1349" t="s">
        <v>2045</v>
      </c>
      <c r="D60" s="1349" t="s">
        <v>2046</v>
      </c>
      <c r="E60" s="742" t="s">
        <v>2047</v>
      </c>
      <c r="F60" s="2128" t="s">
        <v>2062</v>
      </c>
      <c r="G60" s="1349" t="s">
        <v>310</v>
      </c>
      <c r="H60" s="2129"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2063</v>
      </c>
      <c r="B61" s="2130" t="str">
        <f>估价对象房地状况!C17</f>
        <v>估价对象位于XX商圈，周边办公楼项目较多，入驻率高，办公集聚程度较好</v>
      </c>
      <c r="C61" s="2041" t="s">
        <v>3403</v>
      </c>
      <c r="D61" s="1064">
        <f t="shared" ref="D61:D69" si="13">SUMIF($J$60:$N$60,C61,J61:N61)</f>
        <v>1.61E-2</v>
      </c>
      <c r="E61" s="743">
        <f>ROUND(SUM(D61:D69),4)</f>
        <v>6.0299999999999999E-2</v>
      </c>
      <c r="F61" s="1811" t="str">
        <f>IF(E2="办公",SUMIF(L1:L12,G2,N1:N12),"——")</f>
        <v>——</v>
      </c>
      <c r="G61" s="1062">
        <v>1.61E-2</v>
      </c>
      <c r="H61" s="1065" t="str">
        <f t="shared" ref="H61:H69" si="14">IFERROR(ROUNDDOWN($F$61*I61/2,4),"——")</f>
        <v>——</v>
      </c>
      <c r="I61" s="3364">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7" t="s">
        <v>2052</v>
      </c>
      <c r="B62" s="2131" t="str">
        <f>估价对象房地状况!C18</f>
        <v>估价对象周边道路状况、公共交通通达情况、停车便捷程度，综合评价交通便捷度较好</v>
      </c>
      <c r="C62" s="2041" t="s">
        <v>3403</v>
      </c>
      <c r="D62" s="1064">
        <f t="shared" si="13"/>
        <v>1.67E-2</v>
      </c>
      <c r="E62" s="744"/>
      <c r="F62" s="1811"/>
      <c r="G62" s="1062">
        <v>1.67E-2</v>
      </c>
      <c r="H62" s="1065" t="str">
        <f t="shared" si="14"/>
        <v>——</v>
      </c>
      <c r="I62" s="3364">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6" t="s">
        <v>3272</v>
      </c>
      <c r="B63" s="2131">
        <f>估价对象房地状况!C19</f>
        <v>0</v>
      </c>
      <c r="C63" s="2041" t="s">
        <v>3403</v>
      </c>
      <c r="D63" s="1064">
        <f t="shared" si="13"/>
        <v>7.0000000000000001E-3</v>
      </c>
      <c r="E63" s="744"/>
      <c r="F63" s="1811"/>
      <c r="G63" s="1062">
        <v>7.0000000000000001E-3</v>
      </c>
      <c r="H63" s="1065" t="str">
        <f t="shared" si="14"/>
        <v>——</v>
      </c>
      <c r="I63" s="3364">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7" t="s">
        <v>2053</v>
      </c>
      <c r="B64" s="2132" t="s">
        <v>2054</v>
      </c>
      <c r="C64" s="2041" t="s">
        <v>3404</v>
      </c>
      <c r="D64" s="1064">
        <f t="shared" si="13"/>
        <v>0</v>
      </c>
      <c r="E64" s="744"/>
      <c r="F64" s="1811"/>
      <c r="G64" s="1062">
        <v>3.2000000000000002E-3</v>
      </c>
      <c r="H64" s="1065" t="str">
        <f t="shared" si="14"/>
        <v>——</v>
      </c>
      <c r="I64" s="3364">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t="s">
        <v>3405</v>
      </c>
      <c r="D65" s="1064">
        <f t="shared" si="13"/>
        <v>-3.2000000000000002E-3</v>
      </c>
      <c r="E65" s="744"/>
      <c r="F65" s="1811"/>
      <c r="G65" s="1062">
        <v>3.2000000000000002E-3</v>
      </c>
      <c r="H65" s="1065" t="str">
        <f t="shared" si="14"/>
        <v>——</v>
      </c>
      <c r="I65" s="3364">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7" t="s">
        <v>2056</v>
      </c>
      <c r="B66" s="2133" t="s">
        <v>2057</v>
      </c>
      <c r="C66" s="2041" t="s">
        <v>3403</v>
      </c>
      <c r="D66" s="1064">
        <f t="shared" si="13"/>
        <v>3.8E-3</v>
      </c>
      <c r="E66" s="744"/>
      <c r="F66" s="1811"/>
      <c r="G66" s="1062">
        <v>3.8E-3</v>
      </c>
      <c r="H66" s="1065" t="str">
        <f t="shared" si="14"/>
        <v>——</v>
      </c>
      <c r="I66" s="3364">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7" t="s">
        <v>2058</v>
      </c>
      <c r="B67" s="1324" t="str">
        <f>估价对象房地状况!C21</f>
        <v>估价对象所在区域公共配套设施齐备情况</v>
      </c>
      <c r="C67" s="2041" t="s">
        <v>3403</v>
      </c>
      <c r="D67" s="1064">
        <f t="shared" si="13"/>
        <v>3.8E-3</v>
      </c>
      <c r="E67" s="744"/>
      <c r="F67" s="1811"/>
      <c r="G67" s="1062">
        <v>3.8E-3</v>
      </c>
      <c r="H67" s="1065" t="str">
        <f t="shared" si="14"/>
        <v>——</v>
      </c>
      <c r="I67" s="3364">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7" t="s">
        <v>2059</v>
      </c>
      <c r="B68" s="1324" t="str">
        <f>估价对象房地状况!C22</f>
        <v>估价对象所在区域基础设施水平</v>
      </c>
      <c r="C68" s="2041" t="s">
        <v>3402</v>
      </c>
      <c r="D68" s="1064">
        <f t="shared" si="13"/>
        <v>1.1599999999999999E-2</v>
      </c>
      <c r="E68" s="744"/>
      <c r="F68" s="1811"/>
      <c r="G68" s="1062">
        <v>5.7999999999999996E-3</v>
      </c>
      <c r="H68" s="1065" t="str">
        <f t="shared" si="14"/>
        <v>——</v>
      </c>
      <c r="I68" s="3364">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5" t="s">
        <v>2060</v>
      </c>
      <c r="B69" s="2137" t="str">
        <f>估价对象房地状况!C20</f>
        <v>区域自然环境：；人文环境；综合评价环境状况一般</v>
      </c>
      <c r="C69" s="2041" t="s">
        <v>3403</v>
      </c>
      <c r="D69" s="1064">
        <f t="shared" si="13"/>
        <v>4.4999999999999997E-3</v>
      </c>
      <c r="E69" s="745"/>
      <c r="F69" s="1811"/>
      <c r="G69" s="1062">
        <v>4.4999999999999997E-3</v>
      </c>
      <c r="H69" s="1065" t="str">
        <f t="shared" si="14"/>
        <v>——</v>
      </c>
      <c r="I69" s="3365">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3" t="s">
        <v>2064</v>
      </c>
      <c r="B70" s="2124">
        <f>1+E72</f>
        <v>1</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49"/>
      <c r="C71" s="1349" t="s">
        <v>2045</v>
      </c>
      <c r="D71" s="1349" t="s">
        <v>2046</v>
      </c>
      <c r="E71" s="742" t="s">
        <v>2047</v>
      </c>
      <c r="F71" s="2128" t="s">
        <v>2062</v>
      </c>
      <c r="G71" s="1349" t="s">
        <v>310</v>
      </c>
      <c r="H71" s="2129"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2065</v>
      </c>
      <c r="B72" s="2130" t="str">
        <f>估价对象房地状况!C15</f>
        <v>估价对象周边居住用地比例、居住小区规模和社区发展完善程度，综合评价居住社区成熟度一般</v>
      </c>
      <c r="C72" s="2041"/>
      <c r="D72" s="1064">
        <f t="shared" ref="D72:D80" si="18">SUMIF($J$71:$N$71,C72,J72:N72)</f>
        <v>0</v>
      </c>
      <c r="E72" s="743">
        <f>ROUND(SUM(D72:D80),4)</f>
        <v>0</v>
      </c>
      <c r="F72" s="1811" t="str">
        <f>IF(E2="住宅",SUMIF(L1:L12,G2,N1:N12),"——")</f>
        <v>——</v>
      </c>
      <c r="G72" s="1062"/>
      <c r="H72" s="1065" t="str">
        <f t="shared" ref="H72:H80" si="19">IFERROR(ROUNDDOWN($F$72*I72/2,4),"——")</f>
        <v>——</v>
      </c>
      <c r="I72" s="3364">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7" t="s">
        <v>2052</v>
      </c>
      <c r="B73" s="2131" t="str">
        <f>估价对象房地状况!C18</f>
        <v>估价对象周边道路状况、公共交通通达情况、停车便捷程度，综合评价交通便捷度较好</v>
      </c>
      <c r="C73" s="2041"/>
      <c r="D73" s="1064">
        <f t="shared" si="18"/>
        <v>0</v>
      </c>
      <c r="E73" s="746"/>
      <c r="F73" s="1811"/>
      <c r="G73" s="1062"/>
      <c r="H73" s="1065" t="str">
        <f t="shared" si="19"/>
        <v>——</v>
      </c>
      <c r="I73" s="3364">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6" t="s">
        <v>3272</v>
      </c>
      <c r="B74" s="2131">
        <f>估价对象房地状况!C19</f>
        <v>0</v>
      </c>
      <c r="C74" s="2041"/>
      <c r="D74" s="1064">
        <f t="shared" si="18"/>
        <v>0</v>
      </c>
      <c r="E74" s="746"/>
      <c r="F74" s="1811"/>
      <c r="G74" s="1062"/>
      <c r="H74" s="1065" t="str">
        <f t="shared" si="19"/>
        <v>——</v>
      </c>
      <c r="I74" s="3364">
        <v>0.1</v>
      </c>
      <c r="J74" s="1063">
        <f t="shared" si="20"/>
        <v>0</v>
      </c>
      <c r="K74" s="1063">
        <f t="shared" si="21"/>
        <v>0</v>
      </c>
      <c r="L74" s="1063">
        <v>0</v>
      </c>
      <c r="M74" s="1063">
        <f t="shared" si="22"/>
        <v>0</v>
      </c>
      <c r="N74" s="1063">
        <f t="shared" si="22"/>
        <v>0</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c r="D75" s="1064">
        <f t="shared" si="18"/>
        <v>0</v>
      </c>
      <c r="E75" s="746"/>
      <c r="F75" s="1811"/>
      <c r="G75" s="1062"/>
      <c r="H75" s="1065" t="str">
        <f t="shared" si="19"/>
        <v>——</v>
      </c>
      <c r="I75" s="3364">
        <v>0.05</v>
      </c>
      <c r="J75" s="1063">
        <f t="shared" si="20"/>
        <v>0</v>
      </c>
      <c r="K75" s="1063">
        <f t="shared" si="21"/>
        <v>0</v>
      </c>
      <c r="L75" s="1063">
        <v>0</v>
      </c>
      <c r="M75" s="1063">
        <f t="shared" si="22"/>
        <v>0</v>
      </c>
      <c r="N75" s="1063">
        <f t="shared" si="22"/>
        <v>0</v>
      </c>
      <c r="O75" s="1118"/>
      <c r="P75" s="1118"/>
      <c r="Q75" s="1994"/>
      <c r="Z75" s="1995"/>
      <c r="AA75" s="2050"/>
      <c r="AG75" s="1120"/>
      <c r="AK75" s="2050"/>
    </row>
    <row r="76" spans="1:37" ht="25.5">
      <c r="A76" s="2127" t="s">
        <v>2058</v>
      </c>
      <c r="B76" s="1324" t="str">
        <f>估价对象房地状况!C21</f>
        <v>估价对象所在区域公共配套设施齐备情况</v>
      </c>
      <c r="C76" s="2041"/>
      <c r="D76" s="1064">
        <f t="shared" si="18"/>
        <v>0</v>
      </c>
      <c r="E76" s="746"/>
      <c r="F76" s="1811"/>
      <c r="G76" s="1062"/>
      <c r="H76" s="1065" t="str">
        <f t="shared" si="19"/>
        <v>——</v>
      </c>
      <c r="I76" s="3364">
        <v>0.08</v>
      </c>
      <c r="J76" s="1063">
        <f t="shared" si="20"/>
        <v>0</v>
      </c>
      <c r="K76" s="1063">
        <f t="shared" si="21"/>
        <v>0</v>
      </c>
      <c r="L76" s="1063">
        <v>0</v>
      </c>
      <c r="M76" s="1063">
        <f t="shared" si="22"/>
        <v>0</v>
      </c>
      <c r="N76" s="1063">
        <f t="shared" si="22"/>
        <v>0</v>
      </c>
      <c r="O76" s="1118"/>
      <c r="P76" s="1118"/>
      <c r="Z76" s="1995"/>
      <c r="AA76" s="2050"/>
      <c r="AG76" s="1120"/>
      <c r="AK76" s="2050"/>
    </row>
    <row r="77" spans="1:37" ht="25.5">
      <c r="A77" s="2127" t="s">
        <v>2059</v>
      </c>
      <c r="B77" s="1324" t="str">
        <f>估价对象房地状况!C22</f>
        <v>估价对象所在区域基础设施水平</v>
      </c>
      <c r="C77" s="2041"/>
      <c r="D77" s="1064">
        <f t="shared" si="18"/>
        <v>0</v>
      </c>
      <c r="E77" s="746"/>
      <c r="F77" s="1811"/>
      <c r="G77" s="1062"/>
      <c r="H77" s="1065" t="str">
        <f t="shared" si="19"/>
        <v>——</v>
      </c>
      <c r="I77" s="3364">
        <v>0.09</v>
      </c>
      <c r="J77" s="1063">
        <f t="shared" si="20"/>
        <v>0</v>
      </c>
      <c r="K77" s="1063">
        <f t="shared" si="21"/>
        <v>0</v>
      </c>
      <c r="L77" s="1063">
        <v>0</v>
      </c>
      <c r="M77" s="1063">
        <f t="shared" si="22"/>
        <v>0</v>
      </c>
      <c r="N77" s="1063">
        <f t="shared" si="22"/>
        <v>0</v>
      </c>
      <c r="O77" s="1118"/>
      <c r="P77" s="1118"/>
      <c r="Z77" s="1995"/>
      <c r="AA77" s="2050"/>
      <c r="AG77" s="1120"/>
      <c r="AK77" s="2050"/>
    </row>
    <row r="78" spans="1:37" ht="24">
      <c r="A78" s="2127" t="s">
        <v>2056</v>
      </c>
      <c r="B78" s="2133" t="s">
        <v>2057</v>
      </c>
      <c r="C78" s="2041"/>
      <c r="D78" s="1064">
        <f t="shared" si="18"/>
        <v>0</v>
      </c>
      <c r="E78" s="746"/>
      <c r="F78" s="1811"/>
      <c r="G78" s="1062"/>
      <c r="H78" s="1065" t="str">
        <f t="shared" si="19"/>
        <v>——</v>
      </c>
      <c r="I78" s="3364">
        <v>0.05</v>
      </c>
      <c r="J78" s="1063">
        <f t="shared" si="20"/>
        <v>0</v>
      </c>
      <c r="K78" s="1063">
        <f t="shared" si="21"/>
        <v>0</v>
      </c>
      <c r="L78" s="1063">
        <v>0</v>
      </c>
      <c r="M78" s="1063">
        <f t="shared" si="22"/>
        <v>0</v>
      </c>
      <c r="N78" s="1063">
        <f t="shared" si="22"/>
        <v>0</v>
      </c>
      <c r="O78" s="1994"/>
      <c r="P78" s="1994"/>
      <c r="Z78" s="1995"/>
      <c r="AA78" s="2050"/>
      <c r="AG78" s="1120"/>
      <c r="AK78" s="2050"/>
    </row>
    <row r="79" spans="1:37" ht="25.5">
      <c r="A79" s="2127" t="s">
        <v>2060</v>
      </c>
      <c r="B79" s="2130" t="str">
        <f>估价对象房地状况!C20</f>
        <v>区域自然环境：；人文环境；综合评价环境状况一般</v>
      </c>
      <c r="C79" s="2041"/>
      <c r="D79" s="1064">
        <f t="shared" si="18"/>
        <v>0</v>
      </c>
      <c r="E79" s="746"/>
      <c r="F79" s="1811"/>
      <c r="G79" s="1062"/>
      <c r="H79" s="1065" t="str">
        <f t="shared" si="19"/>
        <v>——</v>
      </c>
      <c r="I79" s="3364">
        <v>0.12</v>
      </c>
      <c r="J79" s="1063">
        <f t="shared" si="20"/>
        <v>0</v>
      </c>
      <c r="K79" s="1063">
        <f t="shared" si="21"/>
        <v>0</v>
      </c>
      <c r="L79" s="1063">
        <v>0</v>
      </c>
      <c r="M79" s="1063">
        <f t="shared" si="22"/>
        <v>0</v>
      </c>
      <c r="N79" s="1063">
        <f t="shared" si="22"/>
        <v>0</v>
      </c>
      <c r="Z79" s="1995"/>
      <c r="AA79" s="2050"/>
      <c r="AG79" s="1120"/>
      <c r="AK79" s="2050"/>
    </row>
    <row r="80" spans="1:37" ht="24.75" thickBot="1">
      <c r="A80" s="2135" t="s">
        <v>2067</v>
      </c>
      <c r="B80" s="2139"/>
      <c r="C80" s="2041"/>
      <c r="D80" s="1064">
        <f t="shared" si="18"/>
        <v>0</v>
      </c>
      <c r="E80" s="747"/>
      <c r="F80" s="1811"/>
      <c r="G80" s="1062"/>
      <c r="H80" s="1065" t="str">
        <f t="shared" si="19"/>
        <v>——</v>
      </c>
      <c r="I80" s="3365">
        <v>0.05</v>
      </c>
      <c r="J80" s="1063">
        <f t="shared" si="20"/>
        <v>0</v>
      </c>
      <c r="K80" s="1063">
        <f t="shared" si="21"/>
        <v>0</v>
      </c>
      <c r="L80" s="1063">
        <v>0</v>
      </c>
      <c r="M80" s="1063">
        <f t="shared" si="22"/>
        <v>0</v>
      </c>
      <c r="N80" s="1063">
        <f t="shared" si="22"/>
        <v>0</v>
      </c>
      <c r="Z80" s="1995"/>
      <c r="AA80" s="2050"/>
      <c r="AG80" s="1120"/>
      <c r="AK80" s="2050"/>
    </row>
    <row r="81" spans="1:37" ht="15">
      <c r="A81" s="2123" t="s">
        <v>2068</v>
      </c>
      <c r="B81" s="2124">
        <f>1+E83</f>
        <v>1.0465</v>
      </c>
      <c r="C81" s="740"/>
      <c r="D81" s="740"/>
      <c r="E81" s="741"/>
      <c r="F81" s="2126"/>
      <c r="G81" s="3"/>
      <c r="H81" s="3"/>
      <c r="I81" s="3"/>
      <c r="J81" s="4"/>
      <c r="K81" s="4"/>
      <c r="L81" s="4"/>
      <c r="M81" s="4"/>
      <c r="N81" s="4"/>
      <c r="Z81" s="1995"/>
      <c r="AA81" s="2050"/>
      <c r="AG81" s="1120"/>
      <c r="AK81" s="2050"/>
    </row>
    <row r="82" spans="1:37" ht="24.75">
      <c r="A82" s="2127" t="s">
        <v>2043</v>
      </c>
      <c r="B82" s="1349"/>
      <c r="C82" s="1349" t="s">
        <v>2045</v>
      </c>
      <c r="D82" s="1349" t="s">
        <v>2046</v>
      </c>
      <c r="E82" s="742" t="s">
        <v>2047</v>
      </c>
      <c r="F82" s="2128" t="s">
        <v>2062</v>
      </c>
      <c r="G82" s="1349" t="s">
        <v>310</v>
      </c>
      <c r="H82" s="2129" t="s">
        <v>2049</v>
      </c>
      <c r="I82" s="1349" t="s">
        <v>2050</v>
      </c>
      <c r="J82" s="552" t="s">
        <v>1721</v>
      </c>
      <c r="K82" s="552" t="s">
        <v>1722</v>
      </c>
      <c r="L82" s="552" t="s">
        <v>1723</v>
      </c>
      <c r="M82" s="552" t="s">
        <v>1724</v>
      </c>
      <c r="N82" s="552" t="s">
        <v>1725</v>
      </c>
      <c r="Z82" s="1995"/>
      <c r="AA82" s="2050"/>
      <c r="AG82" s="1120"/>
      <c r="AK82" s="2050"/>
    </row>
    <row r="83" spans="1:37" ht="38.25">
      <c r="A83" s="2127" t="s">
        <v>2069</v>
      </c>
      <c r="B83" s="2131" t="str">
        <f>估价对象房地状况!G15</f>
        <v>估价对象位于XX开发区，园区建设成熟度XX，产业集聚程度XX</v>
      </c>
      <c r="C83" s="2041" t="s">
        <v>3403</v>
      </c>
      <c r="D83" s="1064">
        <f t="shared" ref="D83:D90" si="23">SUMIF($J$82:$N$82,C83,J83:N83)</f>
        <v>1.2999999999999999E-2</v>
      </c>
      <c r="E83" s="743">
        <f>ROUND(SUM(D83:D90),4)</f>
        <v>4.65E-2</v>
      </c>
      <c r="F83" s="1811">
        <f>IF(E2="工业",SUMIF(L1:L12,G2,N1:N12),"——")</f>
        <v>0.1</v>
      </c>
      <c r="G83" s="1062">
        <f>H83</f>
        <v>1.2999999999999999E-2</v>
      </c>
      <c r="H83" s="1065">
        <f t="shared" ref="H83:H90" si="24">IFERROR(ROUNDDOWN($F$83*I83/2,4),"——")</f>
        <v>1.2999999999999999E-2</v>
      </c>
      <c r="I83" s="3364">
        <v>0.26</v>
      </c>
      <c r="J83" s="1063">
        <f t="shared" ref="J83:J90" si="25">K83+$G83</f>
        <v>2.5999999999999999E-2</v>
      </c>
      <c r="K83" s="1063">
        <f t="shared" ref="K83:K90" si="26">$L83+$G83</f>
        <v>1.2999999999999999E-2</v>
      </c>
      <c r="L83" s="1063">
        <v>0</v>
      </c>
      <c r="M83" s="1063">
        <f t="shared" ref="M83:N90" si="27">L83-$G83</f>
        <v>-1.2999999999999999E-2</v>
      </c>
      <c r="N83" s="1063">
        <f t="shared" si="27"/>
        <v>-2.5999999999999999E-2</v>
      </c>
      <c r="Z83" s="1995"/>
      <c r="AA83" s="2050"/>
      <c r="AG83" s="1120"/>
      <c r="AK83" s="2050"/>
    </row>
    <row r="84" spans="1:37" ht="38.25">
      <c r="A84" s="2127" t="s">
        <v>2052</v>
      </c>
      <c r="B84" s="2131" t="str">
        <f>估价对象房地状况!G16</f>
        <v>估价对象周边道路状况、公共交通通达情况、停车便捷程度，综合评价交通便捷度较好</v>
      </c>
      <c r="C84" s="2041" t="s">
        <v>3403</v>
      </c>
      <c r="D84" s="1064">
        <f t="shared" si="23"/>
        <v>1.4999999999999999E-2</v>
      </c>
      <c r="E84" s="746"/>
      <c r="F84" s="1811"/>
      <c r="G84" s="1062">
        <f t="shared" ref="G84:G90" si="28">H84</f>
        <v>1.4999999999999999E-2</v>
      </c>
      <c r="H84" s="1065">
        <f t="shared" si="24"/>
        <v>1.4999999999999999E-2</v>
      </c>
      <c r="I84" s="3364">
        <v>0.3</v>
      </c>
      <c r="J84" s="1063">
        <f t="shared" si="25"/>
        <v>0.03</v>
      </c>
      <c r="K84" s="1063">
        <f t="shared" si="26"/>
        <v>1.4999999999999999E-2</v>
      </c>
      <c r="L84" s="1063">
        <v>0</v>
      </c>
      <c r="M84" s="1063">
        <f t="shared" si="27"/>
        <v>-1.4999999999999999E-2</v>
      </c>
      <c r="N84" s="1063">
        <f t="shared" si="27"/>
        <v>-0.03</v>
      </c>
      <c r="Z84" s="1995"/>
      <c r="AA84" s="2050"/>
      <c r="AG84" s="1120"/>
      <c r="AK84" s="2050"/>
    </row>
    <row r="85" spans="1:37" ht="36">
      <c r="A85" s="3366" t="s">
        <v>3273</v>
      </c>
      <c r="B85" s="2131">
        <f>估价对象房地状况!G17</f>
        <v>0</v>
      </c>
      <c r="C85" s="2041" t="s">
        <v>3403</v>
      </c>
      <c r="D85" s="1064">
        <f t="shared" si="23"/>
        <v>5.0000000000000001E-3</v>
      </c>
      <c r="E85" s="746"/>
      <c r="F85" s="1811"/>
      <c r="G85" s="1062">
        <f t="shared" si="28"/>
        <v>5.0000000000000001E-3</v>
      </c>
      <c r="H85" s="1065">
        <f t="shared" si="24"/>
        <v>5.0000000000000001E-3</v>
      </c>
      <c r="I85" s="3364">
        <v>0.1</v>
      </c>
      <c r="J85" s="1063">
        <f t="shared" si="25"/>
        <v>0.01</v>
      </c>
      <c r="K85" s="1063">
        <f t="shared" si="26"/>
        <v>5.0000000000000001E-3</v>
      </c>
      <c r="L85" s="1063">
        <v>0</v>
      </c>
      <c r="M85" s="1063">
        <f t="shared" si="27"/>
        <v>-5.0000000000000001E-3</v>
      </c>
      <c r="N85" s="1063">
        <f t="shared" si="27"/>
        <v>-0.01</v>
      </c>
      <c r="Z85" s="1995"/>
      <c r="AA85" s="2050"/>
      <c r="AG85" s="1120"/>
      <c r="AK85" s="2050"/>
    </row>
    <row r="86" spans="1:37" ht="14.25">
      <c r="A86" s="2127" t="s">
        <v>2066</v>
      </c>
      <c r="B86" s="2131">
        <f>估价对象房地状况!G22</f>
        <v>0</v>
      </c>
      <c r="C86" s="2041" t="s">
        <v>3402</v>
      </c>
      <c r="D86" s="1064">
        <f t="shared" si="23"/>
        <v>5.0000000000000001E-3</v>
      </c>
      <c r="E86" s="746"/>
      <c r="F86" s="1811"/>
      <c r="G86" s="1062">
        <f t="shared" si="28"/>
        <v>2.5000000000000001E-3</v>
      </c>
      <c r="H86" s="1065">
        <f t="shared" si="24"/>
        <v>2.5000000000000001E-3</v>
      </c>
      <c r="I86" s="3364">
        <v>0.05</v>
      </c>
      <c r="J86" s="1063">
        <f t="shared" si="25"/>
        <v>5.0000000000000001E-3</v>
      </c>
      <c r="K86" s="1063">
        <f t="shared" si="26"/>
        <v>2.5000000000000001E-3</v>
      </c>
      <c r="L86" s="1063">
        <v>0</v>
      </c>
      <c r="M86" s="1063">
        <f t="shared" si="27"/>
        <v>-2.5000000000000001E-3</v>
      </c>
      <c r="N86" s="1063">
        <f t="shared" si="27"/>
        <v>-5.0000000000000001E-3</v>
      </c>
      <c r="Z86" s="1995"/>
      <c r="AA86" s="2050"/>
      <c r="AG86" s="1120"/>
      <c r="AK86" s="2050"/>
    </row>
    <row r="87" spans="1:37" ht="25.5">
      <c r="A87" s="2127" t="s">
        <v>2058</v>
      </c>
      <c r="B87" s="1324" t="str">
        <f>估价对象房地状况!G19</f>
        <v>估价对象所在区域公共配套设施齐备情况</v>
      </c>
      <c r="C87" s="2041" t="s">
        <v>3403</v>
      </c>
      <c r="D87" s="1064">
        <f t="shared" si="23"/>
        <v>3.0000000000000001E-3</v>
      </c>
      <c r="E87" s="746"/>
      <c r="F87" s="1811"/>
      <c r="G87" s="1062">
        <f t="shared" si="28"/>
        <v>3.0000000000000001E-3</v>
      </c>
      <c r="H87" s="1065">
        <f t="shared" si="24"/>
        <v>3.0000000000000001E-3</v>
      </c>
      <c r="I87" s="3364">
        <v>0.06</v>
      </c>
      <c r="J87" s="1063">
        <f t="shared" si="25"/>
        <v>6.0000000000000001E-3</v>
      </c>
      <c r="K87" s="1063">
        <f t="shared" si="26"/>
        <v>3.0000000000000001E-3</v>
      </c>
      <c r="L87" s="1063">
        <v>0</v>
      </c>
      <c r="M87" s="1063">
        <f t="shared" si="27"/>
        <v>-3.0000000000000001E-3</v>
      </c>
      <c r="N87" s="1063">
        <f t="shared" si="27"/>
        <v>-6.0000000000000001E-3</v>
      </c>
    </row>
    <row r="88" spans="1:37" ht="25.5">
      <c r="A88" s="2127" t="s">
        <v>2059</v>
      </c>
      <c r="B88" s="1324" t="str">
        <f>估价对象房地状况!G20</f>
        <v>估价对象所在区域基础设施水平</v>
      </c>
      <c r="C88" s="2041" t="s">
        <v>3404</v>
      </c>
      <c r="D88" s="1064">
        <f t="shared" si="23"/>
        <v>0</v>
      </c>
      <c r="E88" s="746"/>
      <c r="F88" s="1811"/>
      <c r="G88" s="1062">
        <f t="shared" si="28"/>
        <v>6.0000000000000001E-3</v>
      </c>
      <c r="H88" s="1065">
        <f t="shared" si="24"/>
        <v>6.0000000000000001E-3</v>
      </c>
      <c r="I88" s="3364">
        <v>0.12</v>
      </c>
      <c r="J88" s="1063">
        <f t="shared" si="25"/>
        <v>1.2E-2</v>
      </c>
      <c r="K88" s="1063">
        <f t="shared" si="26"/>
        <v>6.0000000000000001E-3</v>
      </c>
      <c r="L88" s="1063">
        <v>0</v>
      </c>
      <c r="M88" s="1063">
        <f t="shared" si="27"/>
        <v>-6.0000000000000001E-3</v>
      </c>
      <c r="N88" s="1063">
        <f t="shared" si="27"/>
        <v>-1.2E-2</v>
      </c>
    </row>
    <row r="89" spans="1:37" ht="24">
      <c r="A89" s="2127" t="s">
        <v>2056</v>
      </c>
      <c r="B89" s="2133" t="s">
        <v>2070</v>
      </c>
      <c r="C89" s="2041" t="s">
        <v>3403</v>
      </c>
      <c r="D89" s="1064">
        <f t="shared" si="23"/>
        <v>3.0000000000000001E-3</v>
      </c>
      <c r="E89" s="746"/>
      <c r="F89" s="1811"/>
      <c r="G89" s="1062">
        <f t="shared" si="28"/>
        <v>3.0000000000000001E-3</v>
      </c>
      <c r="H89" s="1065">
        <f t="shared" si="24"/>
        <v>3.0000000000000001E-3</v>
      </c>
      <c r="I89" s="3364">
        <v>0.06</v>
      </c>
      <c r="J89" s="1063">
        <f t="shared" si="25"/>
        <v>6.0000000000000001E-3</v>
      </c>
      <c r="K89" s="1063">
        <f t="shared" si="26"/>
        <v>3.0000000000000001E-3</v>
      </c>
      <c r="L89" s="1063">
        <v>0</v>
      </c>
      <c r="M89" s="1063">
        <f t="shared" si="27"/>
        <v>-3.0000000000000001E-3</v>
      </c>
      <c r="N89" s="1063">
        <f t="shared" si="27"/>
        <v>-6.0000000000000001E-3</v>
      </c>
    </row>
    <row r="90" spans="1:37" ht="39" thickBot="1">
      <c r="A90" s="2135" t="s">
        <v>2071</v>
      </c>
      <c r="B90" s="2140" t="str">
        <f>估价对象房地状况!G18</f>
        <v>该园区内是否有污染型企业，绿化情况，卫生条件，整体环境状况判断</v>
      </c>
      <c r="C90" s="2041" t="s">
        <v>3403</v>
      </c>
      <c r="D90" s="1064">
        <f t="shared" si="23"/>
        <v>2.5000000000000001E-3</v>
      </c>
      <c r="E90" s="747"/>
      <c r="F90" s="1811"/>
      <c r="G90" s="1062">
        <f t="shared" si="28"/>
        <v>2.5000000000000001E-3</v>
      </c>
      <c r="H90" s="1065">
        <f t="shared" si="24"/>
        <v>2.5000000000000001E-3</v>
      </c>
      <c r="I90" s="3365">
        <v>0.05</v>
      </c>
      <c r="J90" s="1063">
        <f t="shared" si="25"/>
        <v>5.0000000000000001E-3</v>
      </c>
      <c r="K90" s="1063">
        <f t="shared" si="26"/>
        <v>2.5000000000000001E-3</v>
      </c>
      <c r="L90" s="1063">
        <v>0</v>
      </c>
      <c r="M90" s="1063">
        <f t="shared" si="27"/>
        <v>-2.5000000000000001E-3</v>
      </c>
      <c r="N90" s="1063">
        <f t="shared" si="27"/>
        <v>-5.0000000000000001E-3</v>
      </c>
    </row>
    <row r="91" spans="1:37" ht="15">
      <c r="A91" s="3374" t="s">
        <v>2615</v>
      </c>
      <c r="B91" s="3375">
        <f>1+E93</f>
        <v>1</v>
      </c>
      <c r="C91" s="3368"/>
      <c r="D91" s="3369"/>
      <c r="E91" s="1811"/>
      <c r="F91" s="1811"/>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4"/>
      <c r="C93" s="2041"/>
      <c r="D93" s="3363">
        <f>SUMIF($J$92:$N$92,C93,J93:N93)</f>
        <v>0</v>
      </c>
      <c r="E93" s="3379">
        <f>ROUND(SUM(D93:D101),4)</f>
        <v>0</v>
      </c>
      <c r="F93" s="1811" t="str">
        <f>IF(E2="公共服务",SUMIF(L1:L12,G2,N1:N12),"——")</f>
        <v>——</v>
      </c>
      <c r="G93" s="3370"/>
      <c r="H93" s="3418" t="str">
        <f>IFERROR(ROUNDDOWN($F$93*I93/2,4),"——")</f>
        <v>——</v>
      </c>
      <c r="I93" s="3364">
        <v>0.25</v>
      </c>
      <c r="J93" s="3342">
        <f t="shared" ref="J93:J101" si="29">K93+$G93</f>
        <v>0</v>
      </c>
      <c r="K93" s="3342">
        <f t="shared" ref="K93:K101" si="30">$L93+$G93</f>
        <v>0</v>
      </c>
      <c r="L93" s="3342">
        <v>0</v>
      </c>
      <c r="M93" s="3342">
        <f t="shared" ref="M93:N101" si="31">L93-$G93</f>
        <v>0</v>
      </c>
      <c r="N93" s="3342">
        <f t="shared" si="31"/>
        <v>0</v>
      </c>
    </row>
    <row r="94" spans="1:37" ht="38.25">
      <c r="A94" s="3376" t="s">
        <v>3276</v>
      </c>
      <c r="B94" s="3367" t="str">
        <f>估价对象房地状况!C18</f>
        <v>估价对象周边道路状况、公共交通通达情况、停车便捷程度，综合评价交通便捷度较好</v>
      </c>
      <c r="C94" s="2041"/>
      <c r="D94" s="3363">
        <f t="shared" ref="D94:D101" si="32">SUMIF($J$60:$N$60,C94,J94:N94)</f>
        <v>0</v>
      </c>
      <c r="E94" s="3380"/>
      <c r="F94" s="1811"/>
      <c r="G94" s="3370"/>
      <c r="H94" s="3418" t="str">
        <f>IFERROR(ROUNDDOWN($F$93*I94/2,4),"——")</f>
        <v>——</v>
      </c>
      <c r="I94" s="3364">
        <v>0.26</v>
      </c>
      <c r="J94" s="3342">
        <f t="shared" si="29"/>
        <v>0</v>
      </c>
      <c r="K94" s="3342">
        <f t="shared" si="30"/>
        <v>0</v>
      </c>
      <c r="L94" s="3342">
        <v>0</v>
      </c>
      <c r="M94" s="3342">
        <f t="shared" si="31"/>
        <v>0</v>
      </c>
      <c r="N94" s="3342">
        <f t="shared" si="31"/>
        <v>0</v>
      </c>
    </row>
    <row r="95" spans="1:37" ht="36">
      <c r="A95" s="3366" t="s">
        <v>3272</v>
      </c>
      <c r="B95" s="3367">
        <f>估价对象房地状况!C19</f>
        <v>0</v>
      </c>
      <c r="C95" s="2041"/>
      <c r="D95" s="3363">
        <f t="shared" si="32"/>
        <v>0</v>
      </c>
      <c r="E95" s="3380"/>
      <c r="F95" s="1811"/>
      <c r="G95" s="3370"/>
      <c r="H95" s="3418" t="str">
        <f t="shared" ref="H95:H101" si="33">IFERROR(ROUNDDOWN($F$93*I95/2,4),"——")</f>
        <v>——</v>
      </c>
      <c r="I95" s="3364">
        <v>0.11</v>
      </c>
      <c r="J95" s="3342">
        <f t="shared" si="29"/>
        <v>0</v>
      </c>
      <c r="K95" s="3342">
        <f t="shared" si="30"/>
        <v>0</v>
      </c>
      <c r="L95" s="3342">
        <v>0</v>
      </c>
      <c r="M95" s="3342">
        <f t="shared" si="31"/>
        <v>0</v>
      </c>
      <c r="N95" s="3342">
        <f t="shared" si="31"/>
        <v>0</v>
      </c>
    </row>
    <row r="96" spans="1:37" ht="36.75">
      <c r="A96" s="3376" t="s">
        <v>3277</v>
      </c>
      <c r="B96" s="3382" t="s">
        <v>3288</v>
      </c>
      <c r="C96" s="2041"/>
      <c r="D96" s="3363">
        <f t="shared" si="32"/>
        <v>0</v>
      </c>
      <c r="E96" s="3380"/>
      <c r="F96" s="1811"/>
      <c r="G96" s="3370"/>
      <c r="H96" s="3418" t="str">
        <f t="shared" si="33"/>
        <v>——</v>
      </c>
      <c r="I96" s="3364">
        <v>0.05</v>
      </c>
      <c r="J96" s="3342">
        <f t="shared" si="29"/>
        <v>0</v>
      </c>
      <c r="K96" s="3342">
        <f t="shared" si="30"/>
        <v>0</v>
      </c>
      <c r="L96" s="3342">
        <v>0</v>
      </c>
      <c r="M96" s="3342">
        <f t="shared" si="31"/>
        <v>0</v>
      </c>
      <c r="N96" s="3342">
        <f t="shared" si="31"/>
        <v>0</v>
      </c>
    </row>
    <row r="97" spans="1:14" ht="24">
      <c r="A97" s="3376" t="s">
        <v>3278</v>
      </c>
      <c r="B97" s="3367">
        <f>估价对象房地状况!C24</f>
        <v>0</v>
      </c>
      <c r="C97" s="2041"/>
      <c r="D97" s="3363">
        <f t="shared" si="32"/>
        <v>0</v>
      </c>
      <c r="E97" s="3380"/>
      <c r="F97" s="1811"/>
      <c r="G97" s="3370"/>
      <c r="H97" s="3418" t="str">
        <f t="shared" si="33"/>
        <v>——</v>
      </c>
      <c r="I97" s="3364">
        <v>0.05</v>
      </c>
      <c r="J97" s="3342">
        <f t="shared" si="29"/>
        <v>0</v>
      </c>
      <c r="K97" s="3342">
        <f t="shared" si="30"/>
        <v>0</v>
      </c>
      <c r="L97" s="3342">
        <v>0</v>
      </c>
      <c r="M97" s="3342">
        <f t="shared" si="31"/>
        <v>0</v>
      </c>
      <c r="N97" s="3342">
        <f t="shared" si="31"/>
        <v>0</v>
      </c>
    </row>
    <row r="98" spans="1:14" ht="24">
      <c r="A98" s="3376" t="s">
        <v>3279</v>
      </c>
      <c r="B98" s="3383" t="s">
        <v>3289</v>
      </c>
      <c r="C98" s="2041"/>
      <c r="D98" s="3363">
        <f t="shared" si="32"/>
        <v>0</v>
      </c>
      <c r="E98" s="3380"/>
      <c r="F98" s="1811"/>
      <c r="G98" s="3370"/>
      <c r="H98" s="3418" t="str">
        <f t="shared" si="33"/>
        <v>——</v>
      </c>
      <c r="I98" s="3364">
        <v>0.06</v>
      </c>
      <c r="J98" s="3342">
        <f t="shared" si="29"/>
        <v>0</v>
      </c>
      <c r="K98" s="3342">
        <f t="shared" si="30"/>
        <v>0</v>
      </c>
      <c r="L98" s="3342">
        <v>0</v>
      </c>
      <c r="M98" s="3342">
        <f t="shared" si="31"/>
        <v>0</v>
      </c>
      <c r="N98" s="3342">
        <f t="shared" si="31"/>
        <v>0</v>
      </c>
    </row>
    <row r="99" spans="1:14" ht="25.5">
      <c r="A99" s="3376" t="s">
        <v>3280</v>
      </c>
      <c r="B99" s="3367" t="str">
        <f>估价对象房地状况!C21</f>
        <v>估价对象所在区域公共配套设施齐备情况</v>
      </c>
      <c r="C99" s="2041"/>
      <c r="D99" s="3363">
        <f t="shared" si="32"/>
        <v>0</v>
      </c>
      <c r="E99" s="3380"/>
      <c r="F99" s="1811"/>
      <c r="G99" s="3370"/>
      <c r="H99" s="3418" t="str">
        <f t="shared" si="33"/>
        <v>——</v>
      </c>
      <c r="I99" s="3364">
        <v>0.06</v>
      </c>
      <c r="J99" s="3342">
        <f t="shared" si="29"/>
        <v>0</v>
      </c>
      <c r="K99" s="3342">
        <f t="shared" si="30"/>
        <v>0</v>
      </c>
      <c r="L99" s="3342">
        <v>0</v>
      </c>
      <c r="M99" s="3342">
        <f t="shared" si="31"/>
        <v>0</v>
      </c>
      <c r="N99" s="3342">
        <f t="shared" si="31"/>
        <v>0</v>
      </c>
    </row>
    <row r="100" spans="1:14" ht="25.5">
      <c r="A100" s="3376" t="s">
        <v>3281</v>
      </c>
      <c r="B100" s="3367" t="str">
        <f>估价对象房地状况!C22</f>
        <v>估价对象所在区域基础设施水平</v>
      </c>
      <c r="C100" s="2041"/>
      <c r="D100" s="3363">
        <f t="shared" si="32"/>
        <v>0</v>
      </c>
      <c r="E100" s="3380"/>
      <c r="F100" s="1811"/>
      <c r="G100" s="3370"/>
      <c r="H100" s="3418" t="str">
        <f t="shared" si="33"/>
        <v>——</v>
      </c>
      <c r="I100" s="3364">
        <v>0.09</v>
      </c>
      <c r="J100" s="3342">
        <f t="shared" si="29"/>
        <v>0</v>
      </c>
      <c r="K100" s="3342">
        <f t="shared" si="30"/>
        <v>0</v>
      </c>
      <c r="L100" s="3342">
        <v>0</v>
      </c>
      <c r="M100" s="3342">
        <f t="shared" si="31"/>
        <v>0</v>
      </c>
      <c r="N100" s="3342">
        <f t="shared" si="31"/>
        <v>0</v>
      </c>
    </row>
    <row r="101" spans="1:14" ht="26.25" thickBot="1">
      <c r="A101" s="3377" t="s">
        <v>3282</v>
      </c>
      <c r="B101" s="3384" t="str">
        <f>估价对象房地状况!C20</f>
        <v>区域自然环境：；人文环境；综合评价环境状况一般</v>
      </c>
      <c r="C101" s="2041"/>
      <c r="D101" s="3363">
        <f t="shared" si="32"/>
        <v>0</v>
      </c>
      <c r="E101" s="3381"/>
      <c r="F101" s="1811"/>
      <c r="G101" s="3370"/>
      <c r="H101" s="3418" t="str">
        <f t="shared" si="33"/>
        <v>——</v>
      </c>
      <c r="I101" s="3365">
        <v>7.0000000000000007E-2</v>
      </c>
      <c r="J101" s="3342">
        <f t="shared" si="29"/>
        <v>0</v>
      </c>
      <c r="K101" s="3342">
        <f t="shared" si="30"/>
        <v>0</v>
      </c>
      <c r="L101" s="3342">
        <v>0</v>
      </c>
      <c r="M101" s="3342">
        <f t="shared" si="31"/>
        <v>0</v>
      </c>
      <c r="N101" s="3342">
        <f t="shared" si="31"/>
        <v>0</v>
      </c>
    </row>
    <row r="103" spans="1:14">
      <c r="A103" s="3759" t="s">
        <v>3297</v>
      </c>
      <c r="B103" s="3759"/>
      <c r="C103" s="3759"/>
      <c r="D103" s="3759"/>
      <c r="E103" s="3759"/>
      <c r="F103" s="3759"/>
      <c r="G103" s="3759"/>
      <c r="H103" s="3759"/>
      <c r="I103" s="3759"/>
      <c r="J103" s="3759"/>
      <c r="K103" s="3387"/>
      <c r="L103" s="3387"/>
      <c r="M103" s="3387"/>
      <c r="N103" s="3387"/>
    </row>
    <row r="104" spans="1:14">
      <c r="A104" s="3760" t="s">
        <v>3298</v>
      </c>
      <c r="B104" s="3760" t="s">
        <v>3299</v>
      </c>
      <c r="C104" s="3388" t="s">
        <v>3300</v>
      </c>
      <c r="D104" s="3389"/>
      <c r="E104" s="3389"/>
      <c r="F104" s="3389"/>
      <c r="G104" s="3389"/>
      <c r="H104" s="3389"/>
      <c r="I104" s="3389"/>
      <c r="J104" s="3390"/>
      <c r="K104" s="3391"/>
      <c r="L104" s="3391"/>
      <c r="M104" s="3391"/>
      <c r="N104" s="3391"/>
    </row>
    <row r="105" spans="1:14">
      <c r="A105" s="3760"/>
      <c r="B105" s="3760"/>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46"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7"/>
      <c r="B111" s="3392" t="s">
        <v>3271</v>
      </c>
      <c r="C111" s="3393">
        <f>$I$3</f>
        <v>0</v>
      </c>
      <c r="D111" s="3393">
        <f t="shared" ref="D111:M111" si="34">$I$3</f>
        <v>0</v>
      </c>
      <c r="E111" s="3393">
        <f t="shared" si="34"/>
        <v>0</v>
      </c>
      <c r="F111" s="3393">
        <f t="shared" si="34"/>
        <v>0</v>
      </c>
      <c r="G111" s="3393">
        <f t="shared" si="34"/>
        <v>0</v>
      </c>
      <c r="H111" s="3393">
        <f t="shared" si="34"/>
        <v>0</v>
      </c>
      <c r="I111" s="3393">
        <f t="shared" si="34"/>
        <v>0</v>
      </c>
      <c r="J111" s="3393">
        <f t="shared" si="34"/>
        <v>0</v>
      </c>
      <c r="K111" s="3393">
        <f t="shared" si="34"/>
        <v>0</v>
      </c>
      <c r="L111" s="3393">
        <f t="shared" si="34"/>
        <v>0</v>
      </c>
      <c r="M111" s="3393">
        <f t="shared" si="34"/>
        <v>0</v>
      </c>
      <c r="N111" s="3393">
        <f>$I$3</f>
        <v>0</v>
      </c>
    </row>
    <row r="112" spans="1:14">
      <c r="A112" s="3748"/>
      <c r="B112" s="3392">
        <v>6</v>
      </c>
      <c r="C112" s="3385">
        <f>(-0.5556*(C111^2)-0.2719*C111+8944)*(10^(-4))</f>
        <v>0.89440000000000008</v>
      </c>
      <c r="D112" s="3385">
        <f>(-0.5556*(D111^2)-0.2719*D111+8944)*(10^(-4))</f>
        <v>0.89440000000000008</v>
      </c>
      <c r="E112" s="3385">
        <f>(-0.7912*(E111^2)-11.3794*E111+8482)*(10^(-4))</f>
        <v>0.84820000000000007</v>
      </c>
      <c r="F112" s="3385">
        <f t="shared" ref="F112:I112" si="35">(-0.7912*(F111^2)-11.3794*F111+8482)*(10^(-4))</f>
        <v>0.84820000000000007</v>
      </c>
      <c r="G112" s="3385">
        <f t="shared" si="35"/>
        <v>0.84820000000000007</v>
      </c>
      <c r="H112" s="3385">
        <f t="shared" si="35"/>
        <v>0.84820000000000007</v>
      </c>
      <c r="I112" s="3385">
        <f t="shared" si="35"/>
        <v>0.84820000000000007</v>
      </c>
      <c r="J112" s="3385">
        <f>(-0.989*(J111^2)-63.78*J111+7771)*(10^(-4))</f>
        <v>0.77710000000000001</v>
      </c>
      <c r="K112" s="3385">
        <f t="shared" ref="K112:N112" si="36">(-0.989*(K111^2)-63.78*K111+7771)*(10^(-4))</f>
        <v>0.77710000000000001</v>
      </c>
      <c r="L112" s="3385">
        <f t="shared" si="36"/>
        <v>0.77710000000000001</v>
      </c>
      <c r="M112" s="3385">
        <f t="shared" si="36"/>
        <v>0.77710000000000001</v>
      </c>
      <c r="N112" s="3385">
        <f t="shared" si="36"/>
        <v>0.77710000000000001</v>
      </c>
    </row>
    <row r="113" spans="1:14">
      <c r="A113" s="3749" t="s">
        <v>3314</v>
      </c>
      <c r="B113" s="3749"/>
      <c r="C113" s="3749"/>
      <c r="D113" s="3749"/>
      <c r="E113" s="3749"/>
      <c r="F113" s="3749"/>
      <c r="G113" s="3749"/>
      <c r="H113" s="3749"/>
      <c r="I113" s="3749"/>
      <c r="J113" s="374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v>
      </c>
      <c r="C116" s="3397" t="s">
        <v>3316</v>
      </c>
      <c r="D116" s="3398">
        <f>SUMPRODUCT((A118:A122=F116)*(B117:M117=H116)*B118:M122)</f>
        <v>0.73799999999999999</v>
      </c>
      <c r="E116" s="1997" t="s">
        <v>3317</v>
      </c>
      <c r="F116" s="3399" t="str">
        <f>E2</f>
        <v>工业</v>
      </c>
      <c r="G116" s="1997" t="s">
        <v>3318</v>
      </c>
      <c r="H116" s="3399" t="str">
        <f>G2</f>
        <v>五级</v>
      </c>
      <c r="I116" s="1997"/>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7">I118</f>
        <v>0.8306</v>
      </c>
      <c r="K118" s="3385">
        <f t="shared" si="37"/>
        <v>0.8306</v>
      </c>
      <c r="L118" s="3385">
        <f t="shared" si="37"/>
        <v>0.8306</v>
      </c>
      <c r="M118" s="3408">
        <f t="shared" si="37"/>
        <v>0.8306</v>
      </c>
      <c r="N118" s="3395"/>
    </row>
    <row r="119" spans="1:14">
      <c r="A119" s="3407" t="s">
        <v>3332</v>
      </c>
      <c r="B119" s="3385">
        <f>ROUND(0.993-0.0112*B116,4)</f>
        <v>0.98180000000000001</v>
      </c>
      <c r="C119" s="3385">
        <f>B119</f>
        <v>0.98180000000000001</v>
      </c>
      <c r="D119" s="3385">
        <f>ROUND(0.9415-0.0142*B116,4)</f>
        <v>0.92730000000000001</v>
      </c>
      <c r="E119" s="3385">
        <f t="shared" ref="E119:H120" si="38">D119</f>
        <v>0.92730000000000001</v>
      </c>
      <c r="F119" s="3385">
        <f t="shared" si="38"/>
        <v>0.92730000000000001</v>
      </c>
      <c r="G119" s="3385">
        <f t="shared" si="38"/>
        <v>0.92730000000000001</v>
      </c>
      <c r="H119" s="3385">
        <f t="shared" si="38"/>
        <v>0.92730000000000001</v>
      </c>
      <c r="I119" s="3385">
        <f>ROUND(0.838-0.0182*B116,4)</f>
        <v>0.81979999999999997</v>
      </c>
      <c r="J119" s="3385">
        <f t="shared" si="37"/>
        <v>0.81979999999999997</v>
      </c>
      <c r="K119" s="3385">
        <f t="shared" si="37"/>
        <v>0.81979999999999997</v>
      </c>
      <c r="L119" s="3385">
        <f t="shared" si="37"/>
        <v>0.81979999999999997</v>
      </c>
      <c r="M119" s="3408">
        <f t="shared" si="37"/>
        <v>0.81979999999999997</v>
      </c>
      <c r="N119" s="3395"/>
    </row>
    <row r="120" spans="1:14">
      <c r="A120" s="3407" t="s">
        <v>3333</v>
      </c>
      <c r="B120" s="3385">
        <f>ROUND(0.9448-0.0115*B116,4)</f>
        <v>0.93330000000000002</v>
      </c>
      <c r="C120" s="3385">
        <f>B120</f>
        <v>0.93330000000000002</v>
      </c>
      <c r="D120" s="3385">
        <f>ROUND(0.937-0.0145*B116,4)</f>
        <v>0.92249999999999999</v>
      </c>
      <c r="E120" s="3385">
        <f t="shared" si="38"/>
        <v>0.92249999999999999</v>
      </c>
      <c r="F120" s="3385">
        <f t="shared" si="38"/>
        <v>0.92249999999999999</v>
      </c>
      <c r="G120" s="3385">
        <f t="shared" si="38"/>
        <v>0.92249999999999999</v>
      </c>
      <c r="H120" s="3385">
        <f t="shared" si="38"/>
        <v>0.92249999999999999</v>
      </c>
      <c r="I120" s="3385">
        <f>ROUND(0.7965-0.0185*B116,4)</f>
        <v>0.77800000000000002</v>
      </c>
      <c r="J120" s="3385">
        <f t="shared" si="37"/>
        <v>0.77800000000000002</v>
      </c>
      <c r="K120" s="3385">
        <f t="shared" si="37"/>
        <v>0.77800000000000002</v>
      </c>
      <c r="L120" s="3385">
        <f t="shared" si="37"/>
        <v>0.77800000000000002</v>
      </c>
      <c r="M120" s="3408">
        <f t="shared" si="37"/>
        <v>0.77800000000000002</v>
      </c>
      <c r="N120" s="3395"/>
    </row>
    <row r="121" spans="1:14" ht="13.5" thickBot="1">
      <c r="A121" s="3409" t="s">
        <v>3334</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7"/>
        <v>0.57150000000000001</v>
      </c>
      <c r="K121" s="3410">
        <f t="shared" si="37"/>
        <v>0.57150000000000001</v>
      </c>
      <c r="L121" s="3410">
        <f t="shared" si="37"/>
        <v>0.57150000000000001</v>
      </c>
      <c r="M121" s="3411">
        <f t="shared" si="37"/>
        <v>0.57150000000000001</v>
      </c>
      <c r="N121" s="3395"/>
    </row>
    <row r="122" spans="1:14">
      <c r="A122" s="3412" t="s">
        <v>2615</v>
      </c>
      <c r="B122" s="3385">
        <f>ROUND(0.9404-0.0106*B116,4)</f>
        <v>0.92979999999999996</v>
      </c>
      <c r="C122" s="3385">
        <f>B122</f>
        <v>0.92979999999999996</v>
      </c>
      <c r="D122" s="3385">
        <f>ROUND(0.8955-0.0135*B116,4)</f>
        <v>0.88200000000000001</v>
      </c>
      <c r="E122" s="3385">
        <f t="shared" ref="E122:H122" si="39">D122</f>
        <v>0.88200000000000001</v>
      </c>
      <c r="F122" s="3385">
        <f t="shared" si="39"/>
        <v>0.88200000000000001</v>
      </c>
      <c r="G122" s="3385">
        <f t="shared" si="39"/>
        <v>0.88200000000000001</v>
      </c>
      <c r="H122" s="3385">
        <f t="shared" si="39"/>
        <v>0.88200000000000001</v>
      </c>
      <c r="I122" s="3385">
        <f>ROUND(0.7632-0.0166*B116,4)</f>
        <v>0.74660000000000004</v>
      </c>
      <c r="J122" s="3385">
        <f t="shared" si="37"/>
        <v>0.74660000000000004</v>
      </c>
      <c r="K122" s="3385">
        <f t="shared" si="37"/>
        <v>0.74660000000000004</v>
      </c>
      <c r="L122" s="3385">
        <f t="shared" si="37"/>
        <v>0.74660000000000004</v>
      </c>
      <c r="M122" s="3408">
        <f t="shared" si="37"/>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2" t="s">
        <v>2610</v>
      </c>
      <c r="B20" s="3765" t="s">
        <v>2631</v>
      </c>
      <c r="C20" s="3100" t="s">
        <v>2442</v>
      </c>
      <c r="D20" s="3101"/>
      <c r="E20" s="3102">
        <v>1</v>
      </c>
      <c r="F20" s="3103" t="s">
        <v>2443</v>
      </c>
      <c r="G20" s="3103"/>
    </row>
    <row r="21" spans="1:13" ht="19.5" customHeight="1">
      <c r="A21" s="3773"/>
      <c r="B21" s="3766"/>
      <c r="C21" s="3104" t="s">
        <v>2444</v>
      </c>
      <c r="D21" s="3105"/>
      <c r="E21" s="3106">
        <v>1</v>
      </c>
      <c r="F21" s="3103" t="s">
        <v>2445</v>
      </c>
      <c r="G21" s="3103"/>
    </row>
    <row r="22" spans="1:13" ht="19.5" customHeight="1">
      <c r="A22" s="3773"/>
      <c r="B22" s="3766"/>
      <c r="C22" s="3104" t="s">
        <v>2446</v>
      </c>
      <c r="D22" s="3105"/>
      <c r="E22" s="3106">
        <v>0.9</v>
      </c>
      <c r="F22" s="3103" t="s">
        <v>2447</v>
      </c>
      <c r="G22" s="3103"/>
    </row>
    <row r="23" spans="1:13" ht="19.5" customHeight="1">
      <c r="A23" s="3773"/>
      <c r="B23" s="3766"/>
      <c r="C23" s="3104" t="s">
        <v>2448</v>
      </c>
      <c r="D23" s="3105"/>
      <c r="E23" s="3106">
        <v>0.9</v>
      </c>
      <c r="F23" s="3103" t="s">
        <v>2449</v>
      </c>
      <c r="G23" s="3103"/>
    </row>
    <row r="24" spans="1:13" ht="19.5" customHeight="1">
      <c r="A24" s="3773"/>
      <c r="B24" s="3766"/>
      <c r="C24" s="3104" t="s">
        <v>2450</v>
      </c>
      <c r="D24" s="3105"/>
      <c r="E24" s="3106">
        <v>0.8</v>
      </c>
      <c r="F24" s="3103" t="s">
        <v>2451</v>
      </c>
      <c r="G24" s="3103"/>
    </row>
    <row r="25" spans="1:13" ht="19.5" customHeight="1" thickBot="1">
      <c r="A25" s="3774"/>
      <c r="B25" s="3767"/>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68" t="s">
        <v>2634</v>
      </c>
      <c r="B27" s="3765" t="s">
        <v>2615</v>
      </c>
      <c r="C27" s="3100" t="s">
        <v>2455</v>
      </c>
      <c r="D27" s="3101"/>
      <c r="E27" s="3102">
        <v>1</v>
      </c>
      <c r="F27" s="3103" t="s">
        <v>2456</v>
      </c>
      <c r="G27" s="3103"/>
    </row>
    <row r="28" spans="1:13" ht="19.5" customHeight="1">
      <c r="A28" s="3769"/>
      <c r="B28" s="3766"/>
      <c r="C28" s="3104" t="s">
        <v>2457</v>
      </c>
      <c r="D28" s="3105"/>
      <c r="E28" s="3106">
        <v>1</v>
      </c>
      <c r="F28" s="3103" t="s">
        <v>2458</v>
      </c>
      <c r="G28" s="3103"/>
    </row>
    <row r="29" spans="1:13" ht="19.5" customHeight="1">
      <c r="A29" s="3769"/>
      <c r="B29" s="3766"/>
      <c r="C29" s="3104" t="s">
        <v>2459</v>
      </c>
      <c r="D29" s="3105"/>
      <c r="E29" s="3106">
        <v>0.8</v>
      </c>
      <c r="F29" s="3103" t="s">
        <v>2460</v>
      </c>
      <c r="G29" s="3103"/>
    </row>
    <row r="30" spans="1:13" ht="19.5" customHeight="1">
      <c r="A30" s="3769"/>
      <c r="B30" s="3766"/>
      <c r="C30" s="3104" t="s">
        <v>2461</v>
      </c>
      <c r="D30" s="3105"/>
      <c r="E30" s="3106">
        <v>0.8</v>
      </c>
      <c r="F30" s="3103" t="s">
        <v>2462</v>
      </c>
      <c r="G30" s="3103"/>
    </row>
    <row r="31" spans="1:13" ht="19.5" customHeight="1">
      <c r="A31" s="3769"/>
      <c r="B31" s="3766"/>
      <c r="C31" s="3104" t="s">
        <v>2463</v>
      </c>
      <c r="D31" s="3105"/>
      <c r="E31" s="3106">
        <v>0.8</v>
      </c>
      <c r="F31" s="3103" t="s">
        <v>2464</v>
      </c>
      <c r="G31" s="3103"/>
    </row>
    <row r="32" spans="1:13" ht="19.5" customHeight="1">
      <c r="A32" s="3769"/>
      <c r="B32" s="3766"/>
      <c r="C32" s="3104" t="s">
        <v>2465</v>
      </c>
      <c r="D32" s="3105"/>
      <c r="E32" s="3106">
        <v>0.7</v>
      </c>
      <c r="F32" s="3103" t="s">
        <v>2466</v>
      </c>
      <c r="G32" s="3103"/>
    </row>
    <row r="33" spans="1:7" ht="19.5" customHeight="1">
      <c r="A33" s="3769"/>
      <c r="B33" s="3766"/>
      <c r="C33" s="3104" t="s">
        <v>2467</v>
      </c>
      <c r="D33" s="3105"/>
      <c r="E33" s="3106">
        <v>0.8</v>
      </c>
      <c r="F33" s="3103" t="s">
        <v>2468</v>
      </c>
      <c r="G33" s="3103"/>
    </row>
    <row r="34" spans="1:7" ht="19.5" customHeight="1">
      <c r="A34" s="3769"/>
      <c r="B34" s="3766"/>
      <c r="C34" s="3104" t="s">
        <v>2469</v>
      </c>
      <c r="D34" s="3105"/>
      <c r="E34" s="3106">
        <v>0.6</v>
      </c>
      <c r="F34" s="3103" t="s">
        <v>2470</v>
      </c>
      <c r="G34" s="3103"/>
    </row>
    <row r="35" spans="1:7" ht="19.5" customHeight="1">
      <c r="A35" s="3769"/>
      <c r="B35" s="3766"/>
      <c r="C35" s="3104" t="s">
        <v>2471</v>
      </c>
      <c r="D35" s="3105"/>
      <c r="E35" s="3106">
        <v>0.2</v>
      </c>
      <c r="F35" s="3103" t="s">
        <v>2472</v>
      </c>
      <c r="G35" s="3103"/>
    </row>
    <row r="36" spans="1:7" ht="19.5" customHeight="1">
      <c r="A36" s="3769"/>
      <c r="B36" s="3766"/>
      <c r="C36" s="3104" t="s">
        <v>2473</v>
      </c>
      <c r="D36" s="3105"/>
      <c r="E36" s="3106">
        <v>0.2</v>
      </c>
      <c r="F36" s="3103" t="s">
        <v>2474</v>
      </c>
      <c r="G36" s="3103"/>
    </row>
    <row r="37" spans="1:7" ht="19.5" customHeight="1">
      <c r="A37" s="3769"/>
      <c r="B37" s="3771" t="s">
        <v>2635</v>
      </c>
      <c r="C37" s="3104" t="s">
        <v>2475</v>
      </c>
      <c r="D37" s="3105"/>
      <c r="E37" s="3106">
        <v>0.6</v>
      </c>
      <c r="F37" s="3103" t="s">
        <v>2476</v>
      </c>
      <c r="G37" s="3103"/>
    </row>
    <row r="38" spans="1:7" ht="19.5" customHeight="1">
      <c r="A38" s="3769"/>
      <c r="B38" s="3766"/>
      <c r="C38" s="3104" t="s">
        <v>2477</v>
      </c>
      <c r="D38" s="3105"/>
      <c r="E38" s="3106">
        <v>0.6</v>
      </c>
      <c r="F38" s="3103" t="s">
        <v>2478</v>
      </c>
      <c r="G38" s="3103"/>
    </row>
    <row r="39" spans="1:7" ht="19.5" customHeight="1" thickBot="1">
      <c r="A39" s="3770"/>
      <c r="B39" s="3767"/>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2" t="s">
        <v>2613</v>
      </c>
      <c r="B41" s="3765" t="s">
        <v>2637</v>
      </c>
      <c r="C41" s="3100" t="s">
        <v>2482</v>
      </c>
      <c r="D41" s="3101"/>
      <c r="E41" s="3102">
        <v>1</v>
      </c>
      <c r="F41" s="3103" t="s">
        <v>2483</v>
      </c>
      <c r="G41" s="3103"/>
    </row>
    <row r="42" spans="1:7" ht="19.5" customHeight="1">
      <c r="A42" s="3773"/>
      <c r="B42" s="3766"/>
      <c r="C42" s="3104" t="s">
        <v>2484</v>
      </c>
      <c r="D42" s="3105"/>
      <c r="E42" s="3106">
        <v>1</v>
      </c>
      <c r="F42" s="3103" t="s">
        <v>2485</v>
      </c>
      <c r="G42" s="3103"/>
    </row>
    <row r="43" spans="1:7" ht="19.5" customHeight="1">
      <c r="A43" s="3773"/>
      <c r="B43" s="3775"/>
      <c r="C43" s="3104" t="s">
        <v>2486</v>
      </c>
      <c r="D43" s="3105"/>
      <c r="E43" s="3106">
        <v>1.5</v>
      </c>
      <c r="F43" s="3103" t="s">
        <v>2487</v>
      </c>
      <c r="G43" s="3103"/>
    </row>
    <row r="44" spans="1:7" ht="19.5" customHeight="1">
      <c r="A44" s="3773"/>
      <c r="B44" s="3115" t="s">
        <v>2638</v>
      </c>
      <c r="C44" s="3104" t="s">
        <v>2639</v>
      </c>
      <c r="D44" s="3105"/>
      <c r="E44" s="3106">
        <v>2</v>
      </c>
      <c r="F44" s="3103" t="s">
        <v>2488</v>
      </c>
      <c r="G44" s="3103"/>
    </row>
    <row r="45" spans="1:7" ht="19.5" customHeight="1">
      <c r="A45" s="3773"/>
      <c r="B45" s="3771" t="s">
        <v>2640</v>
      </c>
      <c r="C45" s="3104" t="s">
        <v>2489</v>
      </c>
      <c r="D45" s="3105"/>
      <c r="E45" s="3106">
        <v>1</v>
      </c>
      <c r="F45" s="3103" t="s">
        <v>2490</v>
      </c>
      <c r="G45" s="3103"/>
    </row>
    <row r="46" spans="1:7" ht="19.5" customHeight="1">
      <c r="A46" s="3773"/>
      <c r="B46" s="3766"/>
      <c r="C46" s="3104" t="s">
        <v>2491</v>
      </c>
      <c r="D46" s="3105"/>
      <c r="E46" s="3106">
        <v>1</v>
      </c>
      <c r="F46" s="3103" t="s">
        <v>2492</v>
      </c>
      <c r="G46" s="3103"/>
    </row>
    <row r="47" spans="1:7" ht="19.5" customHeight="1">
      <c r="A47" s="3773"/>
      <c r="B47" s="3766"/>
      <c r="C47" s="3104" t="s">
        <v>2493</v>
      </c>
      <c r="D47" s="3105"/>
      <c r="E47" s="3106">
        <v>1</v>
      </c>
      <c r="F47" s="3103" t="s">
        <v>2494</v>
      </c>
      <c r="G47" s="3103"/>
    </row>
    <row r="48" spans="1:7" ht="19.5" customHeight="1">
      <c r="A48" s="3773"/>
      <c r="B48" s="3766"/>
      <c r="C48" s="3104" t="s">
        <v>2495</v>
      </c>
      <c r="D48" s="3105"/>
      <c r="E48" s="3106">
        <v>1</v>
      </c>
      <c r="F48" s="3103" t="s">
        <v>2496</v>
      </c>
      <c r="G48" s="3103"/>
    </row>
    <row r="49" spans="1:7" ht="19.5" customHeight="1">
      <c r="A49" s="3773"/>
      <c r="B49" s="3766"/>
      <c r="C49" s="3104" t="s">
        <v>2497</v>
      </c>
      <c r="D49" s="3105"/>
      <c r="E49" s="3106">
        <v>1</v>
      </c>
      <c r="F49" s="3103" t="s">
        <v>2498</v>
      </c>
      <c r="G49" s="3103"/>
    </row>
    <row r="50" spans="1:7" ht="19.5" customHeight="1">
      <c r="A50" s="3773"/>
      <c r="B50" s="3766"/>
      <c r="C50" s="3104" t="s">
        <v>2499</v>
      </c>
      <c r="D50" s="3105"/>
      <c r="E50" s="3106">
        <v>1</v>
      </c>
      <c r="F50" s="3103" t="s">
        <v>2500</v>
      </c>
      <c r="G50" s="3103"/>
    </row>
    <row r="51" spans="1:7" ht="19.5" customHeight="1" thickBot="1">
      <c r="A51" s="3774"/>
      <c r="B51" s="3767"/>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71" t="s">
        <v>2654</v>
      </c>
      <c r="C73" s="3089" t="s">
        <v>2655</v>
      </c>
      <c r="D73" s="3089" t="s">
        <v>2656</v>
      </c>
      <c r="E73" s="3115">
        <v>0.2</v>
      </c>
      <c r="F73" s="3115">
        <v>25</v>
      </c>
    </row>
    <row r="74" spans="1:7" ht="24">
      <c r="A74" s="3115">
        <v>2</v>
      </c>
      <c r="B74" s="3766"/>
      <c r="C74" s="3089" t="s">
        <v>2657</v>
      </c>
      <c r="D74" s="3089" t="s">
        <v>2658</v>
      </c>
      <c r="E74" s="3115">
        <v>0.2</v>
      </c>
      <c r="F74" s="3115">
        <v>25</v>
      </c>
    </row>
    <row r="75" spans="1:7" ht="24">
      <c r="A75" s="3115">
        <v>3</v>
      </c>
      <c r="B75" s="3766"/>
      <c r="C75" s="3089" t="s">
        <v>2659</v>
      </c>
      <c r="D75" s="3089" t="s">
        <v>2660</v>
      </c>
      <c r="E75" s="3115">
        <v>0.2</v>
      </c>
      <c r="F75" s="3115">
        <v>25</v>
      </c>
    </row>
    <row r="76" spans="1:7" ht="13.5">
      <c r="A76" s="3115">
        <v>4</v>
      </c>
      <c r="B76" s="3766"/>
      <c r="C76" s="3089" t="s">
        <v>2661</v>
      </c>
      <c r="D76" s="3089" t="s">
        <v>2662</v>
      </c>
      <c r="E76" s="3115">
        <v>0.15</v>
      </c>
      <c r="F76" s="3115">
        <v>20</v>
      </c>
    </row>
    <row r="77" spans="1:7" ht="24">
      <c r="A77" s="3115">
        <v>5</v>
      </c>
      <c r="B77" s="3766"/>
      <c r="C77" s="3089" t="s">
        <v>2663</v>
      </c>
      <c r="D77" s="3089" t="s">
        <v>2664</v>
      </c>
      <c r="E77" s="3115">
        <v>0.15</v>
      </c>
      <c r="F77" s="3115">
        <v>20</v>
      </c>
    </row>
    <row r="78" spans="1:7" ht="24">
      <c r="A78" s="3115">
        <v>6</v>
      </c>
      <c r="B78" s="3766"/>
      <c r="C78" s="3089" t="s">
        <v>2665</v>
      </c>
      <c r="D78" s="3089" t="s">
        <v>2666</v>
      </c>
      <c r="E78" s="3115">
        <v>0.15</v>
      </c>
      <c r="F78" s="3115">
        <v>20</v>
      </c>
    </row>
    <row r="79" spans="1:7" ht="24">
      <c r="A79" s="3115">
        <v>7</v>
      </c>
      <c r="B79" s="3766"/>
      <c r="C79" s="3089" t="s">
        <v>2667</v>
      </c>
      <c r="D79" s="3089" t="s">
        <v>2668</v>
      </c>
      <c r="E79" s="3115">
        <v>0.15</v>
      </c>
      <c r="F79" s="3115">
        <v>20</v>
      </c>
    </row>
    <row r="80" spans="1:7" ht="24">
      <c r="A80" s="3115">
        <v>8</v>
      </c>
      <c r="B80" s="3766"/>
      <c r="C80" s="3089" t="s">
        <v>2669</v>
      </c>
      <c r="D80" s="3089" t="s">
        <v>2670</v>
      </c>
      <c r="E80" s="3115">
        <v>0.1</v>
      </c>
      <c r="F80" s="3115">
        <v>15</v>
      </c>
    </row>
    <row r="81" spans="1:6" ht="24">
      <c r="A81" s="3115">
        <v>9</v>
      </c>
      <c r="B81" s="3766"/>
      <c r="C81" s="3089" t="s">
        <v>2671</v>
      </c>
      <c r="D81" s="3089" t="s">
        <v>2672</v>
      </c>
      <c r="E81" s="3115">
        <v>0.1</v>
      </c>
      <c r="F81" s="3115">
        <v>15</v>
      </c>
    </row>
    <row r="82" spans="1:6" ht="24">
      <c r="A82" s="3115">
        <v>10</v>
      </c>
      <c r="B82" s="3766"/>
      <c r="C82" s="3089" t="s">
        <v>2673</v>
      </c>
      <c r="D82" s="3089" t="s">
        <v>2674</v>
      </c>
      <c r="E82" s="3115">
        <v>0.1</v>
      </c>
      <c r="F82" s="3115">
        <v>15</v>
      </c>
    </row>
    <row r="83" spans="1:6" ht="24">
      <c r="A83" s="3115">
        <v>11</v>
      </c>
      <c r="B83" s="3766"/>
      <c r="C83" s="3089" t="s">
        <v>2675</v>
      </c>
      <c r="D83" s="3089" t="s">
        <v>2676</v>
      </c>
      <c r="E83" s="3115">
        <v>0.1</v>
      </c>
      <c r="F83" s="3115">
        <v>15</v>
      </c>
    </row>
    <row r="84" spans="1:6" ht="24">
      <c r="A84" s="3115">
        <v>12</v>
      </c>
      <c r="B84" s="3766"/>
      <c r="C84" s="3089" t="s">
        <v>2677</v>
      </c>
      <c r="D84" s="3089" t="s">
        <v>2678</v>
      </c>
      <c r="E84" s="3115">
        <v>0.1</v>
      </c>
      <c r="F84" s="3115">
        <v>15</v>
      </c>
    </row>
    <row r="85" spans="1:6" ht="13.5">
      <c r="A85" s="3115">
        <v>13</v>
      </c>
      <c r="B85" s="3766"/>
      <c r="C85" s="3089" t="s">
        <v>2679</v>
      </c>
      <c r="D85" s="3089" t="s">
        <v>2680</v>
      </c>
      <c r="E85" s="3115">
        <v>0.1</v>
      </c>
      <c r="F85" s="3115">
        <v>15</v>
      </c>
    </row>
    <row r="86" spans="1:6" ht="13.5">
      <c r="A86" s="3115">
        <v>14</v>
      </c>
      <c r="B86" s="3766"/>
      <c r="C86" s="3089" t="s">
        <v>2681</v>
      </c>
      <c r="D86" s="3089" t="s">
        <v>2682</v>
      </c>
      <c r="E86" s="3115">
        <v>0.1</v>
      </c>
      <c r="F86" s="3115">
        <v>15</v>
      </c>
    </row>
    <row r="87" spans="1:6" ht="13.5">
      <c r="A87" s="3115">
        <v>15</v>
      </c>
      <c r="B87" s="3766"/>
      <c r="C87" s="3089" t="s">
        <v>2683</v>
      </c>
      <c r="D87" s="3089" t="s">
        <v>2684</v>
      </c>
      <c r="E87" s="3115">
        <v>0.1</v>
      </c>
      <c r="F87" s="3115">
        <v>15</v>
      </c>
    </row>
    <row r="88" spans="1:6" ht="24">
      <c r="A88" s="3115">
        <v>16</v>
      </c>
      <c r="B88" s="3766"/>
      <c r="C88" s="3089" t="s">
        <v>2685</v>
      </c>
      <c r="D88" s="3089" t="s">
        <v>2686</v>
      </c>
      <c r="E88" s="3115">
        <v>0.1</v>
      </c>
      <c r="F88" s="3115">
        <v>15</v>
      </c>
    </row>
    <row r="89" spans="1:6" ht="24">
      <c r="A89" s="3115">
        <v>17</v>
      </c>
      <c r="B89" s="3775"/>
      <c r="C89" s="3089" t="s">
        <v>2687</v>
      </c>
      <c r="D89" s="3089" t="s">
        <v>2688</v>
      </c>
      <c r="E89" s="3115">
        <v>0.1</v>
      </c>
      <c r="F89" s="3115">
        <v>15</v>
      </c>
    </row>
    <row r="90" spans="1:6" ht="13.5">
      <c r="A90" s="3115">
        <v>18</v>
      </c>
      <c r="B90" s="3771" t="s">
        <v>2689</v>
      </c>
      <c r="C90" s="3089" t="s">
        <v>2690</v>
      </c>
      <c r="D90" s="3089" t="s">
        <v>2691</v>
      </c>
      <c r="E90" s="3115">
        <v>0.2</v>
      </c>
      <c r="F90" s="3115">
        <v>25</v>
      </c>
    </row>
    <row r="91" spans="1:6" ht="24">
      <c r="A91" s="3115">
        <v>19</v>
      </c>
      <c r="B91" s="3766"/>
      <c r="C91" s="3089" t="s">
        <v>2692</v>
      </c>
      <c r="D91" s="3089" t="s">
        <v>2693</v>
      </c>
      <c r="E91" s="3115">
        <v>0.2</v>
      </c>
      <c r="F91" s="3115">
        <v>25</v>
      </c>
    </row>
    <row r="92" spans="1:6" ht="13.5">
      <c r="A92" s="3115">
        <v>20</v>
      </c>
      <c r="B92" s="3766"/>
      <c r="C92" s="3089" t="s">
        <v>2694</v>
      </c>
      <c r="D92" s="3089" t="s">
        <v>2695</v>
      </c>
      <c r="E92" s="3115">
        <v>0.15</v>
      </c>
      <c r="F92" s="3115">
        <v>20</v>
      </c>
    </row>
    <row r="93" spans="1:6" ht="13.5">
      <c r="A93" s="3115">
        <v>21</v>
      </c>
      <c r="B93" s="3766"/>
      <c r="C93" s="3089" t="s">
        <v>2696</v>
      </c>
      <c r="D93" s="3089" t="s">
        <v>2697</v>
      </c>
      <c r="E93" s="3115">
        <v>0.15</v>
      </c>
      <c r="F93" s="3115">
        <v>20</v>
      </c>
    </row>
    <row r="94" spans="1:6" ht="13.5">
      <c r="A94" s="3115">
        <v>22</v>
      </c>
      <c r="B94" s="3766"/>
      <c r="C94" s="3089" t="s">
        <v>2698</v>
      </c>
      <c r="D94" s="3089" t="s">
        <v>2699</v>
      </c>
      <c r="E94" s="3115">
        <v>0.15</v>
      </c>
      <c r="F94" s="3115">
        <v>20</v>
      </c>
    </row>
    <row r="95" spans="1:6" ht="36">
      <c r="A95" s="3115">
        <v>23</v>
      </c>
      <c r="B95" s="3766"/>
      <c r="C95" s="3089" t="s">
        <v>2700</v>
      </c>
      <c r="D95" s="3089" t="s">
        <v>2701</v>
      </c>
      <c r="E95" s="3115">
        <v>0.15</v>
      </c>
      <c r="F95" s="3115">
        <v>20</v>
      </c>
    </row>
    <row r="96" spans="1:6" ht="13.5">
      <c r="A96" s="3115">
        <v>24</v>
      </c>
      <c r="B96" s="3766"/>
      <c r="C96" s="3089" t="s">
        <v>2702</v>
      </c>
      <c r="D96" s="3089" t="s">
        <v>2703</v>
      </c>
      <c r="E96" s="3115">
        <v>0.1</v>
      </c>
      <c r="F96" s="3115">
        <v>15</v>
      </c>
    </row>
    <row r="97" spans="1:6" ht="13.5">
      <c r="A97" s="3115">
        <v>25</v>
      </c>
      <c r="B97" s="3766"/>
      <c r="C97" s="3089" t="s">
        <v>2704</v>
      </c>
      <c r="D97" s="3089" t="s">
        <v>2705</v>
      </c>
      <c r="E97" s="3115">
        <v>0.1</v>
      </c>
      <c r="F97" s="3115">
        <v>15</v>
      </c>
    </row>
    <row r="98" spans="1:6" ht="24">
      <c r="A98" s="3115">
        <v>26</v>
      </c>
      <c r="B98" s="3766"/>
      <c r="C98" s="3089" t="s">
        <v>2706</v>
      </c>
      <c r="D98" s="3089" t="s">
        <v>2707</v>
      </c>
      <c r="E98" s="3115">
        <v>0.1</v>
      </c>
      <c r="F98" s="3115">
        <v>15</v>
      </c>
    </row>
    <row r="99" spans="1:6" ht="24">
      <c r="A99" s="3115">
        <v>27</v>
      </c>
      <c r="B99" s="3766"/>
      <c r="C99" s="3089" t="s">
        <v>2708</v>
      </c>
      <c r="D99" s="3089" t="s">
        <v>2709</v>
      </c>
      <c r="E99" s="3115">
        <v>0.1</v>
      </c>
      <c r="F99" s="3115">
        <v>15</v>
      </c>
    </row>
    <row r="100" spans="1:6" ht="13.5">
      <c r="A100" s="3115">
        <v>28</v>
      </c>
      <c r="B100" s="3766"/>
      <c r="C100" s="3089" t="s">
        <v>2710</v>
      </c>
      <c r="D100" s="3089" t="s">
        <v>2711</v>
      </c>
      <c r="E100" s="3115">
        <v>0.1</v>
      </c>
      <c r="F100" s="3115">
        <v>15</v>
      </c>
    </row>
    <row r="101" spans="1:6" ht="13.5">
      <c r="A101" s="3115">
        <v>29</v>
      </c>
      <c r="B101" s="3766"/>
      <c r="C101" s="3089" t="s">
        <v>2712</v>
      </c>
      <c r="D101" s="3089" t="s">
        <v>2713</v>
      </c>
      <c r="E101" s="3115">
        <v>0.1</v>
      </c>
      <c r="F101" s="3115">
        <v>15</v>
      </c>
    </row>
    <row r="102" spans="1:6" ht="13.5">
      <c r="A102" s="3115">
        <v>30</v>
      </c>
      <c r="B102" s="3766"/>
      <c r="C102" s="3089" t="s">
        <v>2714</v>
      </c>
      <c r="D102" s="3089" t="s">
        <v>2715</v>
      </c>
      <c r="E102" s="3115">
        <v>0.1</v>
      </c>
      <c r="F102" s="3115">
        <v>15</v>
      </c>
    </row>
    <row r="103" spans="1:6" ht="24">
      <c r="A103" s="3115">
        <v>31</v>
      </c>
      <c r="B103" s="3766"/>
      <c r="C103" s="3089" t="s">
        <v>2716</v>
      </c>
      <c r="D103" s="3089" t="s">
        <v>2717</v>
      </c>
      <c r="E103" s="3115">
        <v>0.1</v>
      </c>
      <c r="F103" s="3115">
        <v>15</v>
      </c>
    </row>
    <row r="104" spans="1:6" ht="24">
      <c r="A104" s="3115">
        <v>32</v>
      </c>
      <c r="B104" s="3766"/>
      <c r="C104" s="3089" t="s">
        <v>2718</v>
      </c>
      <c r="D104" s="3089" t="s">
        <v>2719</v>
      </c>
      <c r="E104" s="3115">
        <v>0.1</v>
      </c>
      <c r="F104" s="3115">
        <v>15</v>
      </c>
    </row>
    <row r="105" spans="1:6" ht="24">
      <c r="A105" s="3115">
        <v>33</v>
      </c>
      <c r="B105" s="3766"/>
      <c r="C105" s="3089" t="s">
        <v>2720</v>
      </c>
      <c r="D105" s="3089" t="s">
        <v>2721</v>
      </c>
      <c r="E105" s="3115">
        <v>0.1</v>
      </c>
      <c r="F105" s="3115">
        <v>15</v>
      </c>
    </row>
    <row r="106" spans="1:6" ht="24">
      <c r="A106" s="3115">
        <v>34</v>
      </c>
      <c r="B106" s="3775"/>
      <c r="C106" s="3089" t="s">
        <v>2722</v>
      </c>
      <c r="D106" s="3089" t="s">
        <v>2723</v>
      </c>
      <c r="E106" s="3115">
        <v>0.1</v>
      </c>
      <c r="F106" s="3115">
        <v>15</v>
      </c>
    </row>
    <row r="107" spans="1:6" ht="24">
      <c r="A107" s="3115">
        <v>35</v>
      </c>
      <c r="B107" s="3771" t="s">
        <v>2724</v>
      </c>
      <c r="C107" s="3115" t="s">
        <v>2725</v>
      </c>
      <c r="D107" s="3089" t="s">
        <v>2726</v>
      </c>
      <c r="E107" s="3115">
        <v>0.15</v>
      </c>
      <c r="F107" s="3115">
        <v>20</v>
      </c>
    </row>
    <row r="108" spans="1:6" ht="13.5">
      <c r="A108" s="3115">
        <v>36</v>
      </c>
      <c r="B108" s="3766"/>
      <c r="C108" s="3115" t="s">
        <v>2727</v>
      </c>
      <c r="D108" s="3089" t="s">
        <v>2728</v>
      </c>
      <c r="E108" s="3115">
        <v>0.15</v>
      </c>
      <c r="F108" s="3115">
        <v>20</v>
      </c>
    </row>
    <row r="109" spans="1:6" ht="13.5">
      <c r="A109" s="3115">
        <v>37</v>
      </c>
      <c r="B109" s="3766"/>
      <c r="C109" s="3115" t="s">
        <v>2729</v>
      </c>
      <c r="D109" s="3089" t="s">
        <v>2730</v>
      </c>
      <c r="E109" s="3115">
        <v>0.15</v>
      </c>
      <c r="F109" s="3115">
        <v>20</v>
      </c>
    </row>
    <row r="110" spans="1:6" ht="13.5">
      <c r="A110" s="3115">
        <v>38</v>
      </c>
      <c r="B110" s="3766"/>
      <c r="C110" s="3115" t="s">
        <v>2731</v>
      </c>
      <c r="D110" s="3089" t="s">
        <v>2732</v>
      </c>
      <c r="E110" s="3115">
        <v>0.1</v>
      </c>
      <c r="F110" s="3115">
        <v>15</v>
      </c>
    </row>
    <row r="111" spans="1:6" ht="24">
      <c r="A111" s="3115">
        <v>39</v>
      </c>
      <c r="B111" s="3766"/>
      <c r="C111" s="3115" t="s">
        <v>2733</v>
      </c>
      <c r="D111" s="3089" t="s">
        <v>2734</v>
      </c>
      <c r="E111" s="3115">
        <v>0.1</v>
      </c>
      <c r="F111" s="3115">
        <v>15</v>
      </c>
    </row>
    <row r="112" spans="1:6" ht="24">
      <c r="A112" s="3115">
        <v>40</v>
      </c>
      <c r="B112" s="3775"/>
      <c r="C112" s="3115" t="s">
        <v>2735</v>
      </c>
      <c r="D112" s="3089" t="s">
        <v>2736</v>
      </c>
      <c r="E112" s="3115">
        <v>0.1</v>
      </c>
      <c r="F112" s="3115">
        <v>15</v>
      </c>
    </row>
    <row r="113" spans="1:6" ht="13.5">
      <c r="A113" s="3115">
        <v>41</v>
      </c>
      <c r="B113" s="3776" t="s">
        <v>2737</v>
      </c>
      <c r="C113" s="3115" t="s">
        <v>2738</v>
      </c>
      <c r="D113" s="3089" t="s">
        <v>2739</v>
      </c>
      <c r="E113" s="3115">
        <v>0.1</v>
      </c>
      <c r="F113" s="3115">
        <v>15</v>
      </c>
    </row>
    <row r="114" spans="1:6" ht="13.5">
      <c r="A114" s="3115">
        <v>42</v>
      </c>
      <c r="B114" s="3776"/>
      <c r="C114" s="3115" t="s">
        <v>2740</v>
      </c>
      <c r="D114" s="3089" t="s">
        <v>2741</v>
      </c>
      <c r="E114" s="3115">
        <v>0.1</v>
      </c>
      <c r="F114" s="3115">
        <v>15</v>
      </c>
    </row>
    <row r="115" spans="1:6" ht="24">
      <c r="A115" s="3115">
        <v>43</v>
      </c>
      <c r="B115" s="3776"/>
      <c r="C115" s="3115" t="s">
        <v>2742</v>
      </c>
      <c r="D115" s="3089" t="s">
        <v>2743</v>
      </c>
      <c r="E115" s="3115">
        <v>0.1</v>
      </c>
      <c r="F115" s="3115">
        <v>15</v>
      </c>
    </row>
    <row r="116" spans="1:6" ht="13.5">
      <c r="A116" s="3115">
        <v>44</v>
      </c>
      <c r="B116" s="3771" t="s">
        <v>2744</v>
      </c>
      <c r="C116" s="3115" t="s">
        <v>2745</v>
      </c>
      <c r="D116" s="3089" t="s">
        <v>2746</v>
      </c>
      <c r="E116" s="3115">
        <v>0.1</v>
      </c>
      <c r="F116" s="3115">
        <v>15</v>
      </c>
    </row>
    <row r="117" spans="1:6" ht="24">
      <c r="A117" s="3115">
        <v>45</v>
      </c>
      <c r="B117" s="3775"/>
      <c r="C117" s="3089" t="s">
        <v>2747</v>
      </c>
      <c r="D117" s="3089" t="s">
        <v>2748</v>
      </c>
      <c r="E117" s="3115">
        <v>0.1</v>
      </c>
      <c r="F117" s="3115">
        <v>15</v>
      </c>
    </row>
    <row r="118" spans="1:6" ht="24">
      <c r="A118" s="3115">
        <v>46</v>
      </c>
      <c r="B118" s="3771" t="s">
        <v>2749</v>
      </c>
      <c r="C118" s="3115" t="s">
        <v>2750</v>
      </c>
      <c r="D118" s="3089" t="s">
        <v>2751</v>
      </c>
      <c r="E118" s="3115">
        <v>0.1</v>
      </c>
      <c r="F118" s="3115">
        <v>15</v>
      </c>
    </row>
    <row r="119" spans="1:6" ht="24">
      <c r="A119" s="3115">
        <v>47</v>
      </c>
      <c r="B119" s="3775"/>
      <c r="C119" s="3115" t="s">
        <v>2752</v>
      </c>
      <c r="D119" s="3089" t="s">
        <v>2753</v>
      </c>
      <c r="E119" s="3115">
        <v>0.1</v>
      </c>
      <c r="F119" s="3115">
        <v>15</v>
      </c>
    </row>
    <row r="120" spans="1:6" ht="13.5">
      <c r="A120" s="3115">
        <v>48</v>
      </c>
      <c r="B120" s="3771" t="s">
        <v>2754</v>
      </c>
      <c r="C120" s="3115" t="s">
        <v>2755</v>
      </c>
      <c r="D120" s="3089" t="s">
        <v>2756</v>
      </c>
      <c r="E120" s="3115">
        <v>0.1</v>
      </c>
      <c r="F120" s="3115">
        <v>15</v>
      </c>
    </row>
    <row r="121" spans="1:6" ht="13.5">
      <c r="A121" s="3115">
        <v>49</v>
      </c>
      <c r="B121" s="3775"/>
      <c r="C121" s="3115" t="s">
        <v>2757</v>
      </c>
      <c r="D121" s="3089" t="s">
        <v>2758</v>
      </c>
      <c r="E121" s="3115">
        <v>0.1</v>
      </c>
      <c r="F121" s="3115">
        <v>15</v>
      </c>
    </row>
    <row r="122" spans="1:6" ht="24">
      <c r="A122" s="3115">
        <v>50</v>
      </c>
      <c r="B122" s="3776" t="s">
        <v>2759</v>
      </c>
      <c r="C122" s="3115" t="s">
        <v>2760</v>
      </c>
      <c r="D122" s="3089" t="s">
        <v>2761</v>
      </c>
      <c r="E122" s="3115">
        <v>0.1</v>
      </c>
      <c r="F122" s="3115">
        <v>15</v>
      </c>
    </row>
    <row r="123" spans="1:6" ht="24">
      <c r="A123" s="3115">
        <v>51</v>
      </c>
      <c r="B123" s="3776"/>
      <c r="C123" s="3115" t="s">
        <v>2762</v>
      </c>
      <c r="D123" s="3089" t="s">
        <v>2763</v>
      </c>
      <c r="E123" s="3115">
        <v>0.1</v>
      </c>
      <c r="F123" s="3115">
        <v>15</v>
      </c>
    </row>
    <row r="124" spans="1:6" ht="24">
      <c r="A124" s="3115">
        <v>52</v>
      </c>
      <c r="B124" s="3776" t="s">
        <v>2764</v>
      </c>
      <c r="C124" s="3115" t="s">
        <v>2765</v>
      </c>
      <c r="D124" s="3089" t="s">
        <v>2766</v>
      </c>
      <c r="E124" s="3115">
        <v>0.1</v>
      </c>
      <c r="F124" s="3115">
        <v>15</v>
      </c>
    </row>
    <row r="125" spans="1:6" ht="24">
      <c r="A125" s="3115">
        <v>53</v>
      </c>
      <c r="B125" s="3776"/>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76" t="s">
        <v>2772</v>
      </c>
      <c r="C127" s="3115" t="s">
        <v>2773</v>
      </c>
      <c r="D127" s="3089" t="s">
        <v>2774</v>
      </c>
      <c r="E127" s="3115">
        <v>0.1</v>
      </c>
      <c r="F127" s="3115">
        <v>15</v>
      </c>
    </row>
    <row r="128" spans="1:6" ht="13.5">
      <c r="A128" s="3115">
        <v>56</v>
      </c>
      <c r="B128" s="3776"/>
      <c r="C128" s="3115" t="s">
        <v>2775</v>
      </c>
      <c r="D128" s="3089" t="s">
        <v>2776</v>
      </c>
      <c r="E128" s="3115">
        <v>0.1</v>
      </c>
      <c r="F128" s="3115">
        <v>15</v>
      </c>
    </row>
    <row r="129" spans="1:6" ht="24">
      <c r="A129" s="3115">
        <v>57</v>
      </c>
      <c r="B129" s="3776"/>
      <c r="C129" s="3115" t="s">
        <v>2777</v>
      </c>
      <c r="D129" s="3089" t="s">
        <v>2778</v>
      </c>
      <c r="E129" s="3115">
        <v>0.1</v>
      </c>
      <c r="F129" s="3115">
        <v>15</v>
      </c>
    </row>
    <row r="130" spans="1:6" ht="24">
      <c r="A130" s="3115">
        <v>58</v>
      </c>
      <c r="B130" s="3776" t="s">
        <v>2779</v>
      </c>
      <c r="C130" s="3115" t="s">
        <v>2780</v>
      </c>
      <c r="D130" s="3089" t="s">
        <v>2781</v>
      </c>
      <c r="E130" s="3115">
        <v>0.1</v>
      </c>
      <c r="F130" s="3115">
        <v>15</v>
      </c>
    </row>
    <row r="131" spans="1:6" ht="13.5">
      <c r="A131" s="3115">
        <v>59</v>
      </c>
      <c r="B131" s="3776"/>
      <c r="C131" s="3115" t="s">
        <v>2782</v>
      </c>
      <c r="D131" s="3089" t="s">
        <v>2783</v>
      </c>
      <c r="E131" s="3115">
        <v>0.1</v>
      </c>
      <c r="F131" s="3115">
        <v>15</v>
      </c>
    </row>
    <row r="132" spans="1:6" ht="13.5">
      <c r="A132" s="3115">
        <v>60</v>
      </c>
      <c r="B132" s="3771" t="s">
        <v>2784</v>
      </c>
      <c r="C132" s="3115" t="s">
        <v>2785</v>
      </c>
      <c r="D132" s="3089" t="s">
        <v>2786</v>
      </c>
      <c r="E132" s="3115">
        <v>0.1</v>
      </c>
      <c r="F132" s="3115">
        <v>15</v>
      </c>
    </row>
    <row r="133" spans="1:6" ht="13.5">
      <c r="A133" s="3115">
        <v>61</v>
      </c>
      <c r="B133" s="3775"/>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76" t="s">
        <v>2792</v>
      </c>
      <c r="C135" s="3115" t="s">
        <v>2793</v>
      </c>
      <c r="D135" s="3089" t="s">
        <v>2794</v>
      </c>
      <c r="E135" s="3115">
        <v>0.1</v>
      </c>
      <c r="F135" s="3115">
        <v>15</v>
      </c>
    </row>
    <row r="136" spans="1:6" ht="13.5">
      <c r="A136" s="3115">
        <v>64</v>
      </c>
      <c r="B136" s="3776"/>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2801</v>
      </c>
      <c r="B1" s="3124"/>
      <c r="C1" s="3124"/>
      <c r="D1" s="3124"/>
      <c r="E1" s="3124"/>
      <c r="F1" s="3124"/>
      <c r="G1" s="3124"/>
      <c r="H1" s="3124"/>
      <c r="I1" s="3124"/>
      <c r="J1" s="3124"/>
      <c r="K1" s="3124"/>
      <c r="L1" s="3124"/>
      <c r="M1" s="3124"/>
      <c r="N1" s="748"/>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9">
        <f>SUMPRODUCT((A95:A184=ROUNDDOWN(基准地价修正!G3,1))*(B94:M94=基准地价修正!G2)*(B95:M184))</f>
        <v>1.2158</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9">
        <f>SUMPRODUCT((A371:A460=ROUNDDOWN(基准地价修正!G3,1))*(B370:M370=基准地价修正!G2)*(B371:M460))</f>
        <v>1.1565000000000001</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27171</v>
      </c>
      <c r="C2" s="2" t="s">
        <v>106</v>
      </c>
      <c r="D2" s="199"/>
      <c r="E2" s="199"/>
      <c r="F2" s="199"/>
      <c r="G2" s="199"/>
    </row>
    <row r="3" spans="1:7" s="200" customFormat="1" ht="18" customHeight="1" thickBot="1">
      <c r="A3" s="203" t="s">
        <v>58</v>
      </c>
      <c r="B3" s="204">
        <f ca="1">ROUND(B2*10000/'数据-汇总表'!E3,0)</f>
        <v>27421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198</v>
      </c>
      <c r="D10" s="844">
        <f>'数据-汇总表'!E6</f>
        <v>9908.9000000000015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198</v>
      </c>
      <c r="D19" s="848">
        <f>'数据-汇总表'!E3</f>
        <v>9908.9000000000015</v>
      </c>
      <c r="E19" s="211">
        <f>'数据-取费表'!B31</f>
        <v>200</v>
      </c>
      <c r="F19" s="231"/>
      <c r="G19" s="1" t="s">
        <v>436</v>
      </c>
    </row>
    <row r="20" spans="1:7" s="214" customFormat="1" ht="13.5" customHeight="1">
      <c r="A20" s="776" t="s">
        <v>419</v>
      </c>
      <c r="B20" s="210" t="s">
        <v>77</v>
      </c>
      <c r="C20" s="232">
        <f>ROUND((C5+C19)*F20,0)</f>
        <v>416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725</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7</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1061</v>
      </c>
      <c r="D27" s="235">
        <f>C29</f>
        <v>1E-3</v>
      </c>
      <c r="E27" s="236" t="s">
        <v>99</v>
      </c>
      <c r="F27" s="246">
        <f>'数据-取费表'!Q16</f>
        <v>0.05</v>
      </c>
      <c r="G27" s="247" t="s">
        <v>431</v>
      </c>
    </row>
    <row r="28" spans="1:7" s="214" customFormat="1" ht="13.5" customHeight="1">
      <c r="A28" s="779" t="s">
        <v>349</v>
      </c>
      <c r="B28" s="248" t="s">
        <v>424</v>
      </c>
      <c r="C28" s="249">
        <f>ROUND((C5+C19+C20)*F27*'数据-取费表'!B21/'数据-取费表'!B20,0)</f>
        <v>1061</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24866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2799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2477</v>
      </c>
      <c r="D34" s="217"/>
      <c r="E34" s="220"/>
      <c r="F34" s="257">
        <f>IF('数据-取费表'!B24=0,1,'数据-取费表'!N16)</f>
        <v>1</v>
      </c>
      <c r="G34" s="219" t="s">
        <v>89</v>
      </c>
    </row>
    <row r="35" spans="1:7" ht="13.5" customHeight="1">
      <c r="A35" s="779" t="s">
        <v>351</v>
      </c>
      <c r="B35" s="215" t="s">
        <v>33</v>
      </c>
      <c r="C35" s="220">
        <f>ROUND(C34*F35,0)</f>
        <v>74</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198</v>
      </c>
      <c r="D37" s="217">
        <f>'数据-汇总表'!E3</f>
        <v>9908.9000000000015</v>
      </c>
      <c r="E37" s="249">
        <f>'数据-取费表'!B35</f>
        <v>200</v>
      </c>
      <c r="F37" s="259"/>
      <c r="G37" s="261" t="s">
        <v>92</v>
      </c>
    </row>
    <row r="38" spans="1:7" ht="13.5" customHeight="1">
      <c r="A38" s="779" t="s">
        <v>354</v>
      </c>
      <c r="B38" s="215" t="s">
        <v>36</v>
      </c>
      <c r="C38" s="220">
        <f>ROUND(C34*F38,0)</f>
        <v>50</v>
      </c>
      <c r="D38" s="220"/>
      <c r="E38" s="220"/>
      <c r="F38" s="259">
        <f>'数据-取费表'!B36</f>
        <v>0.02</v>
      </c>
      <c r="G38" s="219" t="s">
        <v>90</v>
      </c>
    </row>
    <row r="39" spans="1:7" s="214" customFormat="1" ht="13.5" customHeight="1">
      <c r="A39" s="776" t="s">
        <v>338</v>
      </c>
      <c r="B39" s="210" t="s">
        <v>77</v>
      </c>
      <c r="C39" s="232">
        <f>ROUND(C33*F20,0)</f>
        <v>56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49</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48</v>
      </c>
      <c r="D42" s="238"/>
      <c r="E42" s="238"/>
      <c r="F42" s="239"/>
      <c r="G42" s="3641" t="s">
        <v>94</v>
      </c>
    </row>
    <row r="43" spans="1:7" ht="13.5" customHeight="1">
      <c r="A43" s="779" t="s">
        <v>347</v>
      </c>
      <c r="B43" s="215" t="s">
        <v>426</v>
      </c>
      <c r="C43" s="238">
        <f ca="1">ROUND(IF('数据-取费表'!B22&lt;=1,C39*F22*'数据-取费表'!B21/2,C39*(POWER((1+F22),'数据-取费表'!B21/2)-1)),0)</f>
        <v>1</v>
      </c>
      <c r="D43" s="238"/>
      <c r="E43" s="238"/>
      <c r="F43" s="239"/>
      <c r="G43" s="3642"/>
    </row>
    <row r="44" spans="1:7" ht="13.5" customHeight="1">
      <c r="A44" s="779" t="s">
        <v>348</v>
      </c>
      <c r="B44" s="215" t="s">
        <v>428</v>
      </c>
      <c r="C44" s="238">
        <f ca="1">ROUND(IF('数据-取费表'!B22&lt;=1,C40*F22*'数据-取费表'!B21/2,C40*(POWER((1+F22),'数据-取费表'!B21/2)-1)),4)</f>
        <v>2.9999999999999997E-4</v>
      </c>
      <c r="D44" s="238"/>
      <c r="E44" s="238"/>
      <c r="F44" s="239"/>
      <c r="G44" s="3643"/>
    </row>
    <row r="45" spans="1:7" s="214" customFormat="1" ht="13.5" customHeight="1">
      <c r="A45" s="776" t="s">
        <v>341</v>
      </c>
      <c r="B45" s="244" t="s">
        <v>85</v>
      </c>
      <c r="C45" s="245">
        <f>C46</f>
        <v>143</v>
      </c>
      <c r="D45" s="235">
        <f>C47</f>
        <v>1E-3</v>
      </c>
      <c r="E45" s="236" t="s">
        <v>102</v>
      </c>
      <c r="F45" s="246"/>
      <c r="G45" s="247" t="s">
        <v>434</v>
      </c>
    </row>
    <row r="46" spans="1:7" s="214" customFormat="1" ht="13.5" customHeight="1">
      <c r="A46" s="779" t="s">
        <v>349</v>
      </c>
      <c r="B46" s="248" t="s">
        <v>427</v>
      </c>
      <c r="C46" s="249">
        <f>ROUND((C33+C39)*F27,0)</f>
        <v>143</v>
      </c>
      <c r="D46" s="263"/>
      <c r="E46" s="236"/>
      <c r="F46" s="246"/>
      <c r="G46" s="247"/>
    </row>
    <row r="47" spans="1:7" s="214" customFormat="1" ht="13.5" customHeight="1">
      <c r="A47" s="779" t="s">
        <v>347</v>
      </c>
      <c r="B47" s="248" t="s">
        <v>429</v>
      </c>
      <c r="C47" s="238">
        <f>ROUND(C40*F27,4)</f>
        <v>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3293</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2305</v>
      </c>
      <c r="D51" s="232"/>
      <c r="E51" s="232"/>
      <c r="F51" s="264"/>
      <c r="G51" s="234" t="s">
        <v>37</v>
      </c>
    </row>
    <row r="52" spans="1:7" s="208" customFormat="1" ht="16.5" thickBot="1">
      <c r="A52" s="265" t="s">
        <v>38</v>
      </c>
      <c r="B52" s="266"/>
      <c r="C52" s="267">
        <f ca="1">C31+C51</f>
        <v>27171</v>
      </c>
      <c r="D52" s="266"/>
      <c r="E52" s="266"/>
      <c r="F52" s="266"/>
      <c r="G52" s="268"/>
    </row>
    <row r="55" spans="1:7" ht="15">
      <c r="B55" s="270" t="s">
        <v>39</v>
      </c>
      <c r="C55" s="271"/>
    </row>
    <row r="56" spans="1:7">
      <c r="B56" s="273" t="s">
        <v>40</v>
      </c>
      <c r="C56" s="274">
        <f ca="1">ROUND(C51/C52,3)</f>
        <v>8.5000000000000006E-2</v>
      </c>
    </row>
    <row r="57" spans="1:7">
      <c r="B57" s="273" t="s">
        <v>41</v>
      </c>
      <c r="C57" s="275">
        <f ca="1">1-C56</f>
        <v>0.91500000000000004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1"/>
      <c r="B4" s="3462" t="s">
        <v>917</v>
      </c>
      <c r="C4" s="3462"/>
      <c r="D4" s="3462"/>
      <c r="E4" s="1491"/>
    </row>
    <row r="5" spans="1:5" ht="16.5" thickTop="1">
      <c r="A5" s="1489"/>
      <c r="B5" s="3460" t="s">
        <v>909</v>
      </c>
      <c r="C5" s="1492" t="s">
        <v>910</v>
      </c>
      <c r="D5" s="849">
        <f ca="1">结果表!H101</f>
        <v>17217</v>
      </c>
      <c r="E5" s="1489"/>
    </row>
    <row r="6" spans="1:5" ht="15.75">
      <c r="A6" s="1489"/>
      <c r="B6" s="3460"/>
      <c r="C6" s="1492" t="s">
        <v>911</v>
      </c>
      <c r="D6" s="849" t="str">
        <f ca="1">NUMBERSTRING(INT(D5*10000),2)&amp;"元整"</f>
        <v>壹亿柒仟贰佰壹拾柒万元整</v>
      </c>
      <c r="E6" s="1489"/>
    </row>
    <row r="7" spans="1:5" ht="15.75">
      <c r="A7" s="1489"/>
      <c r="B7" s="3465"/>
      <c r="C7" s="1493" t="s">
        <v>912</v>
      </c>
      <c r="D7" s="850">
        <f ca="1">结果表!H102</f>
        <v>17375</v>
      </c>
      <c r="E7" s="1489"/>
    </row>
    <row r="8" spans="1:5" ht="15.75">
      <c r="A8" s="1489"/>
      <c r="B8" s="3466" t="str">
        <f>结果表!E103</f>
        <v>2.估价师知悉的法定优先受偿款</v>
      </c>
      <c r="C8" s="1494" t="s">
        <v>913</v>
      </c>
      <c r="D8" s="850">
        <f>结果表!H103</f>
        <v>0</v>
      </c>
      <c r="E8" s="1489"/>
    </row>
    <row r="9" spans="1:5" ht="15.75">
      <c r="A9" s="1489"/>
      <c r="B9" s="3468"/>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59" t="str">
        <f>结果表!E107</f>
        <v>3.房地产抵押价值</v>
      </c>
      <c r="C13" s="1497" t="s">
        <v>910</v>
      </c>
      <c r="D13" s="852">
        <f ca="1">结果表!H107</f>
        <v>17217</v>
      </c>
      <c r="E13" s="1489"/>
    </row>
    <row r="14" spans="1:5" ht="15.75">
      <c r="A14" s="1489"/>
      <c r="B14" s="3460"/>
      <c r="C14" s="1492" t="s">
        <v>911</v>
      </c>
      <c r="D14" s="849" t="str">
        <f ca="1">NUMBERSTRING(INT(D13*10000),2)&amp;"元整"</f>
        <v>壹亿柒仟贰佰壹拾柒万元整</v>
      </c>
      <c r="E14" s="1489"/>
    </row>
    <row r="15" spans="1:5" ht="15">
      <c r="A15" s="1489"/>
      <c r="B15" s="3465"/>
      <c r="C15" s="1493" t="s">
        <v>921</v>
      </c>
      <c r="D15" s="858">
        <f ca="1">结果表!H108</f>
        <v>17375</v>
      </c>
      <c r="E15" s="1489"/>
    </row>
    <row r="16" spans="1:5" ht="15">
      <c r="A16" s="1489"/>
      <c r="B16" s="3466" t="str">
        <f>结果表!E109</f>
        <v>——</v>
      </c>
      <c r="C16" s="1497" t="s">
        <v>922</v>
      </c>
      <c r="D16" s="1498" t="str">
        <f>结果表!H109</f>
        <v>——</v>
      </c>
      <c r="E16" s="1489"/>
    </row>
    <row r="17" spans="1:5" ht="15.75">
      <c r="A17" s="1489"/>
      <c r="B17" s="3467"/>
      <c r="C17" s="1492" t="s">
        <v>923</v>
      </c>
      <c r="D17" s="849" t="e">
        <f>NUMBERSTRING(INT(D16*10000),2)&amp;"元整"</f>
        <v>#VALUE!</v>
      </c>
      <c r="E17" s="1489"/>
    </row>
    <row r="18" spans="1:5" ht="15">
      <c r="A18" s="1489"/>
      <c r="B18" s="3468"/>
      <c r="C18" s="1493" t="s">
        <v>912</v>
      </c>
      <c r="D18" s="858" t="str">
        <f>结果表!H110</f>
        <v>——</v>
      </c>
      <c r="E18" s="1489"/>
    </row>
    <row r="19" spans="1:5" ht="15.75">
      <c r="A19" s="1489"/>
      <c r="B19" s="3459" t="str">
        <f>结果表!E111</f>
        <v>——</v>
      </c>
      <c r="C19" s="1497" t="s">
        <v>910</v>
      </c>
      <c r="D19" s="850" t="str">
        <f>结果表!H111</f>
        <v>——</v>
      </c>
      <c r="E19" s="1489"/>
    </row>
    <row r="20" spans="1:5" ht="15.75">
      <c r="A20" s="1489"/>
      <c r="B20" s="3460"/>
      <c r="C20" s="1492" t="s">
        <v>923</v>
      </c>
      <c r="D20" s="849" t="e">
        <f>NUMBERSTRING(INT(D19*10000),2)&amp;"元整"</f>
        <v>#VALUE!</v>
      </c>
      <c r="E20" s="1489"/>
    </row>
    <row r="21" spans="1:5" ht="15.75" thickBot="1">
      <c r="A21" s="1489"/>
      <c r="B21" s="3461"/>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W31"/>
  <sheetViews>
    <sheetView topLeftCell="N1" workbookViewId="0">
      <selection activeCell="Q34" sqref="Q34"/>
    </sheetView>
  </sheetViews>
  <sheetFormatPr defaultRowHeight="13.5"/>
  <cols>
    <col min="1" max="1" width="20" style="3453" customWidth="1"/>
    <col min="2" max="2" width="9.75" style="3453" customWidth="1"/>
    <col min="3" max="3" width="16" style="3453" customWidth="1"/>
    <col min="4" max="4" width="8.625" style="3453" customWidth="1"/>
    <col min="5" max="5" width="20" style="3453" customWidth="1"/>
    <col min="6" max="6" width="15.5" style="3453" customWidth="1"/>
    <col min="7" max="12" width="20" style="3453" customWidth="1"/>
    <col min="13" max="13" width="4.75" style="3453" customWidth="1"/>
    <col min="14" max="24" width="20" style="3453" customWidth="1"/>
    <col min="25" max="16384" width="9" style="3453"/>
  </cols>
  <sheetData>
    <row r="1" spans="1:23">
      <c r="A1" s="3453" t="s">
        <v>3448</v>
      </c>
      <c r="B1" s="3453" t="s">
        <v>3449</v>
      </c>
      <c r="C1" s="3453" t="s">
        <v>3450</v>
      </c>
      <c r="D1" s="3453" t="s">
        <v>3479</v>
      </c>
      <c r="E1" s="3453" t="s">
        <v>3480</v>
      </c>
      <c r="F1" s="3453" t="s">
        <v>3451</v>
      </c>
      <c r="G1" s="3453" t="s">
        <v>3452</v>
      </c>
      <c r="H1" s="3453" t="s">
        <v>3453</v>
      </c>
      <c r="I1" s="3453" t="s">
        <v>3454</v>
      </c>
      <c r="J1" s="3453" t="s">
        <v>3455</v>
      </c>
      <c r="K1" s="3453" t="s">
        <v>3456</v>
      </c>
      <c r="L1" s="3453" t="s">
        <v>3457</v>
      </c>
      <c r="M1" s="3453" t="s">
        <v>3481</v>
      </c>
      <c r="N1" s="3453" t="s">
        <v>3482</v>
      </c>
      <c r="O1" s="3453" t="s">
        <v>3458</v>
      </c>
      <c r="P1" s="3453" t="s">
        <v>3459</v>
      </c>
      <c r="Q1" s="3453" t="s">
        <v>3460</v>
      </c>
      <c r="R1" s="3453" t="s">
        <v>3461</v>
      </c>
      <c r="S1" s="3453" t="s">
        <v>3462</v>
      </c>
      <c r="T1" s="3453" t="s">
        <v>3463</v>
      </c>
      <c r="U1" s="3453" t="s">
        <v>3464</v>
      </c>
      <c r="V1" s="3453" t="s">
        <v>3465</v>
      </c>
      <c r="W1" s="3453" t="s">
        <v>3466</v>
      </c>
    </row>
    <row r="2" spans="1:23">
      <c r="A2" s="3453" t="s">
        <v>3483</v>
      </c>
      <c r="B2" s="3453" t="s">
        <v>3484</v>
      </c>
      <c r="C2" s="3453" t="s">
        <v>3485</v>
      </c>
      <c r="D2" s="3453" t="s">
        <v>3486</v>
      </c>
      <c r="E2" s="3453" t="s">
        <v>3487</v>
      </c>
      <c r="F2" s="3453" t="s">
        <v>3488</v>
      </c>
      <c r="G2" s="3453">
        <v>13725.61</v>
      </c>
      <c r="H2" s="3453">
        <v>54902.44</v>
      </c>
      <c r="I2" s="3453" t="s">
        <v>3489</v>
      </c>
      <c r="J2" s="3453" t="s">
        <v>3490</v>
      </c>
      <c r="K2" s="3453" t="s">
        <v>3491</v>
      </c>
      <c r="L2" s="3453" t="s">
        <v>3467</v>
      </c>
      <c r="M2" s="3453" t="s">
        <v>3492</v>
      </c>
      <c r="N2" s="3454">
        <v>45373.000497685185</v>
      </c>
      <c r="O2" s="3454">
        <v>45373.000497685185</v>
      </c>
      <c r="P2" s="3453" t="s">
        <v>3468</v>
      </c>
      <c r="Q2" s="3453" t="s">
        <v>3493</v>
      </c>
      <c r="R2" s="3453">
        <v>6494.96</v>
      </c>
      <c r="S2" s="3453">
        <v>4732</v>
      </c>
      <c r="T2" s="3453">
        <v>315.47000000000003</v>
      </c>
      <c r="U2" s="3453">
        <v>1183</v>
      </c>
      <c r="V2" s="3453">
        <v>0</v>
      </c>
      <c r="W2" s="3453" t="s">
        <v>3469</v>
      </c>
    </row>
    <row r="3" spans="1:23">
      <c r="A3" s="3453" t="s">
        <v>3494</v>
      </c>
      <c r="B3" s="3453" t="s">
        <v>3484</v>
      </c>
      <c r="C3" s="3453" t="s">
        <v>3495</v>
      </c>
      <c r="D3" s="3453" t="s">
        <v>3486</v>
      </c>
      <c r="E3" s="3453" t="s">
        <v>3496</v>
      </c>
      <c r="F3" s="3453" t="s">
        <v>3488</v>
      </c>
      <c r="G3" s="3453">
        <v>6438.12</v>
      </c>
      <c r="H3" s="3453">
        <v>16095.3</v>
      </c>
      <c r="I3" s="3453" t="s">
        <v>3497</v>
      </c>
      <c r="J3" s="3453" t="s">
        <v>3490</v>
      </c>
      <c r="K3" s="3453" t="s">
        <v>3491</v>
      </c>
      <c r="L3" s="3453" t="s">
        <v>3467</v>
      </c>
      <c r="M3" s="3453" t="s">
        <v>3492</v>
      </c>
      <c r="N3" s="3454">
        <v>45286.000497685185</v>
      </c>
      <c r="O3" s="3454">
        <v>45286.000497685185</v>
      </c>
      <c r="P3" s="3453" t="s">
        <v>3468</v>
      </c>
      <c r="Q3" s="3453" t="s">
        <v>3498</v>
      </c>
      <c r="R3" s="3453">
        <v>2438.44</v>
      </c>
      <c r="S3" s="3453">
        <v>3787.5</v>
      </c>
      <c r="T3" s="3453">
        <v>252.5</v>
      </c>
      <c r="U3" s="3453">
        <v>1515</v>
      </c>
      <c r="V3" s="3453">
        <v>1.34</v>
      </c>
      <c r="W3" s="3453" t="s">
        <v>3469</v>
      </c>
    </row>
    <row r="4" spans="1:23" s="3455" customFormat="1">
      <c r="A4" s="3455" t="s">
        <v>3499</v>
      </c>
      <c r="B4" s="3455" t="s">
        <v>3484</v>
      </c>
      <c r="C4" s="3455" t="s">
        <v>3500</v>
      </c>
      <c r="D4" s="3455" t="s">
        <v>3486</v>
      </c>
      <c r="E4" s="3455" t="s">
        <v>3501</v>
      </c>
      <c r="F4" s="3455" t="s">
        <v>3488</v>
      </c>
      <c r="G4" s="3455">
        <v>7349.43</v>
      </c>
      <c r="H4" s="3455">
        <v>25723.01</v>
      </c>
      <c r="I4" s="3455" t="s">
        <v>3502</v>
      </c>
      <c r="J4" s="3455" t="s">
        <v>3490</v>
      </c>
      <c r="K4" s="3455" t="s">
        <v>3491</v>
      </c>
      <c r="L4" s="3455" t="s">
        <v>3467</v>
      </c>
      <c r="M4" s="3455" t="s">
        <v>3492</v>
      </c>
      <c r="N4" s="3456">
        <v>45286.000497685185</v>
      </c>
      <c r="O4" s="3456">
        <v>45286.000497685185</v>
      </c>
      <c r="P4" s="3455" t="s">
        <v>3468</v>
      </c>
      <c r="Q4" s="3455" t="s">
        <v>3503</v>
      </c>
      <c r="R4" s="3455">
        <v>6065.48</v>
      </c>
      <c r="S4" s="3455">
        <v>8252.99</v>
      </c>
      <c r="T4" s="3455">
        <v>550.20000000000005</v>
      </c>
      <c r="U4" s="3455">
        <v>2358</v>
      </c>
      <c r="V4" s="3455">
        <v>0</v>
      </c>
      <c r="W4" s="3455" t="s">
        <v>3469</v>
      </c>
    </row>
    <row r="5" spans="1:23" s="3455" customFormat="1">
      <c r="A5" s="3455" t="s">
        <v>3504</v>
      </c>
      <c r="B5" s="3455" t="s">
        <v>3484</v>
      </c>
      <c r="C5" s="3455" t="s">
        <v>3505</v>
      </c>
      <c r="D5" s="3455" t="s">
        <v>3486</v>
      </c>
      <c r="E5" s="3455" t="s">
        <v>3506</v>
      </c>
      <c r="F5" s="3455" t="s">
        <v>3488</v>
      </c>
      <c r="G5" s="3455">
        <v>37401.980000000003</v>
      </c>
      <c r="H5" s="3455">
        <v>14960.79</v>
      </c>
      <c r="I5" s="3455" t="s">
        <v>3507</v>
      </c>
      <c r="J5" s="3455" t="s">
        <v>3490</v>
      </c>
      <c r="K5" s="3455" t="s">
        <v>3508</v>
      </c>
      <c r="L5" s="3455" t="s">
        <v>3467</v>
      </c>
      <c r="M5" s="3455" t="s">
        <v>3492</v>
      </c>
      <c r="N5" s="3456">
        <v>45275.000497685185</v>
      </c>
      <c r="O5" s="3456">
        <v>45275.000497685185</v>
      </c>
      <c r="P5" s="3455" t="s">
        <v>3468</v>
      </c>
      <c r="Q5" s="3455" t="s">
        <v>3509</v>
      </c>
      <c r="R5" s="3455">
        <v>4207.72</v>
      </c>
      <c r="S5" s="3455">
        <v>1124.99</v>
      </c>
      <c r="T5" s="3455">
        <v>75</v>
      </c>
      <c r="U5" s="3455">
        <v>2813</v>
      </c>
      <c r="V5" s="3455">
        <v>0</v>
      </c>
      <c r="W5" s="3455" t="s">
        <v>3469</v>
      </c>
    </row>
    <row r="6" spans="1:23">
      <c r="A6" s="3453" t="s">
        <v>3510</v>
      </c>
      <c r="B6" s="3453" t="s">
        <v>3484</v>
      </c>
      <c r="C6" s="3453" t="s">
        <v>3511</v>
      </c>
      <c r="D6" s="3453" t="s">
        <v>3486</v>
      </c>
      <c r="E6" s="3453" t="s">
        <v>3512</v>
      </c>
      <c r="F6" s="3453" t="s">
        <v>3488</v>
      </c>
      <c r="G6" s="3453">
        <v>52366.87</v>
      </c>
      <c r="H6" s="3453">
        <v>20946.75</v>
      </c>
      <c r="I6" s="3453" t="s">
        <v>3507</v>
      </c>
      <c r="J6" s="3453" t="s">
        <v>3490</v>
      </c>
      <c r="K6" s="3453" t="s">
        <v>3508</v>
      </c>
      <c r="L6" s="3453" t="s">
        <v>3467</v>
      </c>
      <c r="M6" s="3453" t="s">
        <v>3492</v>
      </c>
      <c r="N6" s="3454">
        <v>45275.000497685185</v>
      </c>
      <c r="O6" s="3454">
        <v>45275.000497685185</v>
      </c>
      <c r="P6" s="3453" t="s">
        <v>3468</v>
      </c>
      <c r="Q6" s="3453" t="s">
        <v>3509</v>
      </c>
      <c r="R6" s="3453">
        <v>5891.27</v>
      </c>
      <c r="S6" s="3453">
        <v>1124.99</v>
      </c>
      <c r="T6" s="3453">
        <v>75</v>
      </c>
      <c r="U6" s="3453">
        <v>2813</v>
      </c>
      <c r="V6" s="3453">
        <v>0</v>
      </c>
      <c r="W6" s="3453" t="s">
        <v>3469</v>
      </c>
    </row>
    <row r="7" spans="1:23">
      <c r="A7" s="3453" t="s">
        <v>3513</v>
      </c>
      <c r="B7" s="3453" t="s">
        <v>3484</v>
      </c>
      <c r="C7" s="3453" t="s">
        <v>3514</v>
      </c>
      <c r="D7" s="3453" t="s">
        <v>3486</v>
      </c>
      <c r="E7" s="3453" t="s">
        <v>3515</v>
      </c>
      <c r="F7" s="3453" t="s">
        <v>3488</v>
      </c>
      <c r="G7" s="3453">
        <v>71033.289999999994</v>
      </c>
      <c r="H7" s="3453">
        <v>106549.94</v>
      </c>
      <c r="I7" s="3453" t="s">
        <v>3516</v>
      </c>
      <c r="J7" s="3453" t="s">
        <v>3490</v>
      </c>
      <c r="K7" s="3453" t="s">
        <v>3491</v>
      </c>
      <c r="L7" s="3453" t="s">
        <v>3467</v>
      </c>
      <c r="M7" s="3453" t="s">
        <v>3492</v>
      </c>
      <c r="N7" s="3454">
        <v>45225.000497685185</v>
      </c>
      <c r="O7" s="3454">
        <v>45225.000497685185</v>
      </c>
      <c r="P7" s="3453" t="s">
        <v>3468</v>
      </c>
      <c r="Q7" s="3453" t="s">
        <v>3517</v>
      </c>
      <c r="R7" s="3453">
        <v>17083.509999999998</v>
      </c>
      <c r="S7" s="3453">
        <v>2405</v>
      </c>
      <c r="T7" s="3453">
        <v>160.33000000000001</v>
      </c>
      <c r="U7" s="3453">
        <v>1603</v>
      </c>
      <c r="V7" s="3453">
        <v>0</v>
      </c>
      <c r="W7" s="3453">
        <v>40</v>
      </c>
    </row>
    <row r="8" spans="1:23">
      <c r="A8" s="3453" t="s">
        <v>3518</v>
      </c>
      <c r="B8" s="3453" t="s">
        <v>3484</v>
      </c>
      <c r="C8" s="3453" t="s">
        <v>3519</v>
      </c>
      <c r="D8" s="3453" t="s">
        <v>3486</v>
      </c>
      <c r="E8" s="3453" t="s">
        <v>3520</v>
      </c>
      <c r="F8" s="3453" t="s">
        <v>3488</v>
      </c>
      <c r="G8" s="3453">
        <v>36655.96</v>
      </c>
      <c r="H8" s="3453">
        <v>84308.71</v>
      </c>
      <c r="I8" s="3453" t="s">
        <v>3521</v>
      </c>
      <c r="J8" s="3453" t="s">
        <v>3490</v>
      </c>
      <c r="K8" s="3453" t="s">
        <v>3522</v>
      </c>
      <c r="L8" s="3453" t="s">
        <v>3467</v>
      </c>
      <c r="M8" s="3453" t="s">
        <v>3492</v>
      </c>
      <c r="N8" s="3454">
        <v>45113.000497685185</v>
      </c>
      <c r="O8" s="3454">
        <v>45113.000497685185</v>
      </c>
      <c r="P8" s="3453" t="s">
        <v>3468</v>
      </c>
      <c r="Q8" s="3453" t="s">
        <v>3523</v>
      </c>
      <c r="R8" s="3453">
        <v>5058.5200000000004</v>
      </c>
      <c r="S8" s="3453">
        <v>1379.99</v>
      </c>
      <c r="T8" s="3453">
        <v>92</v>
      </c>
      <c r="U8" s="3453">
        <v>600</v>
      </c>
      <c r="V8" s="3453">
        <v>0</v>
      </c>
      <c r="W8" s="3453" t="s">
        <v>3469</v>
      </c>
    </row>
    <row r="9" spans="1:23">
      <c r="A9" s="3453" t="s">
        <v>3524</v>
      </c>
      <c r="B9" s="3453" t="s">
        <v>3484</v>
      </c>
      <c r="C9" s="3453" t="s">
        <v>3525</v>
      </c>
      <c r="D9" s="3453" t="s">
        <v>3486</v>
      </c>
      <c r="E9" s="3453" t="s">
        <v>3526</v>
      </c>
      <c r="F9" s="3453" t="s">
        <v>3488</v>
      </c>
      <c r="G9" s="3453">
        <v>2436.7800000000002</v>
      </c>
      <c r="H9" s="3453">
        <v>731.03</v>
      </c>
      <c r="I9" s="3453" t="s">
        <v>3527</v>
      </c>
      <c r="J9" s="3453" t="s">
        <v>3490</v>
      </c>
      <c r="K9" s="3453" t="s">
        <v>3528</v>
      </c>
      <c r="L9" s="3453" t="s">
        <v>3467</v>
      </c>
      <c r="M9" s="3453" t="s">
        <v>3492</v>
      </c>
      <c r="N9" s="3454">
        <v>44806.000497685185</v>
      </c>
      <c r="O9" s="3454">
        <v>44806.000497685185</v>
      </c>
      <c r="P9" s="3453" t="s">
        <v>3468</v>
      </c>
      <c r="Q9" s="3453" t="s">
        <v>3529</v>
      </c>
      <c r="R9" s="3453">
        <v>6946.85</v>
      </c>
      <c r="S9" s="3453">
        <v>28508.31</v>
      </c>
      <c r="T9" s="3453">
        <v>1900.55</v>
      </c>
      <c r="U9" s="3453">
        <v>95028</v>
      </c>
      <c r="V9" s="3453">
        <v>90.06</v>
      </c>
      <c r="W9" s="3453" t="s">
        <v>3469</v>
      </c>
    </row>
    <row r="10" spans="1:23" s="3455" customFormat="1">
      <c r="A10" s="3455" t="s">
        <v>3530</v>
      </c>
      <c r="B10" s="3455" t="s">
        <v>3484</v>
      </c>
      <c r="C10" s="3455" t="s">
        <v>3531</v>
      </c>
      <c r="D10" s="3455" t="s">
        <v>3486</v>
      </c>
      <c r="E10" s="3455" t="s">
        <v>3532</v>
      </c>
      <c r="F10" s="3455" t="s">
        <v>3488</v>
      </c>
      <c r="G10" s="3455">
        <v>56396.39</v>
      </c>
      <c r="H10" s="3455">
        <v>208666.64</v>
      </c>
      <c r="I10" s="3455" t="s">
        <v>3533</v>
      </c>
      <c r="J10" s="3455" t="s">
        <v>3490</v>
      </c>
      <c r="K10" s="3455" t="s">
        <v>3491</v>
      </c>
      <c r="L10" s="3455" t="s">
        <v>3467</v>
      </c>
      <c r="M10" s="3455" t="s">
        <v>3492</v>
      </c>
      <c r="N10" s="3456">
        <v>44645.000497685185</v>
      </c>
      <c r="O10" s="3456">
        <v>44645.000497685185</v>
      </c>
      <c r="P10" s="3455" t="s">
        <v>3468</v>
      </c>
      <c r="Q10" s="3455" t="s">
        <v>3534</v>
      </c>
      <c r="R10" s="3455">
        <v>56232.07</v>
      </c>
      <c r="S10" s="3455">
        <v>9970.86</v>
      </c>
      <c r="T10" s="3455">
        <v>664.72</v>
      </c>
      <c r="U10" s="3455">
        <v>2695</v>
      </c>
      <c r="V10" s="3455">
        <v>0.33</v>
      </c>
      <c r="W10" s="3455" t="s">
        <v>3469</v>
      </c>
    </row>
    <row r="11" spans="1:23">
      <c r="A11" s="3453" t="s">
        <v>3535</v>
      </c>
      <c r="B11" s="3453" t="s">
        <v>3484</v>
      </c>
      <c r="C11" s="3453" t="s">
        <v>3536</v>
      </c>
      <c r="D11" s="3453" t="s">
        <v>3486</v>
      </c>
      <c r="E11" s="3453" t="s">
        <v>3537</v>
      </c>
      <c r="F11" s="3453" t="s">
        <v>3488</v>
      </c>
      <c r="G11" s="3453">
        <v>17675.11</v>
      </c>
      <c r="H11" s="3453">
        <v>38885.24</v>
      </c>
      <c r="I11" s="3453" t="s">
        <v>3538</v>
      </c>
      <c r="J11" s="3453" t="s">
        <v>3490</v>
      </c>
      <c r="K11" s="3453" t="s">
        <v>3528</v>
      </c>
      <c r="L11" s="3453" t="s">
        <v>3467</v>
      </c>
      <c r="M11" s="3453" t="s">
        <v>3492</v>
      </c>
      <c r="N11" s="3454">
        <v>44545.000497685185</v>
      </c>
      <c r="O11" s="3454">
        <v>44545.000497685185</v>
      </c>
      <c r="P11" s="3453" t="s">
        <v>3468</v>
      </c>
      <c r="Q11" s="3453" t="s">
        <v>3539</v>
      </c>
      <c r="R11" s="3453">
        <v>8854.17</v>
      </c>
      <c r="S11" s="3453">
        <v>5009.3999999999996</v>
      </c>
      <c r="T11" s="3453">
        <v>333.96</v>
      </c>
      <c r="U11" s="3453">
        <v>2277</v>
      </c>
      <c r="V11" s="3453">
        <v>0</v>
      </c>
      <c r="W11" s="3453" t="s">
        <v>3469</v>
      </c>
    </row>
    <row r="12" spans="1:23">
      <c r="A12" s="3453" t="s">
        <v>3540</v>
      </c>
      <c r="B12" s="3453" t="s">
        <v>3484</v>
      </c>
      <c r="C12" s="3453" t="s">
        <v>3541</v>
      </c>
      <c r="D12" s="3453" t="s">
        <v>3486</v>
      </c>
      <c r="E12" s="3453" t="s">
        <v>3542</v>
      </c>
      <c r="F12" s="3453" t="s">
        <v>3488</v>
      </c>
      <c r="G12" s="3453">
        <v>15017.53</v>
      </c>
      <c r="H12" s="3453">
        <v>22526.3</v>
      </c>
      <c r="I12" s="3453" t="s">
        <v>3543</v>
      </c>
      <c r="J12" s="3453" t="s">
        <v>3490</v>
      </c>
      <c r="K12" s="3453" t="s">
        <v>3528</v>
      </c>
      <c r="L12" s="3453" t="s">
        <v>3467</v>
      </c>
      <c r="M12" s="3453" t="s">
        <v>3492</v>
      </c>
      <c r="N12" s="3454">
        <v>44539.000497685185</v>
      </c>
      <c r="O12" s="3454">
        <v>44539.000497685185</v>
      </c>
      <c r="P12" s="3453" t="s">
        <v>3468</v>
      </c>
      <c r="Q12" s="3453" t="s">
        <v>3544</v>
      </c>
      <c r="R12" s="3453">
        <v>6757.89</v>
      </c>
      <c r="S12" s="3453">
        <v>4500</v>
      </c>
      <c r="T12" s="3453">
        <v>300</v>
      </c>
      <c r="U12" s="3453">
        <v>3000</v>
      </c>
      <c r="V12" s="3453">
        <v>0</v>
      </c>
      <c r="W12" s="3453" t="s">
        <v>3469</v>
      </c>
    </row>
    <row r="13" spans="1:23">
      <c r="A13" s="3453" t="s">
        <v>3545</v>
      </c>
      <c r="B13" s="3453" t="s">
        <v>3484</v>
      </c>
      <c r="C13" s="3453" t="s">
        <v>3546</v>
      </c>
      <c r="D13" s="3453" t="s">
        <v>3486</v>
      </c>
      <c r="E13" s="3453" t="s">
        <v>3547</v>
      </c>
      <c r="F13" s="3453" t="s">
        <v>3488</v>
      </c>
      <c r="G13" s="3453">
        <v>76537.41</v>
      </c>
      <c r="H13" s="3453">
        <v>114806.12</v>
      </c>
      <c r="I13" s="3453" t="s">
        <v>3543</v>
      </c>
      <c r="J13" s="3453" t="s">
        <v>3490</v>
      </c>
      <c r="K13" s="3453" t="s">
        <v>3528</v>
      </c>
      <c r="L13" s="3453" t="s">
        <v>3467</v>
      </c>
      <c r="M13" s="3453" t="s">
        <v>3492</v>
      </c>
      <c r="N13" s="3454">
        <v>44529.000497685185</v>
      </c>
      <c r="O13" s="3454">
        <v>44529.000497685185</v>
      </c>
      <c r="P13" s="3453" t="s">
        <v>3468</v>
      </c>
      <c r="Q13" s="3453" t="s">
        <v>3548</v>
      </c>
      <c r="R13" s="3453">
        <v>8610.4599999999991</v>
      </c>
      <c r="S13" s="3453">
        <v>1125</v>
      </c>
      <c r="T13" s="3453">
        <v>75</v>
      </c>
      <c r="U13" s="3453">
        <v>750</v>
      </c>
      <c r="V13" s="3453">
        <v>0</v>
      </c>
      <c r="W13" s="3453" t="s">
        <v>3469</v>
      </c>
    </row>
    <row r="14" spans="1:23">
      <c r="A14" s="3453" t="s">
        <v>3549</v>
      </c>
      <c r="B14" s="3453" t="s">
        <v>3484</v>
      </c>
      <c r="C14" s="3453" t="s">
        <v>3550</v>
      </c>
      <c r="D14" s="3453" t="s">
        <v>3486</v>
      </c>
      <c r="E14" s="3453" t="s">
        <v>3551</v>
      </c>
      <c r="F14" s="3453" t="s">
        <v>3488</v>
      </c>
      <c r="G14" s="3453">
        <v>4044.79</v>
      </c>
      <c r="H14" s="3453">
        <v>1617.92</v>
      </c>
      <c r="I14" s="3453" t="s">
        <v>3552</v>
      </c>
      <c r="J14" s="3453" t="s">
        <v>3490</v>
      </c>
      <c r="K14" s="3453" t="s">
        <v>3528</v>
      </c>
      <c r="L14" s="3453" t="s">
        <v>3467</v>
      </c>
      <c r="M14" s="3453" t="s">
        <v>3492</v>
      </c>
      <c r="N14" s="3454">
        <v>44529.000497685185</v>
      </c>
      <c r="O14" s="3454">
        <v>44529.000497685185</v>
      </c>
      <c r="P14" s="3453" t="s">
        <v>3468</v>
      </c>
      <c r="Q14" s="3453" t="s">
        <v>3553</v>
      </c>
      <c r="R14" s="3453">
        <v>2523.9499999999998</v>
      </c>
      <c r="S14" s="3453">
        <v>6240</v>
      </c>
      <c r="T14" s="3453">
        <v>416</v>
      </c>
      <c r="U14" s="3453">
        <v>15600</v>
      </c>
      <c r="V14" s="3453">
        <v>108</v>
      </c>
      <c r="W14" s="3453" t="s">
        <v>3469</v>
      </c>
    </row>
    <row r="15" spans="1:23">
      <c r="A15" s="3453" t="s">
        <v>3554</v>
      </c>
      <c r="B15" s="3453" t="s">
        <v>3484</v>
      </c>
      <c r="C15" s="3453" t="s">
        <v>3555</v>
      </c>
      <c r="D15" s="3453" t="s">
        <v>3486</v>
      </c>
      <c r="E15" s="3453" t="s">
        <v>3556</v>
      </c>
      <c r="F15" s="3453" t="s">
        <v>3488</v>
      </c>
      <c r="G15" s="3453">
        <v>7555.49</v>
      </c>
      <c r="H15" s="3453">
        <v>15110.98</v>
      </c>
      <c r="I15" s="3453" t="s">
        <v>3557</v>
      </c>
      <c r="J15" s="3453" t="s">
        <v>3490</v>
      </c>
      <c r="K15" s="3453" t="s">
        <v>3522</v>
      </c>
      <c r="L15" s="3453" t="s">
        <v>3467</v>
      </c>
      <c r="M15" s="3453" t="s">
        <v>3492</v>
      </c>
      <c r="N15" s="3454">
        <v>44456.000497685185</v>
      </c>
      <c r="O15" s="3454">
        <v>44456.000497685185</v>
      </c>
      <c r="P15" s="3453" t="s">
        <v>3468</v>
      </c>
      <c r="Q15" s="3453" t="s">
        <v>3558</v>
      </c>
      <c r="R15" s="3453">
        <v>1548.88</v>
      </c>
      <c r="S15" s="3453">
        <v>2050</v>
      </c>
      <c r="T15" s="3453">
        <v>136.66999999999999</v>
      </c>
      <c r="U15" s="3453">
        <v>1025</v>
      </c>
      <c r="V15" s="3453">
        <v>0.99</v>
      </c>
      <c r="W15" s="3453" t="s">
        <v>3469</v>
      </c>
    </row>
    <row r="16" spans="1:23">
      <c r="A16" s="3453" t="s">
        <v>3559</v>
      </c>
      <c r="B16" s="3453" t="s">
        <v>3484</v>
      </c>
      <c r="C16" s="3453" t="s">
        <v>3560</v>
      </c>
      <c r="D16" s="3453" t="s">
        <v>3486</v>
      </c>
      <c r="E16" s="3453" t="s">
        <v>3561</v>
      </c>
      <c r="F16" s="3453" t="s">
        <v>3488</v>
      </c>
      <c r="G16" s="3453">
        <v>2500.2399999999998</v>
      </c>
      <c r="H16" s="3453">
        <v>1000.1</v>
      </c>
      <c r="I16" s="3453" t="s">
        <v>3552</v>
      </c>
      <c r="J16" s="3453" t="s">
        <v>3490</v>
      </c>
      <c r="K16" s="3453" t="s">
        <v>3528</v>
      </c>
      <c r="L16" s="3453" t="s">
        <v>3467</v>
      </c>
      <c r="M16" s="3453" t="s">
        <v>3492</v>
      </c>
      <c r="N16" s="3454">
        <v>44456.000497685185</v>
      </c>
      <c r="O16" s="3454">
        <v>44456.000497685185</v>
      </c>
      <c r="P16" s="3453" t="s">
        <v>3468</v>
      </c>
      <c r="Q16" s="3453" t="s">
        <v>3562</v>
      </c>
      <c r="R16" s="3453">
        <v>562.54999999999995</v>
      </c>
      <c r="S16" s="3453">
        <v>2249.98</v>
      </c>
      <c r="T16" s="3453">
        <v>150</v>
      </c>
      <c r="U16" s="3453">
        <v>5625</v>
      </c>
      <c r="V16" s="3453">
        <v>0</v>
      </c>
      <c r="W16" s="3453" t="s">
        <v>3469</v>
      </c>
    </row>
    <row r="17" spans="1:23">
      <c r="A17" s="3453" t="s">
        <v>3563</v>
      </c>
      <c r="B17" s="3453" t="s">
        <v>3484</v>
      </c>
      <c r="C17" s="3453" t="s">
        <v>3564</v>
      </c>
      <c r="D17" s="3453" t="s">
        <v>3486</v>
      </c>
      <c r="E17" s="3453" t="s">
        <v>3565</v>
      </c>
      <c r="F17" s="3453" t="s">
        <v>3488</v>
      </c>
      <c r="G17" s="3453">
        <v>15146.44</v>
      </c>
      <c r="H17" s="3453">
        <v>27263.59</v>
      </c>
      <c r="I17" s="3453" t="s">
        <v>3566</v>
      </c>
      <c r="J17" s="3453" t="s">
        <v>3490</v>
      </c>
      <c r="K17" s="3453" t="s">
        <v>3491</v>
      </c>
      <c r="L17" s="3453" t="s">
        <v>3467</v>
      </c>
      <c r="M17" s="3453" t="s">
        <v>3492</v>
      </c>
      <c r="N17" s="3454">
        <v>44265.000497685185</v>
      </c>
      <c r="O17" s="3454">
        <v>44265.000497685185</v>
      </c>
      <c r="P17" s="3453" t="s">
        <v>3468</v>
      </c>
      <c r="Q17" s="3453" t="s">
        <v>3567</v>
      </c>
      <c r="R17" s="3453">
        <v>4182.24</v>
      </c>
      <c r="S17" s="3453">
        <v>2761.2</v>
      </c>
      <c r="T17" s="3453">
        <v>184.08</v>
      </c>
      <c r="U17" s="3453">
        <v>1534</v>
      </c>
      <c r="V17" s="3453">
        <v>1.99</v>
      </c>
      <c r="W17" s="3453" t="s">
        <v>3469</v>
      </c>
    </row>
    <row r="18" spans="1:23">
      <c r="A18" s="3453" t="s">
        <v>3568</v>
      </c>
      <c r="B18" s="3453" t="s">
        <v>3484</v>
      </c>
      <c r="C18" s="3453" t="s">
        <v>3569</v>
      </c>
      <c r="D18" s="3453" t="s">
        <v>3486</v>
      </c>
      <c r="E18" s="3453" t="s">
        <v>3570</v>
      </c>
      <c r="F18" s="3453" t="s">
        <v>3488</v>
      </c>
      <c r="G18" s="3453">
        <v>3813.18</v>
      </c>
      <c r="H18" s="3453">
        <v>5719.77</v>
      </c>
      <c r="I18" s="3453" t="s">
        <v>3543</v>
      </c>
      <c r="J18" s="3453" t="s">
        <v>3490</v>
      </c>
      <c r="K18" s="3453" t="s">
        <v>3528</v>
      </c>
      <c r="L18" s="3453" t="s">
        <v>3467</v>
      </c>
      <c r="M18" s="3453" t="s">
        <v>3492</v>
      </c>
      <c r="N18" s="3454">
        <v>44161.000497685185</v>
      </c>
      <c r="O18" s="3454">
        <v>44161.000497685185</v>
      </c>
      <c r="P18" s="3453" t="s">
        <v>3468</v>
      </c>
      <c r="Q18" s="3453" t="s">
        <v>3571</v>
      </c>
      <c r="R18" s="3453">
        <v>571.98</v>
      </c>
      <c r="S18" s="3453">
        <v>1500</v>
      </c>
      <c r="T18" s="3453">
        <v>100</v>
      </c>
      <c r="U18" s="3453">
        <v>1000</v>
      </c>
      <c r="V18" s="3453">
        <v>0</v>
      </c>
      <c r="W18" s="3453" t="s">
        <v>3469</v>
      </c>
    </row>
    <row r="19" spans="1:23">
      <c r="A19" s="3453" t="s">
        <v>3572</v>
      </c>
      <c r="B19" s="3453" t="s">
        <v>3484</v>
      </c>
      <c r="C19" s="3453" t="s">
        <v>3573</v>
      </c>
      <c r="D19" s="3453" t="s">
        <v>3486</v>
      </c>
      <c r="E19" s="3453" t="s">
        <v>3574</v>
      </c>
      <c r="F19" s="3453" t="s">
        <v>3488</v>
      </c>
      <c r="G19" s="3453">
        <v>28255.83</v>
      </c>
      <c r="H19" s="3453">
        <v>98895.41</v>
      </c>
      <c r="I19" s="3453" t="s">
        <v>3575</v>
      </c>
      <c r="J19" s="3453" t="s">
        <v>3490</v>
      </c>
      <c r="K19" s="3453" t="s">
        <v>3491</v>
      </c>
      <c r="L19" s="3453" t="s">
        <v>3467</v>
      </c>
      <c r="M19" s="3453" t="s">
        <v>3492</v>
      </c>
      <c r="N19" s="3454">
        <v>43973.000497685185</v>
      </c>
      <c r="O19" s="3454">
        <v>43973.000497685185</v>
      </c>
      <c r="P19" s="3453" t="s">
        <v>3468</v>
      </c>
      <c r="Q19" s="3453" t="s">
        <v>3576</v>
      </c>
      <c r="R19" s="3453">
        <v>26345.7</v>
      </c>
      <c r="S19" s="3453">
        <v>9323.98</v>
      </c>
      <c r="T19" s="3453">
        <v>621.6</v>
      </c>
      <c r="U19" s="3453">
        <v>2664</v>
      </c>
      <c r="V19" s="3453">
        <v>73.66</v>
      </c>
      <c r="W19" s="3453" t="s">
        <v>3469</v>
      </c>
    </row>
    <row r="20" spans="1:23">
      <c r="A20" s="3453" t="s">
        <v>3577</v>
      </c>
      <c r="B20" s="3453" t="s">
        <v>3484</v>
      </c>
      <c r="C20" s="3453" t="s">
        <v>3578</v>
      </c>
      <c r="D20" s="3453" t="s">
        <v>3486</v>
      </c>
      <c r="E20" s="3453" t="s">
        <v>3579</v>
      </c>
      <c r="F20" s="3453" t="s">
        <v>3488</v>
      </c>
      <c r="G20" s="3453">
        <v>2664.72</v>
      </c>
      <c r="H20" s="3453">
        <v>1065.8900000000001</v>
      </c>
      <c r="I20" s="3453" t="s">
        <v>3552</v>
      </c>
      <c r="J20" s="3453" t="s">
        <v>3490</v>
      </c>
      <c r="K20" s="3453" t="s">
        <v>3491</v>
      </c>
      <c r="L20" s="3453" t="s">
        <v>3467</v>
      </c>
      <c r="M20" s="3453" t="s">
        <v>3492</v>
      </c>
      <c r="N20" s="3454">
        <v>43973.000497685185</v>
      </c>
      <c r="O20" s="3454">
        <v>43973.000497685185</v>
      </c>
      <c r="P20" s="3453" t="s">
        <v>3468</v>
      </c>
      <c r="Q20" s="3453" t="s">
        <v>3580</v>
      </c>
      <c r="R20" s="3453">
        <v>839.92</v>
      </c>
      <c r="S20" s="3453">
        <v>3152</v>
      </c>
      <c r="T20" s="3453">
        <v>210.13</v>
      </c>
      <c r="U20" s="3453">
        <v>7880</v>
      </c>
      <c r="V20" s="3453">
        <v>0.06</v>
      </c>
      <c r="W20" s="3453" t="s">
        <v>3469</v>
      </c>
    </row>
    <row r="21" spans="1:23">
      <c r="A21" s="3453" t="s">
        <v>3581</v>
      </c>
      <c r="B21" s="3453" t="s">
        <v>3484</v>
      </c>
      <c r="C21" s="3453" t="s">
        <v>3582</v>
      </c>
      <c r="D21" s="3453" t="s">
        <v>3486</v>
      </c>
      <c r="E21" s="3453" t="s">
        <v>3583</v>
      </c>
      <c r="F21" s="3453" t="s">
        <v>3488</v>
      </c>
      <c r="G21" s="3453">
        <v>5611.66</v>
      </c>
      <c r="H21" s="3453">
        <v>5611.66</v>
      </c>
      <c r="I21" s="3453" t="s">
        <v>3584</v>
      </c>
      <c r="J21" s="3453" t="s">
        <v>3490</v>
      </c>
      <c r="K21" s="3453" t="s">
        <v>3528</v>
      </c>
      <c r="L21" s="3453" t="s">
        <v>3467</v>
      </c>
      <c r="M21" s="3453" t="s">
        <v>3492</v>
      </c>
      <c r="N21" s="3454">
        <v>43889.000497685185</v>
      </c>
      <c r="O21" s="3454">
        <v>43889.000497685185</v>
      </c>
      <c r="P21" s="3453" t="s">
        <v>3468</v>
      </c>
      <c r="Q21" s="3453" t="s">
        <v>3585</v>
      </c>
      <c r="R21" s="3453">
        <v>1687.43</v>
      </c>
      <c r="S21" s="3453">
        <v>3007</v>
      </c>
      <c r="T21" s="3453">
        <v>200.47</v>
      </c>
      <c r="U21" s="3453">
        <v>3007</v>
      </c>
      <c r="V21" s="3453">
        <v>0</v>
      </c>
      <c r="W21" s="3453" t="s">
        <v>3469</v>
      </c>
    </row>
    <row r="22" spans="1:23">
      <c r="A22" s="3453" t="s">
        <v>3586</v>
      </c>
      <c r="B22" s="3453" t="s">
        <v>3484</v>
      </c>
      <c r="C22" s="3453" t="s">
        <v>3587</v>
      </c>
      <c r="D22" s="3453" t="s">
        <v>3486</v>
      </c>
      <c r="E22" s="3453" t="s">
        <v>3588</v>
      </c>
      <c r="F22" s="3453" t="s">
        <v>3488</v>
      </c>
      <c r="G22" s="3453">
        <v>12030.35</v>
      </c>
      <c r="H22" s="3453">
        <v>48121.4</v>
      </c>
      <c r="I22" s="3453" t="s">
        <v>3589</v>
      </c>
      <c r="J22" s="3453" t="s">
        <v>3490</v>
      </c>
      <c r="K22" s="3453" t="s">
        <v>3491</v>
      </c>
      <c r="L22" s="3453" t="s">
        <v>3467</v>
      </c>
      <c r="M22" s="3453" t="s">
        <v>3492</v>
      </c>
      <c r="N22" s="3454">
        <v>43889.000497685185</v>
      </c>
      <c r="O22" s="3454">
        <v>43889.000497685185</v>
      </c>
      <c r="P22" s="3453" t="s">
        <v>3468</v>
      </c>
      <c r="Q22" s="3453" t="s">
        <v>3590</v>
      </c>
      <c r="R22" s="3453">
        <v>5610.96</v>
      </c>
      <c r="S22" s="3453">
        <v>4664</v>
      </c>
      <c r="T22" s="3453">
        <v>310.93</v>
      </c>
      <c r="U22" s="3453">
        <v>1166</v>
      </c>
      <c r="V22" s="3453">
        <v>0</v>
      </c>
      <c r="W22" s="3453" t="s">
        <v>3469</v>
      </c>
    </row>
    <row r="23" spans="1:23">
      <c r="A23" s="3453" t="s">
        <v>3591</v>
      </c>
      <c r="B23" s="3453" t="s">
        <v>3484</v>
      </c>
      <c r="C23" s="3453" t="s">
        <v>3592</v>
      </c>
      <c r="D23" s="3453" t="s">
        <v>3486</v>
      </c>
      <c r="E23" s="3453" t="s">
        <v>3593</v>
      </c>
      <c r="F23" s="3453" t="s">
        <v>3488</v>
      </c>
      <c r="G23" s="3453">
        <v>41876.14</v>
      </c>
      <c r="H23" s="3453">
        <v>62814.21</v>
      </c>
      <c r="I23" s="3453" t="s">
        <v>3543</v>
      </c>
      <c r="J23" s="3453" t="s">
        <v>3490</v>
      </c>
      <c r="K23" s="3453" t="s">
        <v>3522</v>
      </c>
      <c r="L23" s="3453" t="s">
        <v>3467</v>
      </c>
      <c r="M23" s="3453" t="s">
        <v>3492</v>
      </c>
      <c r="N23" s="3454">
        <v>43824.000497685185</v>
      </c>
      <c r="O23" s="3454">
        <v>43824.000497685185</v>
      </c>
      <c r="P23" s="3453" t="s">
        <v>3468</v>
      </c>
      <c r="Q23" s="3453" t="s">
        <v>3594</v>
      </c>
      <c r="R23" s="3453">
        <v>13348.02</v>
      </c>
      <c r="S23" s="3453">
        <v>3187.5</v>
      </c>
      <c r="T23" s="3453">
        <v>212.5</v>
      </c>
      <c r="U23" s="3453">
        <v>2125</v>
      </c>
      <c r="V23" s="3453">
        <v>12.73</v>
      </c>
      <c r="W23" s="3453" t="s">
        <v>3469</v>
      </c>
    </row>
    <row r="24" spans="1:23">
      <c r="A24" s="3453" t="s">
        <v>3595</v>
      </c>
      <c r="B24" s="3453" t="s">
        <v>3484</v>
      </c>
      <c r="C24" s="3453" t="s">
        <v>3596</v>
      </c>
      <c r="D24" s="3453" t="s">
        <v>3486</v>
      </c>
      <c r="E24" s="3453" t="s">
        <v>3597</v>
      </c>
      <c r="F24" s="3453" t="s">
        <v>3488</v>
      </c>
      <c r="G24" s="3453">
        <v>9772.5499999999993</v>
      </c>
      <c r="H24" s="3453">
        <v>4886.28</v>
      </c>
      <c r="I24" s="3453" t="s">
        <v>3598</v>
      </c>
      <c r="J24" s="3453" t="s">
        <v>3490</v>
      </c>
      <c r="K24" s="3453" t="s">
        <v>3508</v>
      </c>
      <c r="L24" s="3453" t="s">
        <v>3467</v>
      </c>
      <c r="M24" s="3453" t="s">
        <v>3492</v>
      </c>
      <c r="N24" s="3454">
        <v>43824.000497685185</v>
      </c>
      <c r="O24" s="3454">
        <v>43824.000497685185</v>
      </c>
      <c r="P24" s="3453" t="s">
        <v>3468</v>
      </c>
      <c r="Q24" s="3453" t="s">
        <v>3599</v>
      </c>
      <c r="R24" s="3453">
        <v>647.91999999999996</v>
      </c>
      <c r="S24" s="3453">
        <v>662.99</v>
      </c>
      <c r="T24" s="3453">
        <v>44.2</v>
      </c>
      <c r="U24" s="3453">
        <v>1326</v>
      </c>
      <c r="V24" s="3453">
        <v>0.45</v>
      </c>
      <c r="W24" s="3453" t="s">
        <v>3469</v>
      </c>
    </row>
    <row r="25" spans="1:23">
      <c r="A25" s="3453" t="s">
        <v>3600</v>
      </c>
      <c r="B25" s="3453" t="s">
        <v>3484</v>
      </c>
      <c r="C25" s="3453" t="s">
        <v>3601</v>
      </c>
      <c r="D25" s="3453" t="s">
        <v>3486</v>
      </c>
      <c r="E25" s="3453" t="s">
        <v>3602</v>
      </c>
      <c r="F25" s="3453" t="s">
        <v>3488</v>
      </c>
      <c r="G25" s="3453">
        <v>7121.57</v>
      </c>
      <c r="H25" s="3453">
        <v>3560.79</v>
      </c>
      <c r="I25" s="3453" t="s">
        <v>3598</v>
      </c>
      <c r="J25" s="3453" t="s">
        <v>3490</v>
      </c>
      <c r="K25" s="3453" t="s">
        <v>3508</v>
      </c>
      <c r="L25" s="3453" t="s">
        <v>3467</v>
      </c>
      <c r="M25" s="3453" t="s">
        <v>3492</v>
      </c>
      <c r="N25" s="3454">
        <v>43819.000497685185</v>
      </c>
      <c r="O25" s="3454">
        <v>43819.000497685185</v>
      </c>
      <c r="P25" s="3453" t="s">
        <v>3468</v>
      </c>
      <c r="Q25" s="3453" t="s">
        <v>3599</v>
      </c>
      <c r="R25" s="3453">
        <v>470.02</v>
      </c>
      <c r="S25" s="3453">
        <v>659.99</v>
      </c>
      <c r="T25" s="3453">
        <v>44</v>
      </c>
      <c r="U25" s="3453">
        <v>1320</v>
      </c>
      <c r="V25" s="3453">
        <v>0</v>
      </c>
      <c r="W25" s="3453" t="s">
        <v>3469</v>
      </c>
    </row>
    <row r="26" spans="1:23">
      <c r="A26" s="3453" t="s">
        <v>3603</v>
      </c>
      <c r="B26" s="3453" t="s">
        <v>3484</v>
      </c>
      <c r="C26" s="3453" t="s">
        <v>3604</v>
      </c>
      <c r="D26" s="3453" t="s">
        <v>3486</v>
      </c>
      <c r="E26" s="3453" t="s">
        <v>3605</v>
      </c>
      <c r="F26" s="3453" t="s">
        <v>3488</v>
      </c>
      <c r="G26" s="3453">
        <v>34266.67</v>
      </c>
      <c r="H26" s="3453">
        <v>51400.01</v>
      </c>
      <c r="I26" s="3453" t="s">
        <v>3606</v>
      </c>
      <c r="J26" s="3453" t="s">
        <v>3490</v>
      </c>
      <c r="K26" s="3453" t="s">
        <v>3528</v>
      </c>
      <c r="L26" s="3453" t="s">
        <v>3467</v>
      </c>
      <c r="M26" s="3453" t="s">
        <v>3492</v>
      </c>
      <c r="N26" s="3454">
        <v>43819.000497685185</v>
      </c>
      <c r="O26" s="3454">
        <v>43819.000497685185</v>
      </c>
      <c r="P26" s="3453" t="s">
        <v>3468</v>
      </c>
      <c r="Q26" s="3453" t="s">
        <v>3544</v>
      </c>
      <c r="R26" s="3453">
        <v>14764.71</v>
      </c>
      <c r="S26" s="3453">
        <v>4308.76</v>
      </c>
      <c r="T26" s="3453">
        <v>287.25</v>
      </c>
      <c r="U26" s="3453">
        <v>2873</v>
      </c>
      <c r="V26" s="3453">
        <v>0.44</v>
      </c>
      <c r="W26" s="3453" t="s">
        <v>3469</v>
      </c>
    </row>
    <row r="27" spans="1:23">
      <c r="A27" s="3453" t="s">
        <v>3607</v>
      </c>
      <c r="B27" s="3453" t="s">
        <v>3484</v>
      </c>
      <c r="C27" s="3453" t="s">
        <v>3608</v>
      </c>
      <c r="D27" s="3453" t="s">
        <v>3486</v>
      </c>
      <c r="E27" s="3453" t="s">
        <v>3609</v>
      </c>
      <c r="F27" s="3453" t="s">
        <v>3488</v>
      </c>
      <c r="G27" s="3453">
        <v>68124.240000000005</v>
      </c>
      <c r="H27" s="3453">
        <v>102186.36</v>
      </c>
      <c r="I27" s="3453" t="s">
        <v>3606</v>
      </c>
      <c r="J27" s="3453" t="s">
        <v>3490</v>
      </c>
      <c r="K27" s="3453" t="s">
        <v>3528</v>
      </c>
      <c r="L27" s="3453" t="s">
        <v>3467</v>
      </c>
      <c r="M27" s="3453" t="s">
        <v>3492</v>
      </c>
      <c r="N27" s="3454">
        <v>43819.000497685185</v>
      </c>
      <c r="O27" s="3454">
        <v>43819.000497685185</v>
      </c>
      <c r="P27" s="3453" t="s">
        <v>3468</v>
      </c>
      <c r="Q27" s="3453" t="s">
        <v>3544</v>
      </c>
      <c r="R27" s="3453">
        <v>29276.39</v>
      </c>
      <c r="S27" s="3453">
        <v>4297.49</v>
      </c>
      <c r="T27" s="3453">
        <v>286.5</v>
      </c>
      <c r="U27" s="3453">
        <v>2865</v>
      </c>
      <c r="V27" s="3453">
        <v>0.17</v>
      </c>
      <c r="W27" s="3453" t="s">
        <v>3469</v>
      </c>
    </row>
    <row r="28" spans="1:23">
      <c r="A28" s="3453" t="s">
        <v>3610</v>
      </c>
      <c r="B28" s="3453" t="s">
        <v>3484</v>
      </c>
      <c r="C28" s="3453" t="s">
        <v>3611</v>
      </c>
      <c r="D28" s="3453" t="s">
        <v>3486</v>
      </c>
      <c r="E28" s="3453" t="s">
        <v>3612</v>
      </c>
      <c r="F28" s="3453" t="s">
        <v>3488</v>
      </c>
      <c r="G28" s="3453">
        <v>57162.99</v>
      </c>
      <c r="H28" s="3453">
        <v>40014.089999999997</v>
      </c>
      <c r="I28" s="3453" t="s">
        <v>3613</v>
      </c>
      <c r="J28" s="3453" t="s">
        <v>3490</v>
      </c>
      <c r="K28" s="3453" t="s">
        <v>3508</v>
      </c>
      <c r="L28" s="3453" t="s">
        <v>3467</v>
      </c>
      <c r="M28" s="3453" t="s">
        <v>3492</v>
      </c>
      <c r="N28" s="3454">
        <v>43777.000497685185</v>
      </c>
      <c r="O28" s="3454">
        <v>43777.000497685185</v>
      </c>
      <c r="P28" s="3453" t="s">
        <v>3468</v>
      </c>
      <c r="Q28" s="3453" t="s">
        <v>3614</v>
      </c>
      <c r="R28" s="3453">
        <v>10023.530000000001</v>
      </c>
      <c r="S28" s="3453">
        <v>1753.5</v>
      </c>
      <c r="T28" s="3453">
        <v>116.9</v>
      </c>
      <c r="U28" s="3453">
        <v>2505</v>
      </c>
      <c r="V28" s="3453">
        <v>24.94</v>
      </c>
      <c r="W28" s="3453" t="s">
        <v>3469</v>
      </c>
    </row>
    <row r="29" spans="1:23">
      <c r="A29" s="3453" t="s">
        <v>3615</v>
      </c>
      <c r="B29" s="3453" t="s">
        <v>3484</v>
      </c>
      <c r="C29" s="3453" t="s">
        <v>3616</v>
      </c>
      <c r="D29" s="3453" t="s">
        <v>3486</v>
      </c>
      <c r="E29" s="3453" t="s">
        <v>3617</v>
      </c>
      <c r="F29" s="3453" t="s">
        <v>3488</v>
      </c>
      <c r="G29" s="3453">
        <v>46847.94</v>
      </c>
      <c r="H29" s="3453">
        <v>32793.56</v>
      </c>
      <c r="I29" s="3453" t="s">
        <v>3613</v>
      </c>
      <c r="J29" s="3453" t="s">
        <v>3490</v>
      </c>
      <c r="K29" s="3453" t="s">
        <v>3508</v>
      </c>
      <c r="L29" s="3453" t="s">
        <v>3467</v>
      </c>
      <c r="M29" s="3453" t="s">
        <v>3492</v>
      </c>
      <c r="N29" s="3454">
        <v>43777.000497685185</v>
      </c>
      <c r="O29" s="3454">
        <v>43777.000497685185</v>
      </c>
      <c r="P29" s="3453" t="s">
        <v>3468</v>
      </c>
      <c r="Q29" s="3453" t="s">
        <v>3618</v>
      </c>
      <c r="R29" s="3453">
        <v>7050.62</v>
      </c>
      <c r="S29" s="3453">
        <v>1505</v>
      </c>
      <c r="T29" s="3453">
        <v>100.33</v>
      </c>
      <c r="U29" s="3453">
        <v>2150</v>
      </c>
      <c r="V29" s="3453">
        <v>7.23</v>
      </c>
      <c r="W29" s="3453" t="s">
        <v>3469</v>
      </c>
    </row>
    <row r="30" spans="1:23">
      <c r="A30" s="3453" t="s">
        <v>3619</v>
      </c>
      <c r="B30" s="3453" t="s">
        <v>3484</v>
      </c>
      <c r="C30" s="3453" t="s">
        <v>3620</v>
      </c>
      <c r="D30" s="3453" t="s">
        <v>3486</v>
      </c>
      <c r="E30" s="3453" t="s">
        <v>3621</v>
      </c>
      <c r="F30" s="3453" t="s">
        <v>3488</v>
      </c>
      <c r="G30" s="3453">
        <v>25336.85</v>
      </c>
      <c r="H30" s="3453">
        <v>88678.97</v>
      </c>
      <c r="I30" s="3453" t="s">
        <v>3622</v>
      </c>
      <c r="J30" s="3453" t="s">
        <v>3490</v>
      </c>
      <c r="K30" s="3453" t="s">
        <v>3623</v>
      </c>
      <c r="L30" s="3453" t="s">
        <v>3467</v>
      </c>
      <c r="M30" s="3453" t="s">
        <v>3492</v>
      </c>
      <c r="N30" s="3454">
        <v>43488.000497685185</v>
      </c>
      <c r="O30" s="3454">
        <v>43488.000497685185</v>
      </c>
      <c r="P30" s="3453" t="s">
        <v>3468</v>
      </c>
      <c r="Q30" s="3453" t="s">
        <v>3544</v>
      </c>
      <c r="R30" s="3453">
        <v>10996.19</v>
      </c>
      <c r="S30" s="3453">
        <v>4339.99</v>
      </c>
      <c r="T30" s="3453">
        <v>289.33</v>
      </c>
      <c r="U30" s="3453">
        <v>1240</v>
      </c>
      <c r="V30" s="3453">
        <v>0.81</v>
      </c>
      <c r="W30" s="3453" t="s">
        <v>3469</v>
      </c>
    </row>
    <row r="31" spans="1:23">
      <c r="A31" s="3453" t="s">
        <v>3624</v>
      </c>
      <c r="B31" s="3453" t="s">
        <v>3484</v>
      </c>
      <c r="C31" s="3453" t="s">
        <v>3625</v>
      </c>
      <c r="D31" s="3453" t="s">
        <v>3486</v>
      </c>
      <c r="E31" s="3453" t="s">
        <v>3626</v>
      </c>
      <c r="F31" s="3453" t="s">
        <v>3488</v>
      </c>
      <c r="G31" s="3453">
        <v>17284.86</v>
      </c>
      <c r="H31" s="3453">
        <v>1728.49</v>
      </c>
      <c r="I31" s="3453" t="s">
        <v>3627</v>
      </c>
      <c r="J31" s="3453" t="s">
        <v>3490</v>
      </c>
      <c r="K31" s="3453" t="s">
        <v>3491</v>
      </c>
      <c r="L31" s="3453" t="s">
        <v>3467</v>
      </c>
      <c r="M31" s="3453" t="s">
        <v>3492</v>
      </c>
      <c r="N31" s="3454">
        <v>43488.000497685185</v>
      </c>
      <c r="O31" s="3454">
        <v>43488.000497685185</v>
      </c>
      <c r="P31" s="3453" t="s">
        <v>3468</v>
      </c>
      <c r="Q31" s="3453" t="s">
        <v>3628</v>
      </c>
      <c r="R31" s="3453">
        <v>596.39</v>
      </c>
      <c r="S31" s="3453">
        <v>345.03</v>
      </c>
      <c r="T31" s="3453">
        <v>23</v>
      </c>
      <c r="U31" s="3453">
        <v>3450</v>
      </c>
      <c r="V31" s="3453">
        <v>0</v>
      </c>
      <c r="W31" s="3453" t="s">
        <v>3469</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C58"/>
  <sheetViews>
    <sheetView zoomScale="115" zoomScaleNormal="115" workbookViewId="0">
      <selection activeCell="G37" sqref="G37"/>
    </sheetView>
  </sheetViews>
  <sheetFormatPr defaultRowHeight="13.5"/>
  <cols>
    <col min="4" max="4" width="9.5" bestFit="1" customWidth="1"/>
  </cols>
  <sheetData>
    <row r="1" spans="2:3">
      <c r="B1" s="3457"/>
      <c r="C1" s="3457"/>
    </row>
    <row r="2" spans="2:3">
      <c r="B2" s="3457"/>
    </row>
    <row r="3" spans="2:3">
      <c r="B3" s="3457"/>
    </row>
    <row r="4" spans="2:3">
      <c r="B4" s="3457"/>
    </row>
    <row r="5" spans="2:3">
      <c r="B5" s="3457"/>
    </row>
    <row r="6" spans="2:3">
      <c r="B6" s="3457"/>
    </row>
    <row r="7" spans="2:3">
      <c r="B7" s="3457"/>
    </row>
    <row r="8" spans="2:3">
      <c r="B8" s="3457"/>
    </row>
    <row r="9" spans="2:3">
      <c r="B9" s="3457"/>
    </row>
    <row r="10" spans="2:3">
      <c r="B10" s="3457"/>
    </row>
    <row r="11" spans="2:3">
      <c r="B11" s="3457"/>
    </row>
    <row r="12" spans="2:3">
      <c r="B12" s="3457"/>
    </row>
    <row r="13" spans="2:3">
      <c r="B13" s="3457"/>
    </row>
    <row r="14" spans="2:3">
      <c r="B14" s="3457"/>
    </row>
    <row r="15" spans="2:3">
      <c r="B15" s="3457"/>
    </row>
    <row r="16" spans="2:3">
      <c r="B16" s="3457"/>
    </row>
    <row r="17" spans="2:2">
      <c r="B17" s="3457"/>
    </row>
    <row r="18" spans="2:2">
      <c r="B18" s="3457"/>
    </row>
    <row r="19" spans="2:2">
      <c r="B19" s="3457"/>
    </row>
    <row r="20" spans="2:2">
      <c r="B20" s="3457"/>
    </row>
    <row r="21" spans="2:2">
      <c r="B21" s="3457"/>
    </row>
    <row r="22" spans="2:2">
      <c r="B22" s="3457"/>
    </row>
    <row r="23" spans="2:2">
      <c r="B23" s="3457"/>
    </row>
    <row r="24" spans="2:2">
      <c r="B24" s="3457"/>
    </row>
    <row r="25" spans="2:2">
      <c r="B25" s="3457"/>
    </row>
    <row r="26" spans="2:2">
      <c r="B26" s="3457"/>
    </row>
    <row r="27" spans="2:2">
      <c r="B27" s="3457"/>
    </row>
    <row r="28" spans="2:2">
      <c r="B28" s="3457"/>
    </row>
    <row r="29" spans="2:2">
      <c r="B29" s="3457"/>
    </row>
    <row r="30" spans="2:2">
      <c r="B30" s="3457"/>
    </row>
    <row r="31" spans="2:2">
      <c r="B31" s="3457"/>
    </row>
    <row r="32" spans="2:2">
      <c r="B32" s="3457"/>
    </row>
    <row r="33" spans="2:2">
      <c r="B33" s="3457"/>
    </row>
    <row r="34" spans="2:2">
      <c r="B34" s="3457"/>
    </row>
    <row r="35" spans="2:2">
      <c r="B35" s="3457"/>
    </row>
    <row r="36" spans="2:2">
      <c r="B36" s="3457"/>
    </row>
    <row r="37" spans="2:2">
      <c r="B37" s="3457"/>
    </row>
    <row r="38" spans="2:2">
      <c r="B38" s="3457"/>
    </row>
    <row r="39" spans="2:2">
      <c r="B39" s="3457"/>
    </row>
    <row r="40" spans="2:2">
      <c r="B40" s="3457"/>
    </row>
    <row r="41" spans="2:2">
      <c r="B41" s="3457"/>
    </row>
    <row r="42" spans="2:2">
      <c r="B42" s="3457"/>
    </row>
    <row r="43" spans="2:2">
      <c r="B43" s="3457"/>
    </row>
    <row r="44" spans="2:2">
      <c r="B44" s="3457"/>
    </row>
    <row r="45" spans="2:2">
      <c r="B45" s="3457"/>
    </row>
    <row r="46" spans="2:2">
      <c r="B46" s="3457"/>
    </row>
    <row r="47" spans="2:2">
      <c r="B47" s="3457"/>
    </row>
    <row r="48" spans="2:2">
      <c r="B48" s="3457"/>
    </row>
    <row r="49" spans="2:2">
      <c r="B49" s="3457"/>
    </row>
    <row r="50" spans="2:2">
      <c r="B50" s="3457"/>
    </row>
    <row r="51" spans="2:2">
      <c r="B51" s="3457"/>
    </row>
    <row r="52" spans="2:2">
      <c r="B52" s="3457"/>
    </row>
    <row r="53" spans="2:2">
      <c r="B53" s="3457"/>
    </row>
    <row r="54" spans="2:2">
      <c r="B54" s="3457"/>
    </row>
    <row r="55" spans="2:2">
      <c r="B55" s="3457"/>
    </row>
    <row r="56" spans="2:2">
      <c r="B56" s="3457"/>
    </row>
    <row r="57" spans="2:2">
      <c r="B57" s="3457"/>
    </row>
    <row r="58" spans="2:2">
      <c r="B58" s="3457"/>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9" t="s">
        <v>2842</v>
      </c>
      <c r="B1" s="3779"/>
      <c r="C1" s="3779"/>
      <c r="D1" s="3779"/>
      <c r="E1" s="3779"/>
      <c r="F1" s="3779"/>
      <c r="G1" s="3780"/>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7"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8"/>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1" t="s">
        <v>3184</v>
      </c>
      <c r="B1" s="3781"/>
    </row>
    <row r="2" spans="1:7" ht="14.25" thickBot="1">
      <c r="A2" s="3252"/>
      <c r="B2" s="3252"/>
    </row>
    <row r="3" spans="1:7" ht="14.25" thickBot="1">
      <c r="A3" s="3252"/>
      <c r="B3" s="3252"/>
      <c r="C3" s="3253" t="s">
        <v>2814</v>
      </c>
      <c r="D3" s="3253" t="s">
        <v>2870</v>
      </c>
      <c r="E3" s="3253" t="s">
        <v>2816</v>
      </c>
      <c r="F3" s="3253" t="s">
        <v>2871</v>
      </c>
      <c r="G3" s="3253" t="s">
        <v>2634</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782" t="s">
        <v>3235</v>
      </c>
      <c r="B1" s="3782"/>
      <c r="C1" s="3782"/>
      <c r="D1" s="3782"/>
      <c r="E1" s="3782"/>
      <c r="F1" s="3783"/>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D7" sqref="D7:I7"/>
    </sheetView>
  </sheetViews>
  <sheetFormatPr defaultRowHeight="13.5"/>
  <cols>
    <col min="1" max="1" width="13.875" customWidth="1"/>
    <col min="11" max="17" width="0" hidden="1" customWidth="1"/>
    <col min="25" max="30" width="0" hidden="1" customWidth="1"/>
  </cols>
  <sheetData>
    <row r="1" spans="1:30">
      <c r="A1" s="3218">
        <f>基准地价修正!G23</f>
        <v>45449</v>
      </c>
      <c r="B1" s="3207" t="s">
        <v>3373</v>
      </c>
      <c r="C1" s="3208"/>
      <c r="D1" s="3208"/>
      <c r="E1" s="3208"/>
      <c r="F1" s="3208"/>
      <c r="G1" s="3208"/>
      <c r="H1" s="3208"/>
      <c r="I1" s="3208"/>
      <c r="J1" s="3162"/>
      <c r="K1" s="3208" t="s">
        <v>454</v>
      </c>
      <c r="L1" s="3208"/>
      <c r="M1" s="3208"/>
      <c r="N1" s="3208"/>
      <c r="O1" s="3208"/>
      <c r="P1" s="3208"/>
      <c r="Q1" s="3162"/>
      <c r="R1" s="3784" t="s">
        <v>456</v>
      </c>
      <c r="S1" s="3785"/>
      <c r="T1" s="3785"/>
      <c r="U1" s="3785"/>
      <c r="V1" s="3785"/>
      <c r="W1" s="3785"/>
      <c r="X1" s="3162"/>
      <c r="Y1" s="3784" t="s">
        <v>457</v>
      </c>
      <c r="Z1" s="3785"/>
      <c r="AA1" s="3785"/>
      <c r="AB1" s="3785"/>
      <c r="AC1" s="3785"/>
      <c r="AD1" s="3785"/>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3376</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3377</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3379</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3380</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3372</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3371</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3370</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3366</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3357</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2823</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2824</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2825</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2826</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2827</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3368</v>
      </c>
    </row>
    <row r="21" spans="1:30" s="3006" customFormat="1">
      <c r="I21" s="3205" t="s">
        <v>2828</v>
      </c>
    </row>
    <row r="22" spans="1:30" s="3006" customFormat="1"/>
    <row r="23" spans="1:30" s="3206" customFormat="1" ht="12.75">
      <c r="B23" s="3207" t="s">
        <v>3374</v>
      </c>
      <c r="C23" s="3208"/>
      <c r="D23" s="3208"/>
      <c r="E23" s="3208"/>
      <c r="F23" s="3208"/>
      <c r="G23" s="3208"/>
      <c r="H23" s="3208"/>
      <c r="I23" s="3208"/>
      <c r="J23" s="3162"/>
      <c r="K23" s="3208" t="s">
        <v>2829</v>
      </c>
      <c r="L23" s="3208"/>
      <c r="M23" s="3208"/>
      <c r="N23" s="3208"/>
      <c r="O23" s="3208"/>
      <c r="P23" s="3208"/>
      <c r="Q23" s="3162"/>
      <c r="R23" s="3784" t="s">
        <v>2830</v>
      </c>
      <c r="S23" s="3785"/>
      <c r="T23" s="3785"/>
      <c r="U23" s="3785"/>
      <c r="V23" s="3785"/>
      <c r="W23" s="3785"/>
      <c r="X23" s="3162"/>
      <c r="Y23" s="3784" t="s">
        <v>2831</v>
      </c>
      <c r="Z23" s="3785"/>
      <c r="AA23" s="3785"/>
      <c r="AB23" s="3785"/>
      <c r="AC23" s="3785"/>
      <c r="AD23" s="3785"/>
    </row>
    <row r="24" spans="1:30" s="3140" customFormat="1" ht="14.25" thickBot="1">
      <c r="B24" s="3141"/>
      <c r="C24" s="3142"/>
      <c r="D24" s="3143" t="s">
        <v>2832</v>
      </c>
      <c r="E24" s="3144" t="s">
        <v>2833</v>
      </c>
      <c r="F24" s="3144" t="s">
        <v>2834</v>
      </c>
      <c r="G24" s="3144" t="s">
        <v>2835</v>
      </c>
      <c r="H24" s="3144"/>
      <c r="I24" s="3144" t="s">
        <v>2836</v>
      </c>
      <c r="J24" s="3145"/>
      <c r="K24" s="3143" t="s">
        <v>2832</v>
      </c>
      <c r="L24" s="3144" t="s">
        <v>2833</v>
      </c>
      <c r="M24" s="3144" t="s">
        <v>2834</v>
      </c>
      <c r="N24" s="3144" t="s">
        <v>2835</v>
      </c>
      <c r="O24" s="3144"/>
      <c r="P24" s="3144" t="s">
        <v>2836</v>
      </c>
      <c r="Q24" s="3145"/>
      <c r="R24" s="3143" t="s">
        <v>2832</v>
      </c>
      <c r="S24" s="3144" t="s">
        <v>2833</v>
      </c>
      <c r="T24" s="3144" t="s">
        <v>2834</v>
      </c>
      <c r="U24" s="3144" t="s">
        <v>2835</v>
      </c>
      <c r="V24" s="3144"/>
      <c r="W24" s="3144" t="s">
        <v>2836</v>
      </c>
      <c r="X24" s="3145"/>
      <c r="Y24" s="3143" t="s">
        <v>2832</v>
      </c>
      <c r="Z24" s="3144" t="s">
        <v>2833</v>
      </c>
      <c r="AA24" s="3144" t="s">
        <v>2834</v>
      </c>
      <c r="AB24" s="3144" t="s">
        <v>2835</v>
      </c>
      <c r="AC24" s="3144"/>
      <c r="AD24" s="3144" t="s">
        <v>2836</v>
      </c>
    </row>
    <row r="25" spans="1:30" s="3158" customFormat="1" ht="12.75">
      <c r="A25" s="3146" t="s">
        <v>2837</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3376</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3377</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3381</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3380</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3375</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3371</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3370</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3367</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3357</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2838</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2839</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2840</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2841</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2827</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9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45449</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2312</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3" t="s">
        <v>925</v>
      </c>
      <c r="E3" s="853" t="s">
        <v>931</v>
      </c>
      <c r="F3" s="853" t="s">
        <v>925</v>
      </c>
      <c r="G3" s="853" t="s">
        <v>926</v>
      </c>
      <c r="H3" s="853" t="s">
        <v>925</v>
      </c>
      <c r="I3" s="853" t="s">
        <v>926</v>
      </c>
    </row>
    <row r="4" spans="1:9" ht="15">
      <c r="A4" s="1503" t="str">
        <f>项目基本情况!S2</f>
        <v>房地产</v>
      </c>
      <c r="B4" s="853">
        <f>项目基本情况!C17</f>
        <v>9908.9000000000015</v>
      </c>
      <c r="C4" s="853">
        <f>项目基本情况!C18</f>
        <v>38090.49</v>
      </c>
      <c r="D4" s="853">
        <f>结果表!D118</f>
        <v>0</v>
      </c>
      <c r="E4" s="853">
        <f>结果表!E118</f>
        <v>0</v>
      </c>
      <c r="F4" s="853">
        <f>结果表!F118</f>
        <v>0</v>
      </c>
      <c r="G4" s="853">
        <f>结果表!G118</f>
        <v>0</v>
      </c>
      <c r="H4" s="853">
        <f ca="1">结果表!H118</f>
        <v>17217</v>
      </c>
      <c r="I4" s="853">
        <f ca="1">结果表!I118</f>
        <v>17375</v>
      </c>
    </row>
    <row r="5" spans="1:9" ht="30" customHeight="1">
      <c r="A5" s="3471" t="s">
        <v>927</v>
      </c>
      <c r="B5" s="3471"/>
      <c r="C5" s="3471"/>
      <c r="D5" s="3471" t="str">
        <f>结果表!D119</f>
        <v>零元整</v>
      </c>
      <c r="E5" s="3471"/>
      <c r="F5" s="3471" t="str">
        <f>结果表!F119</f>
        <v>零元整</v>
      </c>
      <c r="G5" s="3471"/>
      <c r="H5" s="3471" t="str">
        <f ca="1">结果表!H119</f>
        <v>壹亿柒仟贰佰壹拾柒万元整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17217</v>
      </c>
      <c r="E8" s="3472"/>
      <c r="F8" s="3472"/>
      <c r="G8" s="3472"/>
      <c r="H8" s="3472"/>
      <c r="I8" s="3472"/>
    </row>
    <row r="9" spans="1:9" ht="15">
      <c r="A9" s="3471" t="s">
        <v>927</v>
      </c>
      <c r="B9" s="3471"/>
      <c r="C9" s="3471"/>
      <c r="D9" s="3471" t="str">
        <f ca="1">结果表!D123</f>
        <v>壹亿柒仟贰佰壹拾柒万元整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8" t="s">
        <v>949</v>
      </c>
      <c r="B1" s="3478"/>
      <c r="C1" s="3478"/>
      <c r="D1" s="3478"/>
    </row>
    <row r="2" spans="1:4" ht="18">
      <c r="A2" s="3479" t="s">
        <v>933</v>
      </c>
      <c r="B2" s="3479"/>
      <c r="C2" s="3479"/>
      <c r="D2" s="347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9" t="s">
        <v>939</v>
      </c>
      <c r="B6" s="3479"/>
      <c r="C6" s="3479"/>
      <c r="D6" s="3479"/>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45449</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2440</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0"/>
      <c r="E18" s="3497" t="s">
        <v>2161</v>
      </c>
      <c r="F18" s="3496"/>
      <c r="G18" s="3496"/>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2024-06-06T08:58:11Z</dcterms:modified>
</cp:coreProperties>
</file>