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70" windowWidth="11565" windowHeight="937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典型户型修正" sheetId="3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r:id="rId41"/>
    <sheet name="Sheet2"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B3" i="12"/>
  <c r="D20" i="9"/>
  <c r="G20" i="9"/>
  <c r="R24" i="31"/>
  <c r="S24" i="31"/>
  <c r="R25" i="31"/>
  <c r="S25" i="31"/>
  <c r="R26" i="31"/>
  <c r="S26" i="31"/>
  <c r="R27" i="31"/>
  <c r="S27" i="31"/>
  <c r="S22" i="31"/>
  <c r="D15" i="66"/>
  <c r="G15" i="66"/>
  <c r="D16" i="66"/>
  <c r="G16" i="66"/>
  <c r="M6" i="1"/>
  <c r="O6" i="1"/>
  <c r="P6" i="1"/>
  <c r="P16" i="1"/>
  <c r="Q16" i="1"/>
  <c r="G48" i="39"/>
  <c r="O22" i="69"/>
  <c r="O23" i="69"/>
  <c r="O24" i="69"/>
  <c r="O25" i="69"/>
  <c r="O26" i="69"/>
  <c r="O27" i="69"/>
  <c r="O28" i="69"/>
  <c r="O29" i="69"/>
  <c r="O30" i="69"/>
  <c r="O31" i="69"/>
  <c r="O32" i="69"/>
  <c r="O33" i="69"/>
  <c r="O34" i="69"/>
  <c r="O35" i="69"/>
  <c r="O36" i="69"/>
  <c r="O37" i="69"/>
  <c r="O38" i="69"/>
  <c r="O2" i="69"/>
  <c r="O3" i="69"/>
  <c r="O4" i="69"/>
  <c r="O5" i="69"/>
  <c r="O6" i="69"/>
  <c r="O7" i="69"/>
  <c r="O8" i="69"/>
  <c r="O9" i="69"/>
  <c r="O10" i="69"/>
  <c r="O11" i="69"/>
  <c r="O12" i="69"/>
  <c r="O13" i="69"/>
  <c r="O14" i="69"/>
  <c r="O15" i="69"/>
  <c r="O16" i="69"/>
  <c r="O17" i="69"/>
  <c r="O18" i="69"/>
  <c r="O19" i="69"/>
  <c r="O20" i="69"/>
  <c r="I40" i="39"/>
  <c r="I48" i="39"/>
  <c r="E48" i="39"/>
  <c r="I9" i="39"/>
  <c r="I7" i="39"/>
  <c r="O21" i="69"/>
  <c r="J10" i="68"/>
  <c r="J9" i="39"/>
  <c r="AC9" i="39"/>
  <c r="J13" i="39"/>
  <c r="AC13" i="39"/>
  <c r="J15" i="39"/>
  <c r="AC15" i="39"/>
  <c r="D91" i="39"/>
  <c r="E91" i="39"/>
  <c r="J17" i="39"/>
  <c r="AC17" i="39"/>
  <c r="D97" i="39"/>
  <c r="E97" i="39"/>
  <c r="J23" i="39"/>
  <c r="AC23" i="39"/>
  <c r="V48" i="39"/>
  <c r="J40" i="39"/>
  <c r="AC40" i="39"/>
  <c r="D109" i="39"/>
  <c r="E109" i="39"/>
  <c r="F109" i="39"/>
  <c r="J34" i="39"/>
  <c r="AC34" i="39"/>
  <c r="V49" i="39"/>
  <c r="H15" i="39"/>
  <c r="AB15" i="39"/>
  <c r="H17" i="39"/>
  <c r="AB17" i="39"/>
  <c r="H23" i="39"/>
  <c r="AB23" i="39"/>
  <c r="T48" i="39"/>
  <c r="H34" i="39"/>
  <c r="AB34" i="39"/>
  <c r="T49" i="39"/>
  <c r="F15" i="39"/>
  <c r="AA15" i="39"/>
  <c r="F17" i="39"/>
  <c r="AA17" i="39"/>
  <c r="F23" i="39"/>
  <c r="AA23" i="39"/>
  <c r="R48" i="39"/>
  <c r="F34" i="39"/>
  <c r="AA34" i="39"/>
  <c r="R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J3" i="68"/>
  <c r="J4" i="68"/>
  <c r="J5" i="68"/>
  <c r="J8" i="68"/>
  <c r="J2" i="68"/>
  <c r="D27" i="9"/>
  <c r="C27" i="9"/>
  <c r="B27" i="9"/>
  <c r="C16" i="66"/>
  <c r="B16" i="66"/>
  <c r="C15" i="66"/>
  <c r="B24" i="31"/>
  <c r="B25" i="31"/>
  <c r="B26" i="31"/>
  <c r="B27" i="31"/>
  <c r="B22" i="31"/>
  <c r="B15" i="66"/>
  <c r="E10" i="68"/>
  <c r="D10" i="68"/>
  <c r="F13" i="31"/>
  <c r="E13" i="31"/>
  <c r="D13" i="31"/>
  <c r="C13" i="31"/>
  <c r="A3" i="3"/>
  <c r="C40" i="39"/>
  <c r="G40" i="39"/>
  <c r="E40" i="39"/>
  <c r="G9" i="39"/>
  <c r="E9" i="39"/>
  <c r="G7" i="39"/>
  <c r="E7" i="39"/>
  <c r="F19" i="6"/>
  <c r="C33" i="21"/>
  <c r="H9" i="68"/>
  <c r="E9" i="68"/>
  <c r="I9" i="68"/>
  <c r="H8" i="68"/>
  <c r="I8" i="68"/>
  <c r="H7" i="68"/>
  <c r="I7" i="68"/>
  <c r="H6" i="68"/>
  <c r="I6" i="68"/>
  <c r="H5" i="68"/>
  <c r="I5" i="68"/>
  <c r="H4" i="68"/>
  <c r="I4" i="68"/>
  <c r="H3" i="68"/>
  <c r="I3" i="68"/>
  <c r="H2" i="68"/>
  <c r="I2" i="68"/>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K6" i="4"/>
  <c r="O76" i="9"/>
  <c r="L76" i="9"/>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C54" i="10"/>
  <c r="A26" i="51"/>
  <c r="B19" i="63"/>
  <c r="C55"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96" i="40"/>
  <c r="F27" i="40"/>
  <c r="AA27" i="40"/>
  <c r="Q31" i="39"/>
  <c r="Z31" i="39"/>
  <c r="D105" i="39"/>
  <c r="E105" i="39"/>
  <c r="F105" i="39"/>
  <c r="F31" i="39"/>
  <c r="AA31" i="39"/>
  <c r="G20" i="20"/>
  <c r="B85" i="46"/>
  <c r="C22" i="20"/>
  <c r="B65" i="46"/>
  <c r="S18" i="36"/>
  <c r="S21" i="37"/>
  <c r="S21" i="21"/>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BM13" i="3"/>
  <c r="BM14" i="3"/>
  <c r="BM15" i="3"/>
  <c r="BM16" i="3"/>
  <c r="BM17" i="3"/>
  <c r="BM18" i="3"/>
  <c r="BM19" i="3"/>
  <c r="BM2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L19"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R18" i="3"/>
  <c r="BS18" i="3"/>
  <c r="BT18" i="3"/>
  <c r="H19" i="3"/>
  <c r="AC19" i="3"/>
  <c r="G19" i="3"/>
  <c r="BB19" i="3"/>
  <c r="BC19" i="3"/>
  <c r="BD19" i="3"/>
  <c r="BE19" i="3"/>
  <c r="BF19" i="3"/>
  <c r="BG19" i="3"/>
  <c r="BH19" i="3"/>
  <c r="BI19" i="3"/>
  <c r="BJ19" i="3"/>
  <c r="BK19" i="3"/>
  <c r="BQ19" i="3"/>
  <c r="BR19" i="3"/>
  <c r="BS19" i="3"/>
  <c r="BT19" i="3"/>
  <c r="H20" i="3"/>
  <c r="AC20" i="3"/>
  <c r="BB20" i="3"/>
  <c r="BC20" i="3"/>
  <c r="BD20" i="3"/>
  <c r="BE20" i="3"/>
  <c r="BF20" i="3"/>
  <c r="BG20" i="3"/>
  <c r="BH20" i="3"/>
  <c r="BI20" i="3"/>
  <c r="BJ20" i="3"/>
  <c r="BK20" i="3"/>
  <c r="BR20" i="3"/>
  <c r="BS20" i="3"/>
  <c r="BT20" i="3"/>
  <c r="H481" i="3"/>
  <c r="AC481" i="3"/>
  <c r="BB481" i="3"/>
  <c r="BC481" i="3"/>
  <c r="BD481" i="3"/>
  <c r="BE481" i="3"/>
  <c r="BF481" i="3"/>
  <c r="BG481" i="3"/>
  <c r="BH481" i="3"/>
  <c r="BI481" i="3"/>
  <c r="BJ481" i="3"/>
  <c r="BK481" i="3"/>
  <c r="BQ481" i="3"/>
  <c r="BR481" i="3"/>
  <c r="BS481" i="3"/>
  <c r="BT481" i="3"/>
  <c r="H482" i="3"/>
  <c r="AC482" i="3"/>
  <c r="G482" i="3"/>
  <c r="BB482" i="3"/>
  <c r="BC482" i="3"/>
  <c r="BD482" i="3"/>
  <c r="BE482" i="3"/>
  <c r="BF482" i="3"/>
  <c r="BG482" i="3"/>
  <c r="BH482" i="3"/>
  <c r="BI482" i="3"/>
  <c r="BJ482" i="3"/>
  <c r="BK482" i="3"/>
  <c r="BR482" i="3"/>
  <c r="BS482" i="3"/>
  <c r="BT482" i="3"/>
  <c r="H483" i="3"/>
  <c r="AC483" i="3"/>
  <c r="BB483" i="3"/>
  <c r="BC483" i="3"/>
  <c r="BD483" i="3"/>
  <c r="BE483" i="3"/>
  <c r="BF483" i="3"/>
  <c r="BG483" i="3"/>
  <c r="BH483" i="3"/>
  <c r="BI483" i="3"/>
  <c r="BJ483" i="3"/>
  <c r="BK483" i="3"/>
  <c r="BQ483" i="3"/>
  <c r="BR483" i="3"/>
  <c r="BS483" i="3"/>
  <c r="BT483" i="3"/>
  <c r="H484" i="3"/>
  <c r="AC484" i="3"/>
  <c r="BB484" i="3"/>
  <c r="BC484" i="3"/>
  <c r="BD484" i="3"/>
  <c r="BE484" i="3"/>
  <c r="BF484" i="3"/>
  <c r="BG484" i="3"/>
  <c r="BH484" i="3"/>
  <c r="BI484" i="3"/>
  <c r="BJ484" i="3"/>
  <c r="BK484" i="3"/>
  <c r="BR484" i="3"/>
  <c r="BS484" i="3"/>
  <c r="BT484" i="3"/>
  <c r="H485" i="3"/>
  <c r="AC485" i="3"/>
  <c r="BB485" i="3"/>
  <c r="BC485" i="3"/>
  <c r="BD485" i="3"/>
  <c r="BE485" i="3"/>
  <c r="BF485" i="3"/>
  <c r="BG485" i="3"/>
  <c r="BH485" i="3"/>
  <c r="BI485" i="3"/>
  <c r="BJ485" i="3"/>
  <c r="BK485" i="3"/>
  <c r="BQ485" i="3"/>
  <c r="BR485" i="3"/>
  <c r="BS485" i="3"/>
  <c r="BT485" i="3"/>
  <c r="H486" i="3"/>
  <c r="AC486" i="3"/>
  <c r="G486" i="3"/>
  <c r="BB486" i="3"/>
  <c r="BC486" i="3"/>
  <c r="BD486" i="3"/>
  <c r="BE486" i="3"/>
  <c r="BF486" i="3"/>
  <c r="BG486" i="3"/>
  <c r="BH486" i="3"/>
  <c r="BI486" i="3"/>
  <c r="BJ486" i="3"/>
  <c r="BK486" i="3"/>
  <c r="BR486" i="3"/>
  <c r="BS486" i="3"/>
  <c r="BT486" i="3"/>
  <c r="H487" i="3"/>
  <c r="AC487" i="3"/>
  <c r="G487" i="3"/>
  <c r="BB487" i="3"/>
  <c r="BC487" i="3"/>
  <c r="BD487" i="3"/>
  <c r="BE487" i="3"/>
  <c r="BF487" i="3"/>
  <c r="BG487" i="3"/>
  <c r="BH487" i="3"/>
  <c r="BI487" i="3"/>
  <c r="BJ487" i="3"/>
  <c r="BK487" i="3"/>
  <c r="BQ487" i="3"/>
  <c r="BR487" i="3"/>
  <c r="BS487" i="3"/>
  <c r="BT487" i="3"/>
  <c r="H488" i="3"/>
  <c r="AC488" i="3"/>
  <c r="BB488" i="3"/>
  <c r="BC488" i="3"/>
  <c r="BD488" i="3"/>
  <c r="BE488" i="3"/>
  <c r="BF488" i="3"/>
  <c r="BG488" i="3"/>
  <c r="BH488" i="3"/>
  <c r="BI488" i="3"/>
  <c r="BJ488" i="3"/>
  <c r="BK488" i="3"/>
  <c r="BR488" i="3"/>
  <c r="BS488" i="3"/>
  <c r="BT488" i="3"/>
  <c r="H489" i="3"/>
  <c r="AC489" i="3"/>
  <c r="BB489" i="3"/>
  <c r="BC489" i="3"/>
  <c r="BD489" i="3"/>
  <c r="BE489" i="3"/>
  <c r="BF489" i="3"/>
  <c r="BG489" i="3"/>
  <c r="BH489" i="3"/>
  <c r="BI489" i="3"/>
  <c r="BJ489" i="3"/>
  <c r="BK489" i="3"/>
  <c r="BQ489" i="3"/>
  <c r="BR489" i="3"/>
  <c r="BS489" i="3"/>
  <c r="BT489" i="3"/>
  <c r="H490" i="3"/>
  <c r="AC490" i="3"/>
  <c r="G490" i="3"/>
  <c r="BB490" i="3"/>
  <c r="BC490" i="3"/>
  <c r="BD490" i="3"/>
  <c r="BE490" i="3"/>
  <c r="BF490" i="3"/>
  <c r="BG490" i="3"/>
  <c r="BH490" i="3"/>
  <c r="BI490" i="3"/>
  <c r="BJ490" i="3"/>
  <c r="BK490" i="3"/>
  <c r="BR490" i="3"/>
  <c r="BS490" i="3"/>
  <c r="BT490" i="3"/>
  <c r="H491" i="3"/>
  <c r="AC491" i="3"/>
  <c r="BB491" i="3"/>
  <c r="BC491" i="3"/>
  <c r="BD491" i="3"/>
  <c r="BE491" i="3"/>
  <c r="BF491" i="3"/>
  <c r="BG491" i="3"/>
  <c r="BH491" i="3"/>
  <c r="BI491" i="3"/>
  <c r="BJ491" i="3"/>
  <c r="BK491" i="3"/>
  <c r="BQ491" i="3"/>
  <c r="BR491" i="3"/>
  <c r="BS491" i="3"/>
  <c r="BT491" i="3"/>
  <c r="H492" i="3"/>
  <c r="AC492" i="3"/>
  <c r="BB492" i="3"/>
  <c r="BC492" i="3"/>
  <c r="BD492" i="3"/>
  <c r="BE492" i="3"/>
  <c r="BF492" i="3"/>
  <c r="BG492" i="3"/>
  <c r="BH492" i="3"/>
  <c r="BI492" i="3"/>
  <c r="BJ492" i="3"/>
  <c r="BK492" i="3"/>
  <c r="BR492" i="3"/>
  <c r="BS492" i="3"/>
  <c r="BT492" i="3"/>
  <c r="H493" i="3"/>
  <c r="AC493" i="3"/>
  <c r="BB493" i="3"/>
  <c r="BC493" i="3"/>
  <c r="BD493" i="3"/>
  <c r="BE493" i="3"/>
  <c r="BF493" i="3"/>
  <c r="BG493" i="3"/>
  <c r="BH493" i="3"/>
  <c r="BI493" i="3"/>
  <c r="BJ493" i="3"/>
  <c r="BK493" i="3"/>
  <c r="BQ493" i="3"/>
  <c r="BR493" i="3"/>
  <c r="BS493" i="3"/>
  <c r="BT493" i="3"/>
  <c r="H494" i="3"/>
  <c r="BB494" i="3"/>
  <c r="BC494" i="3"/>
  <c r="BD494" i="3"/>
  <c r="BE494" i="3"/>
  <c r="BF494" i="3"/>
  <c r="BG494" i="3"/>
  <c r="BH494" i="3"/>
  <c r="BI494" i="3"/>
  <c r="BJ494" i="3"/>
  <c r="BK494" i="3"/>
  <c r="BR494" i="3"/>
  <c r="BS494" i="3"/>
  <c r="BT494" i="3"/>
  <c r="H495" i="3"/>
  <c r="AC495" i="3"/>
  <c r="G495" i="3"/>
  <c r="BB495" i="3"/>
  <c r="BC495" i="3"/>
  <c r="BD495" i="3"/>
  <c r="BE495" i="3"/>
  <c r="BF495" i="3"/>
  <c r="BG495" i="3"/>
  <c r="BH495" i="3"/>
  <c r="BI495" i="3"/>
  <c r="BJ495" i="3"/>
  <c r="BK495" i="3"/>
  <c r="BQ495" i="3"/>
  <c r="BR495" i="3"/>
  <c r="BS495" i="3"/>
  <c r="BT495" i="3"/>
  <c r="H496" i="3"/>
  <c r="AC496" i="3"/>
  <c r="G496" i="3"/>
  <c r="BB496" i="3"/>
  <c r="BC496" i="3"/>
  <c r="BD496" i="3"/>
  <c r="BE496" i="3"/>
  <c r="BF496" i="3"/>
  <c r="BG496" i="3"/>
  <c r="BH496" i="3"/>
  <c r="BI496" i="3"/>
  <c r="BJ496" i="3"/>
  <c r="BK496" i="3"/>
  <c r="BR496" i="3"/>
  <c r="BS496" i="3"/>
  <c r="BT496" i="3"/>
  <c r="H497" i="3"/>
  <c r="AC497" i="3"/>
  <c r="G497" i="3"/>
  <c r="BB497" i="3"/>
  <c r="BC497" i="3"/>
  <c r="BD497" i="3"/>
  <c r="BE497" i="3"/>
  <c r="BF497" i="3"/>
  <c r="BG497" i="3"/>
  <c r="BH497" i="3"/>
  <c r="BI497" i="3"/>
  <c r="BJ497" i="3"/>
  <c r="BK497" i="3"/>
  <c r="BQ497" i="3"/>
  <c r="BR497" i="3"/>
  <c r="BS497" i="3"/>
  <c r="BT497" i="3"/>
  <c r="H498" i="3"/>
  <c r="AC498" i="3"/>
  <c r="BB498" i="3"/>
  <c r="BC498" i="3"/>
  <c r="BD498" i="3"/>
  <c r="BE498" i="3"/>
  <c r="BF498" i="3"/>
  <c r="BG498" i="3"/>
  <c r="BH498" i="3"/>
  <c r="BI498" i="3"/>
  <c r="BJ498" i="3"/>
  <c r="BK498" i="3"/>
  <c r="BR498" i="3"/>
  <c r="BS498" i="3"/>
  <c r="BT498" i="3"/>
  <c r="H499" i="3"/>
  <c r="AC499" i="3"/>
  <c r="BB499" i="3"/>
  <c r="BC499" i="3"/>
  <c r="BD499" i="3"/>
  <c r="BE499" i="3"/>
  <c r="BF499" i="3"/>
  <c r="BG499" i="3"/>
  <c r="BH499" i="3"/>
  <c r="BI499" i="3"/>
  <c r="BJ499" i="3"/>
  <c r="BK499" i="3"/>
  <c r="BQ499" i="3"/>
  <c r="BR499" i="3"/>
  <c r="BS499" i="3"/>
  <c r="BT499" i="3"/>
  <c r="H500" i="3"/>
  <c r="AC500" i="3"/>
  <c r="G500" i="3"/>
  <c r="BB500" i="3"/>
  <c r="BC500" i="3"/>
  <c r="BD500" i="3"/>
  <c r="BE500" i="3"/>
  <c r="BF500" i="3"/>
  <c r="BG500" i="3"/>
  <c r="BH500" i="3"/>
  <c r="BI500" i="3"/>
  <c r="BJ500" i="3"/>
  <c r="BK500" i="3"/>
  <c r="BR500" i="3"/>
  <c r="BS500" i="3"/>
  <c r="BT500" i="3"/>
  <c r="H501" i="3"/>
  <c r="AC501" i="3"/>
  <c r="BB501" i="3"/>
  <c r="BC501" i="3"/>
  <c r="BD501" i="3"/>
  <c r="BE501" i="3"/>
  <c r="BF501" i="3"/>
  <c r="BG501" i="3"/>
  <c r="BH501" i="3"/>
  <c r="BI501" i="3"/>
  <c r="BJ501" i="3"/>
  <c r="BK501" i="3"/>
  <c r="BQ501" i="3"/>
  <c r="BR501" i="3"/>
  <c r="BS501" i="3"/>
  <c r="BT501" i="3"/>
  <c r="H502" i="3"/>
  <c r="AC502" i="3"/>
  <c r="BB502" i="3"/>
  <c r="BC502" i="3"/>
  <c r="BD502" i="3"/>
  <c r="BE502" i="3"/>
  <c r="BF502" i="3"/>
  <c r="BG502" i="3"/>
  <c r="BH502" i="3"/>
  <c r="BI502" i="3"/>
  <c r="BJ502" i="3"/>
  <c r="BK502" i="3"/>
  <c r="BR502" i="3"/>
  <c r="BS502" i="3"/>
  <c r="BT502" i="3"/>
  <c r="H503" i="3"/>
  <c r="AC503" i="3"/>
  <c r="G503" i="3"/>
  <c r="BB503" i="3"/>
  <c r="BC503" i="3"/>
  <c r="BD503" i="3"/>
  <c r="BE503" i="3"/>
  <c r="BF503" i="3"/>
  <c r="BG503" i="3"/>
  <c r="BH503" i="3"/>
  <c r="BI503" i="3"/>
  <c r="BJ503" i="3"/>
  <c r="BK503" i="3"/>
  <c r="BQ503" i="3"/>
  <c r="BR503" i="3"/>
  <c r="BS503" i="3"/>
  <c r="BT503" i="3"/>
  <c r="H504" i="3"/>
  <c r="AC504" i="3"/>
  <c r="G504" i="3"/>
  <c r="BB504" i="3"/>
  <c r="BC504" i="3"/>
  <c r="BD504" i="3"/>
  <c r="BE504" i="3"/>
  <c r="BF504" i="3"/>
  <c r="BG504" i="3"/>
  <c r="BH504" i="3"/>
  <c r="BI504" i="3"/>
  <c r="BJ504" i="3"/>
  <c r="BK504" i="3"/>
  <c r="BR504" i="3"/>
  <c r="BS504" i="3"/>
  <c r="BT504" i="3"/>
  <c r="H505" i="3"/>
  <c r="AC505" i="3"/>
  <c r="G505" i="3"/>
  <c r="BB505" i="3"/>
  <c r="BC505" i="3"/>
  <c r="BD505" i="3"/>
  <c r="BE505" i="3"/>
  <c r="BF505" i="3"/>
  <c r="BG505" i="3"/>
  <c r="BH505" i="3"/>
  <c r="BI505" i="3"/>
  <c r="BJ505" i="3"/>
  <c r="BK505" i="3"/>
  <c r="BQ505" i="3"/>
  <c r="BR505" i="3"/>
  <c r="BS505" i="3"/>
  <c r="BT505" i="3"/>
  <c r="H506" i="3"/>
  <c r="BB506" i="3"/>
  <c r="BC506" i="3"/>
  <c r="BD506" i="3"/>
  <c r="BE506" i="3"/>
  <c r="BF506" i="3"/>
  <c r="BG506" i="3"/>
  <c r="BH506" i="3"/>
  <c r="BI506" i="3"/>
  <c r="BJ506" i="3"/>
  <c r="BK506" i="3"/>
  <c r="BR506" i="3"/>
  <c r="BS506" i="3"/>
  <c r="BT506" i="3"/>
  <c r="H507" i="3"/>
  <c r="AC507" i="3"/>
  <c r="BB507" i="3"/>
  <c r="BC507" i="3"/>
  <c r="BD507" i="3"/>
  <c r="BE507" i="3"/>
  <c r="BF507" i="3"/>
  <c r="BG507" i="3"/>
  <c r="BH507" i="3"/>
  <c r="BI507" i="3"/>
  <c r="BJ507" i="3"/>
  <c r="BK507" i="3"/>
  <c r="BQ507" i="3"/>
  <c r="BR507" i="3"/>
  <c r="BS507" i="3"/>
  <c r="BT507" i="3"/>
  <c r="H508" i="3"/>
  <c r="AC508" i="3"/>
  <c r="BB508" i="3"/>
  <c r="BC508" i="3"/>
  <c r="BD508" i="3"/>
  <c r="BE508" i="3"/>
  <c r="BF508" i="3"/>
  <c r="BG508" i="3"/>
  <c r="BH508" i="3"/>
  <c r="BI508" i="3"/>
  <c r="BJ508" i="3"/>
  <c r="BK508" i="3"/>
  <c r="BR508" i="3"/>
  <c r="BS508" i="3"/>
  <c r="BT508" i="3"/>
  <c r="H509" i="3"/>
  <c r="AC509" i="3"/>
  <c r="G509" i="3"/>
  <c r="BB509" i="3"/>
  <c r="BC509" i="3"/>
  <c r="BD509" i="3"/>
  <c r="BE509" i="3"/>
  <c r="BF509" i="3"/>
  <c r="BG509" i="3"/>
  <c r="BH509" i="3"/>
  <c r="BI509" i="3"/>
  <c r="BJ509" i="3"/>
  <c r="BK509" i="3"/>
  <c r="BQ509" i="3"/>
  <c r="BR509" i="3"/>
  <c r="BS509" i="3"/>
  <c r="BT509" i="3"/>
  <c r="H510" i="3"/>
  <c r="AC510" i="3"/>
  <c r="BB510" i="3"/>
  <c r="BC510" i="3"/>
  <c r="BD510" i="3"/>
  <c r="BE510" i="3"/>
  <c r="BF510" i="3"/>
  <c r="BG510" i="3"/>
  <c r="BH510" i="3"/>
  <c r="BI510" i="3"/>
  <c r="BJ510" i="3"/>
  <c r="BK510" i="3"/>
  <c r="BR510" i="3"/>
  <c r="BS510" i="3"/>
  <c r="BT510" i="3"/>
  <c r="H511" i="3"/>
  <c r="AC511" i="3"/>
  <c r="G511" i="3"/>
  <c r="BB511" i="3"/>
  <c r="BC511" i="3"/>
  <c r="BD511" i="3"/>
  <c r="BE511" i="3"/>
  <c r="BF511" i="3"/>
  <c r="BG511" i="3"/>
  <c r="BH511" i="3"/>
  <c r="BI511" i="3"/>
  <c r="BJ511" i="3"/>
  <c r="BK511" i="3"/>
  <c r="BQ511" i="3"/>
  <c r="BR511" i="3"/>
  <c r="BS511" i="3"/>
  <c r="BT511" i="3"/>
  <c r="H512" i="3"/>
  <c r="AC512" i="3"/>
  <c r="BB512" i="3"/>
  <c r="BC512" i="3"/>
  <c r="BD512" i="3"/>
  <c r="BE512" i="3"/>
  <c r="BF512" i="3"/>
  <c r="BG512" i="3"/>
  <c r="BH512" i="3"/>
  <c r="BI512" i="3"/>
  <c r="BJ512" i="3"/>
  <c r="BK512" i="3"/>
  <c r="BR512" i="3"/>
  <c r="BS512" i="3"/>
  <c r="BT512" i="3"/>
  <c r="H513" i="3"/>
  <c r="AC513" i="3"/>
  <c r="BB513" i="3"/>
  <c r="BC513" i="3"/>
  <c r="BD513" i="3"/>
  <c r="BE513" i="3"/>
  <c r="BF513" i="3"/>
  <c r="BG513" i="3"/>
  <c r="BH513" i="3"/>
  <c r="BI513" i="3"/>
  <c r="BJ513" i="3"/>
  <c r="BK513" i="3"/>
  <c r="BQ513" i="3"/>
  <c r="BR513" i="3"/>
  <c r="BS513" i="3"/>
  <c r="BT513" i="3"/>
  <c r="H514" i="3"/>
  <c r="AC514" i="3"/>
  <c r="BB514" i="3"/>
  <c r="BC514" i="3"/>
  <c r="BD514" i="3"/>
  <c r="BE514" i="3"/>
  <c r="BF514" i="3"/>
  <c r="BG514" i="3"/>
  <c r="BH514" i="3"/>
  <c r="BI514" i="3"/>
  <c r="BJ514" i="3"/>
  <c r="BK514" i="3"/>
  <c r="BR514" i="3"/>
  <c r="BS514" i="3"/>
  <c r="BT514" i="3"/>
  <c r="H515" i="3"/>
  <c r="AC515" i="3"/>
  <c r="BB515" i="3"/>
  <c r="BC515" i="3"/>
  <c r="BD515" i="3"/>
  <c r="BE515" i="3"/>
  <c r="BF515" i="3"/>
  <c r="BG515" i="3"/>
  <c r="BH515" i="3"/>
  <c r="BI515" i="3"/>
  <c r="BJ515" i="3"/>
  <c r="BK515" i="3"/>
  <c r="BQ515" i="3"/>
  <c r="BR515" i="3"/>
  <c r="BS515" i="3"/>
  <c r="BT515" i="3"/>
  <c r="H516" i="3"/>
  <c r="AC516" i="3"/>
  <c r="G516" i="3"/>
  <c r="BB516" i="3"/>
  <c r="BC516" i="3"/>
  <c r="BD516" i="3"/>
  <c r="BE516" i="3"/>
  <c r="BF516" i="3"/>
  <c r="BG516" i="3"/>
  <c r="BH516" i="3"/>
  <c r="BI516" i="3"/>
  <c r="BJ516" i="3"/>
  <c r="BK516" i="3"/>
  <c r="BR516" i="3"/>
  <c r="BS516" i="3"/>
  <c r="BT516" i="3"/>
  <c r="H517" i="3"/>
  <c r="AC517" i="3"/>
  <c r="BB517" i="3"/>
  <c r="BC517" i="3"/>
  <c r="BD517" i="3"/>
  <c r="BE517" i="3"/>
  <c r="BF517" i="3"/>
  <c r="BG517" i="3"/>
  <c r="BH517" i="3"/>
  <c r="BI517" i="3"/>
  <c r="BJ517" i="3"/>
  <c r="BK517" i="3"/>
  <c r="BQ517" i="3"/>
  <c r="BR517" i="3"/>
  <c r="BS517" i="3"/>
  <c r="BT517" i="3"/>
  <c r="H518" i="3"/>
  <c r="AC518" i="3"/>
  <c r="BB518" i="3"/>
  <c r="BC518" i="3"/>
  <c r="BD518" i="3"/>
  <c r="BE518" i="3"/>
  <c r="BF518" i="3"/>
  <c r="BG518" i="3"/>
  <c r="BH518" i="3"/>
  <c r="BI518" i="3"/>
  <c r="BJ518" i="3"/>
  <c r="BK518" i="3"/>
  <c r="BR518" i="3"/>
  <c r="BS518" i="3"/>
  <c r="BT518" i="3"/>
  <c r="H519" i="3"/>
  <c r="AC519" i="3"/>
  <c r="G519" i="3"/>
  <c r="BB519" i="3"/>
  <c r="BC519" i="3"/>
  <c r="BD519" i="3"/>
  <c r="BE519" i="3"/>
  <c r="BF519" i="3"/>
  <c r="BG519" i="3"/>
  <c r="BH519" i="3"/>
  <c r="BI519" i="3"/>
  <c r="BJ519" i="3"/>
  <c r="BK519" i="3"/>
  <c r="BQ519" i="3"/>
  <c r="BR519" i="3"/>
  <c r="BS519" i="3"/>
  <c r="BT519" i="3"/>
  <c r="H520" i="3"/>
  <c r="AC520" i="3"/>
  <c r="G520" i="3"/>
  <c r="BB520" i="3"/>
  <c r="BC520" i="3"/>
  <c r="BD520" i="3"/>
  <c r="BE520" i="3"/>
  <c r="BF520" i="3"/>
  <c r="BG520" i="3"/>
  <c r="BH520" i="3"/>
  <c r="BI520" i="3"/>
  <c r="BJ520" i="3"/>
  <c r="BK520" i="3"/>
  <c r="BR520" i="3"/>
  <c r="BS520" i="3"/>
  <c r="BT520" i="3"/>
  <c r="H521" i="3"/>
  <c r="AC521" i="3"/>
  <c r="BB521" i="3"/>
  <c r="BC521" i="3"/>
  <c r="BD521" i="3"/>
  <c r="BE521" i="3"/>
  <c r="BF521" i="3"/>
  <c r="BG521" i="3"/>
  <c r="BH521" i="3"/>
  <c r="BI521" i="3"/>
  <c r="BJ521" i="3"/>
  <c r="BK521" i="3"/>
  <c r="BQ521" i="3"/>
  <c r="BR521" i="3"/>
  <c r="BS521" i="3"/>
  <c r="BT521" i="3"/>
  <c r="H522" i="3"/>
  <c r="AC522" i="3"/>
  <c r="BB522" i="3"/>
  <c r="BC522" i="3"/>
  <c r="BD522" i="3"/>
  <c r="BE522" i="3"/>
  <c r="BF522" i="3"/>
  <c r="BG522" i="3"/>
  <c r="BH522" i="3"/>
  <c r="BI522" i="3"/>
  <c r="BJ522" i="3"/>
  <c r="BK522" i="3"/>
  <c r="BR522" i="3"/>
  <c r="BS522" i="3"/>
  <c r="BT522" i="3"/>
  <c r="H523" i="3"/>
  <c r="AC523" i="3"/>
  <c r="BB523" i="3"/>
  <c r="BC523" i="3"/>
  <c r="BD523" i="3"/>
  <c r="BE523" i="3"/>
  <c r="BF523" i="3"/>
  <c r="BG523" i="3"/>
  <c r="BH523" i="3"/>
  <c r="BI523" i="3"/>
  <c r="BJ523" i="3"/>
  <c r="BK523" i="3"/>
  <c r="BQ523" i="3"/>
  <c r="BR523" i="3"/>
  <c r="BS523" i="3"/>
  <c r="BT523" i="3"/>
  <c r="H524" i="3"/>
  <c r="AC524" i="3"/>
  <c r="BB524" i="3"/>
  <c r="BC524" i="3"/>
  <c r="BD524" i="3"/>
  <c r="BE524" i="3"/>
  <c r="BF524" i="3"/>
  <c r="BG524" i="3"/>
  <c r="BH524" i="3"/>
  <c r="BI524" i="3"/>
  <c r="BJ524" i="3"/>
  <c r="BK524" i="3"/>
  <c r="BR524" i="3"/>
  <c r="BS524" i="3"/>
  <c r="BT524" i="3"/>
  <c r="H525" i="3"/>
  <c r="AC525" i="3"/>
  <c r="G525" i="3"/>
  <c r="BB525" i="3"/>
  <c r="BC525" i="3"/>
  <c r="BD525" i="3"/>
  <c r="BE525" i="3"/>
  <c r="BF525" i="3"/>
  <c r="BG525" i="3"/>
  <c r="BH525" i="3"/>
  <c r="BI525" i="3"/>
  <c r="BJ525" i="3"/>
  <c r="BK525" i="3"/>
  <c r="BQ525" i="3"/>
  <c r="BR525" i="3"/>
  <c r="BS525" i="3"/>
  <c r="BT525" i="3"/>
  <c r="H526" i="3"/>
  <c r="AC526" i="3"/>
  <c r="BB526" i="3"/>
  <c r="BC526" i="3"/>
  <c r="BD526" i="3"/>
  <c r="BE526" i="3"/>
  <c r="BF526" i="3"/>
  <c r="BG526" i="3"/>
  <c r="BH526" i="3"/>
  <c r="BI526" i="3"/>
  <c r="BJ526" i="3"/>
  <c r="BK526" i="3"/>
  <c r="BR526" i="3"/>
  <c r="BS526" i="3"/>
  <c r="BT526" i="3"/>
  <c r="H527" i="3"/>
  <c r="AC527" i="3"/>
  <c r="G527" i="3"/>
  <c r="BB527" i="3"/>
  <c r="BC527" i="3"/>
  <c r="BD527" i="3"/>
  <c r="BE527" i="3"/>
  <c r="BF527" i="3"/>
  <c r="BG527" i="3"/>
  <c r="BH527" i="3"/>
  <c r="BI527" i="3"/>
  <c r="BJ527" i="3"/>
  <c r="BK527" i="3"/>
  <c r="BQ527" i="3"/>
  <c r="BR527" i="3"/>
  <c r="BS527" i="3"/>
  <c r="BT527" i="3"/>
  <c r="H528" i="3"/>
  <c r="AC528" i="3"/>
  <c r="G528" i="3"/>
  <c r="BB528" i="3"/>
  <c r="BC528" i="3"/>
  <c r="BD528" i="3"/>
  <c r="BE528" i="3"/>
  <c r="BF528" i="3"/>
  <c r="BG528" i="3"/>
  <c r="BH528" i="3"/>
  <c r="BI528" i="3"/>
  <c r="BJ528" i="3"/>
  <c r="BK528" i="3"/>
  <c r="BR528" i="3"/>
  <c r="BS528" i="3"/>
  <c r="BT528" i="3"/>
  <c r="H529" i="3"/>
  <c r="AC529" i="3"/>
  <c r="BB529" i="3"/>
  <c r="BC529" i="3"/>
  <c r="BD529" i="3"/>
  <c r="BE529" i="3"/>
  <c r="BF529" i="3"/>
  <c r="BG529" i="3"/>
  <c r="BH529" i="3"/>
  <c r="BI529" i="3"/>
  <c r="BJ529" i="3"/>
  <c r="BK529" i="3"/>
  <c r="BQ529" i="3"/>
  <c r="BR529" i="3"/>
  <c r="BS529" i="3"/>
  <c r="BT529" i="3"/>
  <c r="H530" i="3"/>
  <c r="AC530" i="3"/>
  <c r="BB530" i="3"/>
  <c r="BC530" i="3"/>
  <c r="BD530" i="3"/>
  <c r="BE530" i="3"/>
  <c r="BF530" i="3"/>
  <c r="BG530" i="3"/>
  <c r="BH530" i="3"/>
  <c r="BI530" i="3"/>
  <c r="BJ530" i="3"/>
  <c r="BK530" i="3"/>
  <c r="BR530" i="3"/>
  <c r="BS530" i="3"/>
  <c r="BT530" i="3"/>
  <c r="H531" i="3"/>
  <c r="AC531" i="3"/>
  <c r="G531" i="3"/>
  <c r="BB531" i="3"/>
  <c r="BC531" i="3"/>
  <c r="BD531" i="3"/>
  <c r="BE531" i="3"/>
  <c r="BF531" i="3"/>
  <c r="BG531" i="3"/>
  <c r="BH531" i="3"/>
  <c r="BI531" i="3"/>
  <c r="BJ531" i="3"/>
  <c r="BK531" i="3"/>
  <c r="BQ531" i="3"/>
  <c r="BR531" i="3"/>
  <c r="BS531" i="3"/>
  <c r="BT531" i="3"/>
  <c r="H532" i="3"/>
  <c r="AC532" i="3"/>
  <c r="G532" i="3"/>
  <c r="BB532" i="3"/>
  <c r="BC532" i="3"/>
  <c r="BD532" i="3"/>
  <c r="BE532" i="3"/>
  <c r="BF532" i="3"/>
  <c r="BG532" i="3"/>
  <c r="BH532" i="3"/>
  <c r="BI532" i="3"/>
  <c r="BJ532" i="3"/>
  <c r="BK532" i="3"/>
  <c r="BR532" i="3"/>
  <c r="BS532" i="3"/>
  <c r="BT532" i="3"/>
  <c r="H533" i="3"/>
  <c r="AC533" i="3"/>
  <c r="G533" i="3"/>
  <c r="BB533" i="3"/>
  <c r="BC533" i="3"/>
  <c r="BD533" i="3"/>
  <c r="BE533" i="3"/>
  <c r="BF533" i="3"/>
  <c r="BG533" i="3"/>
  <c r="BH533" i="3"/>
  <c r="BI533" i="3"/>
  <c r="BJ533" i="3"/>
  <c r="BK533" i="3"/>
  <c r="BQ533" i="3"/>
  <c r="BR533" i="3"/>
  <c r="BS533" i="3"/>
  <c r="BT533" i="3"/>
  <c r="H534" i="3"/>
  <c r="AC534" i="3"/>
  <c r="BB534" i="3"/>
  <c r="BC534" i="3"/>
  <c r="BD534" i="3"/>
  <c r="BE534" i="3"/>
  <c r="BF534" i="3"/>
  <c r="BG534" i="3"/>
  <c r="BH534" i="3"/>
  <c r="BI534" i="3"/>
  <c r="BJ534" i="3"/>
  <c r="BK534" i="3"/>
  <c r="BR534" i="3"/>
  <c r="BS534" i="3"/>
  <c r="BT534" i="3"/>
  <c r="H535" i="3"/>
  <c r="AC535" i="3"/>
  <c r="G535" i="3"/>
  <c r="BB535" i="3"/>
  <c r="BC535" i="3"/>
  <c r="BD535" i="3"/>
  <c r="BE535" i="3"/>
  <c r="BF535" i="3"/>
  <c r="BG535" i="3"/>
  <c r="BH535" i="3"/>
  <c r="BI535" i="3"/>
  <c r="BJ535" i="3"/>
  <c r="BK535" i="3"/>
  <c r="BQ535" i="3"/>
  <c r="BR535" i="3"/>
  <c r="BS535" i="3"/>
  <c r="BT535" i="3"/>
  <c r="H536" i="3"/>
  <c r="AC536" i="3"/>
  <c r="BB536" i="3"/>
  <c r="BC536" i="3"/>
  <c r="BD536" i="3"/>
  <c r="BE536" i="3"/>
  <c r="BF536" i="3"/>
  <c r="BG536" i="3"/>
  <c r="BH536" i="3"/>
  <c r="BI536" i="3"/>
  <c r="BJ536" i="3"/>
  <c r="BK536" i="3"/>
  <c r="BR536" i="3"/>
  <c r="BS536" i="3"/>
  <c r="BT536" i="3"/>
  <c r="H537" i="3"/>
  <c r="AC537" i="3"/>
  <c r="BB537" i="3"/>
  <c r="BC537" i="3"/>
  <c r="BD537" i="3"/>
  <c r="BE537" i="3"/>
  <c r="BF537" i="3"/>
  <c r="BG537" i="3"/>
  <c r="BH537" i="3"/>
  <c r="BI537" i="3"/>
  <c r="BJ537" i="3"/>
  <c r="BK537" i="3"/>
  <c r="BQ537" i="3"/>
  <c r="BR537" i="3"/>
  <c r="BS537" i="3"/>
  <c r="BT537" i="3"/>
  <c r="H538" i="3"/>
  <c r="AC538" i="3"/>
  <c r="BB538" i="3"/>
  <c r="BC538" i="3"/>
  <c r="BD538" i="3"/>
  <c r="BE538" i="3"/>
  <c r="BF538" i="3"/>
  <c r="BG538" i="3"/>
  <c r="BH538" i="3"/>
  <c r="BI538" i="3"/>
  <c r="BJ538" i="3"/>
  <c r="BK538" i="3"/>
  <c r="BR538" i="3"/>
  <c r="BS538" i="3"/>
  <c r="BT538" i="3"/>
  <c r="H539" i="3"/>
  <c r="AC539" i="3"/>
  <c r="BB539" i="3"/>
  <c r="BC539" i="3"/>
  <c r="BD539" i="3"/>
  <c r="BE539" i="3"/>
  <c r="BF539" i="3"/>
  <c r="BG539" i="3"/>
  <c r="BH539" i="3"/>
  <c r="BI539" i="3"/>
  <c r="BJ539" i="3"/>
  <c r="BK539" i="3"/>
  <c r="BQ539" i="3"/>
  <c r="BR539" i="3"/>
  <c r="BS539" i="3"/>
  <c r="BT539" i="3"/>
  <c r="H540" i="3"/>
  <c r="AC540" i="3"/>
  <c r="G540" i="3"/>
  <c r="BB540" i="3"/>
  <c r="BC540" i="3"/>
  <c r="BD540" i="3"/>
  <c r="BE540" i="3"/>
  <c r="BF540" i="3"/>
  <c r="BG540" i="3"/>
  <c r="BH540" i="3"/>
  <c r="BI540" i="3"/>
  <c r="BJ540" i="3"/>
  <c r="BK540" i="3"/>
  <c r="BR540" i="3"/>
  <c r="BS540" i="3"/>
  <c r="BT540" i="3"/>
  <c r="H541" i="3"/>
  <c r="AC541" i="3"/>
  <c r="G541" i="3"/>
  <c r="BB541" i="3"/>
  <c r="BC541" i="3"/>
  <c r="BD541" i="3"/>
  <c r="BE541" i="3"/>
  <c r="BF541" i="3"/>
  <c r="BG541" i="3"/>
  <c r="BH541" i="3"/>
  <c r="BI541" i="3"/>
  <c r="BJ541" i="3"/>
  <c r="BK541" i="3"/>
  <c r="BQ541" i="3"/>
  <c r="BR541" i="3"/>
  <c r="BS541" i="3"/>
  <c r="BT541" i="3"/>
  <c r="H542" i="3"/>
  <c r="BB542" i="3"/>
  <c r="BC542" i="3"/>
  <c r="BD542" i="3"/>
  <c r="BE542" i="3"/>
  <c r="BF542" i="3"/>
  <c r="BG542" i="3"/>
  <c r="BH542" i="3"/>
  <c r="BI542" i="3"/>
  <c r="BJ542" i="3"/>
  <c r="BK542" i="3"/>
  <c r="BR542" i="3"/>
  <c r="BS542" i="3"/>
  <c r="BT542" i="3"/>
  <c r="H543" i="3"/>
  <c r="AC543" i="3"/>
  <c r="G543" i="3"/>
  <c r="BB543" i="3"/>
  <c r="BC543" i="3"/>
  <c r="BD543" i="3"/>
  <c r="BE543" i="3"/>
  <c r="BF543" i="3"/>
  <c r="BG543" i="3"/>
  <c r="BH543" i="3"/>
  <c r="BI543" i="3"/>
  <c r="BJ543" i="3"/>
  <c r="BK543" i="3"/>
  <c r="BQ543" i="3"/>
  <c r="BR543" i="3"/>
  <c r="BS543" i="3"/>
  <c r="BT543" i="3"/>
  <c r="H544" i="3"/>
  <c r="AC544" i="3"/>
  <c r="BB544" i="3"/>
  <c r="BC544" i="3"/>
  <c r="BD544" i="3"/>
  <c r="BE544" i="3"/>
  <c r="BF544" i="3"/>
  <c r="BG544" i="3"/>
  <c r="BH544" i="3"/>
  <c r="BI544" i="3"/>
  <c r="BJ544" i="3"/>
  <c r="BK544" i="3"/>
  <c r="BR544" i="3"/>
  <c r="BS544" i="3"/>
  <c r="BT544" i="3"/>
  <c r="H545" i="3"/>
  <c r="AC545" i="3"/>
  <c r="BB545" i="3"/>
  <c r="BC545" i="3"/>
  <c r="BD545" i="3"/>
  <c r="BE545" i="3"/>
  <c r="BF545" i="3"/>
  <c r="BG545" i="3"/>
  <c r="BH545" i="3"/>
  <c r="BI545" i="3"/>
  <c r="BJ545" i="3"/>
  <c r="BK545" i="3"/>
  <c r="BQ545" i="3"/>
  <c r="BR545" i="3"/>
  <c r="BS545" i="3"/>
  <c r="BT545" i="3"/>
  <c r="H546" i="3"/>
  <c r="AC546" i="3"/>
  <c r="BB546" i="3"/>
  <c r="BC546" i="3"/>
  <c r="BD546" i="3"/>
  <c r="BE546" i="3"/>
  <c r="BF546" i="3"/>
  <c r="BG546" i="3"/>
  <c r="BH546" i="3"/>
  <c r="BI546" i="3"/>
  <c r="BJ546" i="3"/>
  <c r="BK546" i="3"/>
  <c r="BR546" i="3"/>
  <c r="BS546" i="3"/>
  <c r="BT546" i="3"/>
  <c r="H547" i="3"/>
  <c r="AC547" i="3"/>
  <c r="G547" i="3"/>
  <c r="BB547" i="3"/>
  <c r="BC547" i="3"/>
  <c r="BD547" i="3"/>
  <c r="BE547" i="3"/>
  <c r="BF547" i="3"/>
  <c r="BG547" i="3"/>
  <c r="BH547" i="3"/>
  <c r="BI547" i="3"/>
  <c r="BJ547" i="3"/>
  <c r="BK547" i="3"/>
  <c r="BQ547" i="3"/>
  <c r="BR547" i="3"/>
  <c r="BS547" i="3"/>
  <c r="BT547" i="3"/>
  <c r="H548" i="3"/>
  <c r="AC548" i="3"/>
  <c r="G548" i="3"/>
  <c r="BB548" i="3"/>
  <c r="BC548" i="3"/>
  <c r="BD548" i="3"/>
  <c r="BE548" i="3"/>
  <c r="BF548" i="3"/>
  <c r="BG548" i="3"/>
  <c r="BH548" i="3"/>
  <c r="BI548" i="3"/>
  <c r="BJ548" i="3"/>
  <c r="BK548" i="3"/>
  <c r="BR548" i="3"/>
  <c r="BS548" i="3"/>
  <c r="BT548" i="3"/>
  <c r="H549" i="3"/>
  <c r="AC549" i="3"/>
  <c r="BB549" i="3"/>
  <c r="BC549" i="3"/>
  <c r="BD549" i="3"/>
  <c r="BE549" i="3"/>
  <c r="BF549" i="3"/>
  <c r="BG549" i="3"/>
  <c r="BH549" i="3"/>
  <c r="BI549" i="3"/>
  <c r="BJ549" i="3"/>
  <c r="BK549" i="3"/>
  <c r="BQ549" i="3"/>
  <c r="BR549" i="3"/>
  <c r="BS549" i="3"/>
  <c r="BT549" i="3"/>
  <c r="H550" i="3"/>
  <c r="AC550" i="3"/>
  <c r="BB550" i="3"/>
  <c r="BC550" i="3"/>
  <c r="BD550" i="3"/>
  <c r="BE550" i="3"/>
  <c r="BF550" i="3"/>
  <c r="BG550" i="3"/>
  <c r="BH550" i="3"/>
  <c r="BI550" i="3"/>
  <c r="BJ550" i="3"/>
  <c r="BK550" i="3"/>
  <c r="BR550" i="3"/>
  <c r="BS550" i="3"/>
  <c r="BT550" i="3"/>
  <c r="H551" i="3"/>
  <c r="AC551" i="3"/>
  <c r="G551" i="3"/>
  <c r="BB551" i="3"/>
  <c r="BC551" i="3"/>
  <c r="BD551" i="3"/>
  <c r="BE551" i="3"/>
  <c r="BF551" i="3"/>
  <c r="BG551" i="3"/>
  <c r="BH551" i="3"/>
  <c r="BI551" i="3"/>
  <c r="BJ551" i="3"/>
  <c r="BK551" i="3"/>
  <c r="BQ551" i="3"/>
  <c r="BR551" i="3"/>
  <c r="BS551" i="3"/>
  <c r="BT551" i="3"/>
  <c r="H552" i="3"/>
  <c r="AC552" i="3"/>
  <c r="G552" i="3"/>
  <c r="BB552" i="3"/>
  <c r="BC552" i="3"/>
  <c r="BD552" i="3"/>
  <c r="BE552" i="3"/>
  <c r="BF552" i="3"/>
  <c r="BG552" i="3"/>
  <c r="BH552" i="3"/>
  <c r="BI552" i="3"/>
  <c r="BJ552" i="3"/>
  <c r="BK552" i="3"/>
  <c r="BR552" i="3"/>
  <c r="BS552" i="3"/>
  <c r="BT552" i="3"/>
  <c r="H553" i="3"/>
  <c r="AC553" i="3"/>
  <c r="G553" i="3"/>
  <c r="BB553" i="3"/>
  <c r="BC553" i="3"/>
  <c r="BD553" i="3"/>
  <c r="BE553" i="3"/>
  <c r="BF553" i="3"/>
  <c r="BG553" i="3"/>
  <c r="BH553" i="3"/>
  <c r="BI553" i="3"/>
  <c r="BJ553" i="3"/>
  <c r="BK553" i="3"/>
  <c r="BQ553" i="3"/>
  <c r="BR553" i="3"/>
  <c r="BS553" i="3"/>
  <c r="BT553" i="3"/>
  <c r="H554" i="3"/>
  <c r="AC554" i="3"/>
  <c r="BB554" i="3"/>
  <c r="BC554" i="3"/>
  <c r="BD554" i="3"/>
  <c r="BE554" i="3"/>
  <c r="BF554" i="3"/>
  <c r="BG554" i="3"/>
  <c r="BH554" i="3"/>
  <c r="BI554" i="3"/>
  <c r="BJ554" i="3"/>
  <c r="BK554" i="3"/>
  <c r="BR554" i="3"/>
  <c r="BS554" i="3"/>
  <c r="BT554" i="3"/>
  <c r="H555" i="3"/>
  <c r="AC555" i="3"/>
  <c r="G555" i="3"/>
  <c r="BB555" i="3"/>
  <c r="BC555" i="3"/>
  <c r="BD555" i="3"/>
  <c r="BE555" i="3"/>
  <c r="BF555" i="3"/>
  <c r="BG555" i="3"/>
  <c r="BH555" i="3"/>
  <c r="BI555" i="3"/>
  <c r="BJ555" i="3"/>
  <c r="BK555" i="3"/>
  <c r="BQ555" i="3"/>
  <c r="BR555" i="3"/>
  <c r="BS555" i="3"/>
  <c r="BT555" i="3"/>
  <c r="H556" i="3"/>
  <c r="AC556" i="3"/>
  <c r="BB556" i="3"/>
  <c r="BC556" i="3"/>
  <c r="BD556" i="3"/>
  <c r="BE556" i="3"/>
  <c r="BF556" i="3"/>
  <c r="BG556" i="3"/>
  <c r="BH556" i="3"/>
  <c r="BI556" i="3"/>
  <c r="BJ556" i="3"/>
  <c r="BK556" i="3"/>
  <c r="BR556" i="3"/>
  <c r="BS556" i="3"/>
  <c r="BT556" i="3"/>
  <c r="H557" i="3"/>
  <c r="AC557" i="3"/>
  <c r="BB557" i="3"/>
  <c r="BC557" i="3"/>
  <c r="BD557" i="3"/>
  <c r="BE557" i="3"/>
  <c r="BF557" i="3"/>
  <c r="BG557" i="3"/>
  <c r="BH557" i="3"/>
  <c r="BI557" i="3"/>
  <c r="BJ557" i="3"/>
  <c r="BK557" i="3"/>
  <c r="BQ557" i="3"/>
  <c r="BR557" i="3"/>
  <c r="BS557" i="3"/>
  <c r="BT557" i="3"/>
  <c r="H558" i="3"/>
  <c r="AC558" i="3"/>
  <c r="BB558" i="3"/>
  <c r="BC558" i="3"/>
  <c r="BD558" i="3"/>
  <c r="BE558" i="3"/>
  <c r="BF558" i="3"/>
  <c r="BG558" i="3"/>
  <c r="BH558" i="3"/>
  <c r="BI558" i="3"/>
  <c r="BJ558" i="3"/>
  <c r="BK558" i="3"/>
  <c r="BR558" i="3"/>
  <c r="BS558" i="3"/>
  <c r="BT558" i="3"/>
  <c r="H559" i="3"/>
  <c r="AC559" i="3"/>
  <c r="G559" i="3"/>
  <c r="BB559" i="3"/>
  <c r="BC559" i="3"/>
  <c r="BD559" i="3"/>
  <c r="BE559" i="3"/>
  <c r="BF559" i="3"/>
  <c r="BG559" i="3"/>
  <c r="BH559" i="3"/>
  <c r="BI559" i="3"/>
  <c r="BJ559" i="3"/>
  <c r="BK559" i="3"/>
  <c r="BQ559" i="3"/>
  <c r="BR559" i="3"/>
  <c r="BS559" i="3"/>
  <c r="BT559" i="3"/>
  <c r="H560" i="3"/>
  <c r="AC560" i="3"/>
  <c r="BB560" i="3"/>
  <c r="BC560" i="3"/>
  <c r="BD560" i="3"/>
  <c r="BE560" i="3"/>
  <c r="BF560" i="3"/>
  <c r="BG560" i="3"/>
  <c r="BH560" i="3"/>
  <c r="BI560" i="3"/>
  <c r="BJ560" i="3"/>
  <c r="BK560" i="3"/>
  <c r="BR560" i="3"/>
  <c r="BS560" i="3"/>
  <c r="BT560" i="3"/>
  <c r="H561" i="3"/>
  <c r="AC561" i="3"/>
  <c r="BB561" i="3"/>
  <c r="BC561" i="3"/>
  <c r="BD561" i="3"/>
  <c r="BE561" i="3"/>
  <c r="BF561" i="3"/>
  <c r="BG561" i="3"/>
  <c r="BH561" i="3"/>
  <c r="BI561" i="3"/>
  <c r="BJ561" i="3"/>
  <c r="BK561" i="3"/>
  <c r="BQ561" i="3"/>
  <c r="BR561" i="3"/>
  <c r="BS561" i="3"/>
  <c r="BT561" i="3"/>
  <c r="H562" i="3"/>
  <c r="AC562" i="3"/>
  <c r="BB562" i="3"/>
  <c r="BC562" i="3"/>
  <c r="BD562" i="3"/>
  <c r="BE562" i="3"/>
  <c r="BF562" i="3"/>
  <c r="BG562" i="3"/>
  <c r="BH562" i="3"/>
  <c r="BI562" i="3"/>
  <c r="BJ562" i="3"/>
  <c r="BK562" i="3"/>
  <c r="BR562" i="3"/>
  <c r="BS562" i="3"/>
  <c r="BT562" i="3"/>
  <c r="H563" i="3"/>
  <c r="AC563" i="3"/>
  <c r="G563" i="3"/>
  <c r="BB563" i="3"/>
  <c r="BC563" i="3"/>
  <c r="BD563" i="3"/>
  <c r="BE563" i="3"/>
  <c r="BF563" i="3"/>
  <c r="BG563" i="3"/>
  <c r="BH563" i="3"/>
  <c r="BI563" i="3"/>
  <c r="BJ563" i="3"/>
  <c r="BK563" i="3"/>
  <c r="BQ563" i="3"/>
  <c r="BR563" i="3"/>
  <c r="BS563" i="3"/>
  <c r="BT563" i="3"/>
  <c r="H564" i="3"/>
  <c r="AC564" i="3"/>
  <c r="G564" i="3"/>
  <c r="BB564" i="3"/>
  <c r="BC564" i="3"/>
  <c r="BD564" i="3"/>
  <c r="BE564" i="3"/>
  <c r="BF564" i="3"/>
  <c r="BG564" i="3"/>
  <c r="BH564" i="3"/>
  <c r="BI564" i="3"/>
  <c r="BJ564" i="3"/>
  <c r="BK564" i="3"/>
  <c r="BR564" i="3"/>
  <c r="BS564" i="3"/>
  <c r="BT564" i="3"/>
  <c r="H565" i="3"/>
  <c r="AC565" i="3"/>
  <c r="BB565" i="3"/>
  <c r="BC565" i="3"/>
  <c r="BD565" i="3"/>
  <c r="BE565" i="3"/>
  <c r="BF565" i="3"/>
  <c r="BG565" i="3"/>
  <c r="BH565" i="3"/>
  <c r="BI565" i="3"/>
  <c r="BJ565" i="3"/>
  <c r="BK565" i="3"/>
  <c r="BQ565" i="3"/>
  <c r="BR565" i="3"/>
  <c r="BS565" i="3"/>
  <c r="BT565" i="3"/>
  <c r="H566" i="3"/>
  <c r="AC566" i="3"/>
  <c r="BB566" i="3"/>
  <c r="BC566" i="3"/>
  <c r="BD566" i="3"/>
  <c r="BE566" i="3"/>
  <c r="BF566" i="3"/>
  <c r="BG566" i="3"/>
  <c r="BH566" i="3"/>
  <c r="BI566" i="3"/>
  <c r="BJ566" i="3"/>
  <c r="BK566" i="3"/>
  <c r="BR566" i="3"/>
  <c r="BS566" i="3"/>
  <c r="BT566" i="3"/>
  <c r="H567" i="3"/>
  <c r="AC567" i="3"/>
  <c r="G567" i="3"/>
  <c r="BB567" i="3"/>
  <c r="BC567" i="3"/>
  <c r="BD567" i="3"/>
  <c r="BE567" i="3"/>
  <c r="BF567" i="3"/>
  <c r="BG567" i="3"/>
  <c r="BH567" i="3"/>
  <c r="BI567" i="3"/>
  <c r="BJ567" i="3"/>
  <c r="BK567" i="3"/>
  <c r="BQ567" i="3"/>
  <c r="BR567" i="3"/>
  <c r="BS567" i="3"/>
  <c r="BT567" i="3"/>
  <c r="H568" i="3"/>
  <c r="AC568" i="3"/>
  <c r="G568" i="3"/>
  <c r="BB568" i="3"/>
  <c r="BC568" i="3"/>
  <c r="BD568" i="3"/>
  <c r="BE568" i="3"/>
  <c r="BF568" i="3"/>
  <c r="BG568" i="3"/>
  <c r="BH568" i="3"/>
  <c r="BI568" i="3"/>
  <c r="BJ568" i="3"/>
  <c r="BK568" i="3"/>
  <c r="BR568" i="3"/>
  <c r="BS568" i="3"/>
  <c r="BT568" i="3"/>
  <c r="H569" i="3"/>
  <c r="AC569" i="3"/>
  <c r="G569" i="3"/>
  <c r="BB569" i="3"/>
  <c r="BC569" i="3"/>
  <c r="BD569" i="3"/>
  <c r="BE569" i="3"/>
  <c r="BF569" i="3"/>
  <c r="BG569" i="3"/>
  <c r="BH569" i="3"/>
  <c r="BI569" i="3"/>
  <c r="BJ569" i="3"/>
  <c r="BK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70" i="3"/>
  <c r="BG571" i="3"/>
  <c r="BG572" i="3"/>
  <c r="BG5" i="3"/>
  <c r="BH13" i="3"/>
  <c r="BI13" i="3"/>
  <c r="BI570" i="3"/>
  <c r="BI571" i="3"/>
  <c r="BI572" i="3"/>
  <c r="BI5" i="3"/>
  <c r="BJ13" i="3"/>
  <c r="BK13" i="3"/>
  <c r="BS13" i="3"/>
  <c r="BT13" i="3"/>
  <c r="BT570" i="3"/>
  <c r="BT571" i="3"/>
  <c r="BT572" i="3"/>
  <c r="BT5" i="3"/>
  <c r="BB570" i="3"/>
  <c r="BC570" i="3"/>
  <c r="BD570" i="3"/>
  <c r="BE570" i="3"/>
  <c r="BF570" i="3"/>
  <c r="BH570" i="3"/>
  <c r="BJ570" i="3"/>
  <c r="BK570" i="3"/>
  <c r="BA570" i="3"/>
  <c r="BF571" i="3"/>
  <c r="BF572" i="3"/>
  <c r="BF5" i="3"/>
  <c r="BQ570" i="3"/>
  <c r="BR570" i="3"/>
  <c r="BS570" i="3"/>
  <c r="BB571" i="3"/>
  <c r="BC571" i="3"/>
  <c r="BD571" i="3"/>
  <c r="BE571" i="3"/>
  <c r="BH571" i="3"/>
  <c r="BJ571" i="3"/>
  <c r="BK571" i="3"/>
  <c r="BQ571" i="3"/>
  <c r="BR571" i="3"/>
  <c r="BS571" i="3"/>
  <c r="BB572" i="3"/>
  <c r="BC572" i="3"/>
  <c r="BD572" i="3"/>
  <c r="BE572" i="3"/>
  <c r="BH572" i="3"/>
  <c r="BJ572" i="3"/>
  <c r="BK572" i="3"/>
  <c r="BQ572" i="3"/>
  <c r="BR572" i="3"/>
  <c r="BS572" i="3"/>
  <c r="BL572" i="3"/>
  <c r="AC570" i="3"/>
  <c r="AC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F11" i="21"/>
  <c r="S11" i="21"/>
  <c r="AC40" i="21"/>
  <c r="AA38" i="21"/>
  <c r="AB36" i="21"/>
  <c r="C29" i="39"/>
  <c r="U36" i="39"/>
  <c r="S42" i="39"/>
  <c r="H32" i="33"/>
  <c r="AB32" i="33"/>
  <c r="H11" i="21"/>
  <c r="U11" i="21"/>
  <c r="J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2" i="21"/>
  <c r="AC42" i="21"/>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BA569" i="3"/>
  <c r="AZ569" i="3"/>
  <c r="BL561" i="3"/>
  <c r="BL557" i="3"/>
  <c r="BL553" i="3"/>
  <c r="BL545" i="3"/>
  <c r="BA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5" i="3"/>
  <c r="BA561" i="3"/>
  <c r="AZ561" i="3"/>
  <c r="BA559" i="3"/>
  <c r="AZ559" i="3"/>
  <c r="BA557" i="3"/>
  <c r="AZ557" i="3"/>
  <c r="BA555" i="3"/>
  <c r="AZ555" i="3"/>
  <c r="BA551" i="3"/>
  <c r="AZ551" i="3"/>
  <c r="BA543" i="3"/>
  <c r="BL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AZ54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BA338" i="3"/>
  <c r="AZ338" i="3"/>
  <c r="G339" i="3"/>
  <c r="BL340" i="3"/>
  <c r="BA342" i="3"/>
  <c r="AZ342" i="3"/>
  <c r="BA343" i="3"/>
  <c r="BL343" i="3"/>
  <c r="AZ343" i="3"/>
  <c r="G344" i="3"/>
  <c r="BA345" i="3"/>
  <c r="G353" i="3"/>
  <c r="BL354" i="3"/>
  <c r="G355" i="3"/>
  <c r="BL356" i="3"/>
  <c r="G357" i="3"/>
  <c r="BL358" i="3"/>
  <c r="G359" i="3"/>
  <c r="BA360" i="3"/>
  <c r="AZ360" i="3"/>
  <c r="BA361" i="3"/>
  <c r="BL361" i="3"/>
  <c r="AZ361" i="3"/>
  <c r="G362" i="3"/>
  <c r="BA363" i="3"/>
  <c r="BL363" i="3"/>
  <c r="AZ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G324" i="3"/>
  <c r="G327" i="3"/>
  <c r="BL328" i="3"/>
  <c r="BA330" i="3"/>
  <c r="AZ330" i="3"/>
  <c r="BA331" i="3"/>
  <c r="BL331" i="3"/>
  <c r="G332" i="3"/>
  <c r="G335" i="3"/>
  <c r="BL336" i="3"/>
  <c r="BA339" i="3"/>
  <c r="BL339" i="3"/>
  <c r="G340" i="3"/>
  <c r="G343" i="3"/>
  <c r="BL344" i="3"/>
  <c r="BA346" i="3"/>
  <c r="AZ346" i="3"/>
  <c r="BA347" i="3"/>
  <c r="BL347" i="3"/>
  <c r="AZ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c r="G306" i="3"/>
  <c r="BA308" i="3"/>
  <c r="AZ308" i="3"/>
  <c r="BL309" i="3"/>
  <c r="G310" i="3"/>
  <c r="BA310" i="3"/>
  <c r="AZ310" i="3"/>
  <c r="BL311" i="3"/>
  <c r="G312" i="3"/>
  <c r="BA312" i="3"/>
  <c r="AZ312" i="3"/>
  <c r="BL313" i="3"/>
  <c r="G314" i="3"/>
  <c r="BA314" i="3"/>
  <c r="AZ314" i="3"/>
  <c r="BL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BL353" i="3"/>
  <c r="AZ353" i="3"/>
  <c r="G354" i="3"/>
  <c r="BA356" i="3"/>
  <c r="AZ356" i="3"/>
  <c r="BL357" i="3"/>
  <c r="G358" i="3"/>
  <c r="BA362" i="3"/>
  <c r="AZ362" i="3"/>
  <c r="G364" i="3"/>
  <c r="BA366" i="3"/>
  <c r="AZ366" i="3"/>
  <c r="BL367" i="3"/>
  <c r="AZ205" i="3"/>
  <c r="AZ209" i="3"/>
  <c r="AZ213" i="3"/>
  <c r="AZ217" i="3"/>
  <c r="AZ221" i="3"/>
  <c r="AZ225" i="3"/>
  <c r="AZ229" i="3"/>
  <c r="AZ233" i="3"/>
  <c r="AZ237" i="3"/>
  <c r="AZ241" i="3"/>
  <c r="AZ245" i="3"/>
  <c r="AZ309" i="3"/>
  <c r="AZ321" i="3"/>
  <c r="AZ333" i="3"/>
  <c r="AZ341"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U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S14" i="39"/>
  <c r="U11" i="39"/>
  <c r="U41" i="39"/>
  <c r="AB38" i="39"/>
  <c r="U31" i="39"/>
  <c r="AB31" i="39"/>
  <c r="S38" i="39"/>
  <c r="M20" i="15"/>
  <c r="D96" i="9"/>
  <c r="F28" i="15"/>
  <c r="M18" i="15"/>
  <c r="A18" i="64"/>
  <c r="B74" i="63"/>
  <c r="C53" i="10"/>
  <c r="A25" i="64"/>
  <c r="A18" i="51"/>
  <c r="B14" i="63"/>
  <c r="BA16" i="3"/>
  <c r="BA17" i="3"/>
  <c r="AZ17" i="3"/>
  <c r="F3" i="35"/>
  <c r="K1" i="43"/>
  <c r="K1" i="12"/>
  <c r="G1" i="44"/>
  <c r="I4" i="6"/>
  <c r="G3" i="46"/>
  <c r="AZ15" i="3"/>
  <c r="BK5" i="3"/>
  <c r="BL18" i="3"/>
  <c r="AZ18" i="3"/>
  <c r="BC5" i="3"/>
  <c r="E8" i="6"/>
  <c r="E58" i="39"/>
  <c r="BD5" i="3"/>
  <c r="BR5" i="3"/>
  <c r="G28" i="6"/>
  <c r="BS5" i="3"/>
  <c r="BQ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AT6" i="3"/>
  <c r="BA5" i="3"/>
  <c r="K15" i="1"/>
  <c r="AZ16" i="3"/>
  <c r="A9" i="51"/>
  <c r="B9" i="63"/>
  <c r="A3" i="55"/>
  <c r="B56" i="63"/>
  <c r="G66" i="36"/>
  <c r="J18" i="36"/>
  <c r="AE8" i="1"/>
  <c r="AE7" i="1"/>
  <c r="AE6" i="1"/>
  <c r="W18" i="36"/>
  <c r="AC18" i="36"/>
  <c r="AG6" i="1"/>
  <c r="L20" i="6"/>
  <c r="S7" i="1"/>
  <c r="S8" i="1"/>
  <c r="S9" i="1"/>
  <c r="R9" i="1"/>
  <c r="R7" i="1"/>
  <c r="R8" i="1"/>
  <c r="C19" i="9"/>
  <c r="D19" i="9"/>
  <c r="G19" i="9"/>
  <c r="C32" i="9"/>
  <c r="C45" i="9"/>
  <c r="H14" i="66"/>
  <c r="B7" i="66"/>
  <c r="N76" i="9"/>
  <c r="C46" i="9"/>
  <c r="K33" i="9"/>
  <c r="O41" i="9"/>
  <c r="K34" i="9"/>
  <c r="I14" i="66"/>
  <c r="B8" i="66"/>
  <c r="R8" i="54"/>
  <c r="B54" i="63"/>
  <c r="D58" i="21"/>
  <c r="E58" i="21"/>
  <c r="F58" i="21"/>
  <c r="D70" i="39"/>
  <c r="E70" i="39"/>
  <c r="E72" i="39"/>
  <c r="C72" i="39"/>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1" i="65"/>
  <c r="H51" i="46"/>
  <c r="X7" i="46"/>
  <c r="E17" i="46"/>
  <c r="N17" i="46"/>
  <c r="O17" i="46"/>
  <c r="M17" i="46"/>
  <c r="L17" i="46"/>
  <c r="H22" i="46"/>
  <c r="Y11" i="46"/>
  <c r="Y13" i="46"/>
  <c r="H101" i="46"/>
  <c r="H102" i="46"/>
  <c r="G22" i="46"/>
  <c r="J22" i="46"/>
  <c r="F101" i="46"/>
  <c r="F106" i="46"/>
  <c r="D101" i="46"/>
  <c r="D106" i="46"/>
  <c r="O13" i="1"/>
  <c r="P13" i="1"/>
  <c r="O12" i="1"/>
  <c r="P12" i="1"/>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2" i="46"/>
  <c r="AJ13" i="46"/>
  <c r="H64" i="46"/>
  <c r="H66" i="46"/>
  <c r="D100" i="46"/>
  <c r="F109" i="46"/>
  <c r="H62" i="46"/>
  <c r="AF12" i="46"/>
  <c r="K100" i="46"/>
  <c r="AB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C8" i="59"/>
  <c r="C7" i="59"/>
  <c r="P21" i="46"/>
  <c r="B8" i="59"/>
  <c r="B7" i="59"/>
  <c r="S7" i="59"/>
  <c r="D8" i="59"/>
  <c r="P22" i="46"/>
  <c r="P23" i="46"/>
  <c r="P25" i="46"/>
  <c r="B73" i="39"/>
  <c r="P24" i="46"/>
  <c r="B68" i="40"/>
  <c r="E65" i="40"/>
  <c r="F65" i="40"/>
  <c r="G65" i="40"/>
  <c r="G67" i="40"/>
  <c r="D67" i="40"/>
  <c r="D72" i="39"/>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F70" i="39"/>
  <c r="G70" i="39"/>
  <c r="G72" i="39"/>
  <c r="E67" i="40"/>
  <c r="E41" i="46"/>
  <c r="C41" i="46"/>
  <c r="S5" i="46"/>
  <c r="S2" i="46"/>
  <c r="S3" i="46"/>
  <c r="S7" i="46"/>
  <c r="S6" i="46"/>
  <c r="S4" i="46"/>
  <c r="G52" i="37"/>
  <c r="H52" i="37"/>
  <c r="I52" i="37"/>
  <c r="J52" i="37"/>
  <c r="F46" i="36"/>
  <c r="G46" i="36"/>
  <c r="H46" i="36"/>
  <c r="F67" i="40"/>
  <c r="F72" i="39"/>
  <c r="H48" i="35"/>
  <c r="H70" i="39"/>
  <c r="I70" i="39"/>
  <c r="J70" i="39"/>
  <c r="K70" i="39"/>
  <c r="L70" i="39"/>
  <c r="M70" i="39"/>
  <c r="H65" i="40"/>
  <c r="H67" i="40"/>
  <c r="I48" i="35"/>
  <c r="J48" i="35"/>
  <c r="K48" i="35"/>
  <c r="L48" i="35"/>
  <c r="M48" i="35"/>
  <c r="N48" i="35"/>
  <c r="O48" i="35"/>
  <c r="H7" i="35"/>
  <c r="I65" i="40"/>
  <c r="J65" i="40"/>
  <c r="J67" i="40"/>
  <c r="K52" i="37"/>
  <c r="K65" i="40"/>
  <c r="K67" i="40"/>
  <c r="L52" i="37"/>
  <c r="M52" i="37"/>
  <c r="K72" i="39"/>
  <c r="L72" i="39"/>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W15" i="39"/>
  <c r="W10" i="21"/>
  <c r="AB10" i="21"/>
  <c r="S10" i="21"/>
  <c r="D18" i="9"/>
  <c r="M44" i="9"/>
  <c r="M43" i="9"/>
  <c r="S25" i="39"/>
  <c r="F91" i="39"/>
  <c r="G91" i="39"/>
  <c r="U17" i="39"/>
  <c r="W17" i="39"/>
  <c r="E5" i="52"/>
  <c r="S29" i="39"/>
  <c r="AB29" i="39"/>
  <c r="AC29" i="39"/>
  <c r="W27" i="39"/>
  <c r="S27" i="39"/>
  <c r="U27" i="39"/>
  <c r="AC31" i="39"/>
  <c r="U23" i="39"/>
  <c r="W23" i="39"/>
  <c r="S23" i="39"/>
  <c r="S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25" i="12"/>
  <c r="C15" i="43"/>
  <c r="C31" i="43"/>
  <c r="L65" i="40"/>
  <c r="L67" i="40"/>
  <c r="I72" i="39"/>
  <c r="L16" i="4"/>
  <c r="K17" i="4"/>
  <c r="A22" i="51"/>
  <c r="B16" i="63"/>
  <c r="G16" i="1"/>
  <c r="AP16" i="1"/>
  <c r="F22" i="11"/>
  <c r="J12" i="40"/>
  <c r="W12" i="40"/>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AZ13" i="3"/>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BL5" i="3"/>
  <c r="I1" i="65"/>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N70" i="39"/>
  <c r="N72" i="39"/>
  <c r="M72" i="39"/>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E28" i="6"/>
  <c r="O7" i="1"/>
  <c r="P7" i="1"/>
  <c r="O9" i="1"/>
  <c r="P9" i="1"/>
  <c r="O11" i="1"/>
  <c r="P11" i="1"/>
  <c r="M65" i="40"/>
  <c r="J72" i="39"/>
  <c r="I67" i="40"/>
  <c r="H72" i="39"/>
  <c r="J7" i="36"/>
  <c r="AC12" i="40"/>
  <c r="F59" i="34"/>
  <c r="T7" i="59"/>
  <c r="C6" i="59"/>
  <c r="AB13" i="46"/>
  <c r="M107" i="46"/>
  <c r="M103" i="46"/>
  <c r="M109" i="46"/>
  <c r="M106" i="46"/>
  <c r="M102" i="46"/>
  <c r="M105" i="46"/>
  <c r="H12" i="39"/>
  <c r="H12" i="40"/>
  <c r="J12" i="39"/>
  <c r="G58" i="21"/>
  <c r="W41" i="34"/>
  <c r="AC41" i="34"/>
  <c r="AZ492" i="3"/>
  <c r="AZ493" i="3"/>
  <c r="AA27" i="37"/>
  <c r="S27" i="37"/>
  <c r="AC35" i="35"/>
  <c r="W35" i="35"/>
  <c r="AC46" i="33"/>
  <c r="W46" i="33"/>
  <c r="U40" i="37"/>
  <c r="AB40" i="37"/>
  <c r="AA45" i="21"/>
  <c r="S45" i="21"/>
  <c r="AB46" i="21"/>
  <c r="U46" i="21"/>
  <c r="AB28" i="21"/>
  <c r="U28" i="21"/>
  <c r="W37" i="33"/>
  <c r="AC37" i="33"/>
  <c r="F7" i="35"/>
  <c r="J7" i="35"/>
  <c r="D109" i="46"/>
  <c r="H104" i="46"/>
  <c r="D103" i="46"/>
  <c r="H105" i="46"/>
  <c r="F105" i="46"/>
  <c r="F104" i="46"/>
  <c r="F107" i="46"/>
  <c r="F7" i="33"/>
  <c r="R7" i="54"/>
  <c r="B52" i="63"/>
  <c r="AZ352" i="3"/>
  <c r="AZ304" i="3"/>
  <c r="AZ323" i="3"/>
  <c r="AA10" i="35"/>
  <c r="S10" i="35"/>
  <c r="AZ520" i="3"/>
  <c r="AZ544" i="3"/>
  <c r="AZ558" i="3"/>
  <c r="AZ562" i="3"/>
  <c r="AA38" i="37"/>
  <c r="AC31" i="34"/>
  <c r="W31" i="34"/>
  <c r="S27" i="33"/>
  <c r="AA27" i="33"/>
  <c r="U13" i="21"/>
  <c r="AB13" i="21"/>
  <c r="U14" i="21"/>
  <c r="AB14" i="21"/>
  <c r="W9" i="33"/>
  <c r="AC9" i="33"/>
  <c r="W24" i="35"/>
  <c r="AC24" i="35"/>
  <c r="H5" i="3"/>
  <c r="AZ389" i="3"/>
  <c r="AZ400" i="3"/>
  <c r="AZ404" i="3"/>
  <c r="AZ416" i="3"/>
  <c r="S19" i="21"/>
  <c r="S22" i="35"/>
  <c r="U9" i="21"/>
  <c r="C23" i="39"/>
  <c r="AC35" i="21"/>
  <c r="S8" i="21"/>
  <c r="J9" i="21"/>
  <c r="F9" i="33"/>
  <c r="H9" i="33"/>
  <c r="F12" i="33"/>
  <c r="H12" i="33"/>
  <c r="F34" i="35"/>
  <c r="H34" i="35"/>
  <c r="F25" i="37"/>
  <c r="J25" i="37"/>
  <c r="G536" i="3"/>
  <c r="G524" i="3"/>
  <c r="G512" i="3"/>
  <c r="G489" i="3"/>
  <c r="G481" i="3"/>
  <c r="AZ412" i="3"/>
  <c r="A30" i="64"/>
  <c r="A30" i="51"/>
  <c r="B22" i="63"/>
  <c r="AZ429" i="3"/>
  <c r="AZ448" i="3"/>
  <c r="AZ464" i="3"/>
  <c r="AZ480" i="3"/>
  <c r="AZ216" i="3"/>
  <c r="AZ219" i="3"/>
  <c r="AZ232" i="3"/>
  <c r="A11" i="55"/>
  <c r="B62" i="63"/>
  <c r="AZ419" i="3"/>
  <c r="AZ472" i="3"/>
  <c r="AZ208" i="3"/>
  <c r="AZ234" i="3"/>
  <c r="AZ238" i="3"/>
  <c r="AZ242" i="3"/>
  <c r="AZ254" i="3"/>
  <c r="AZ258" i="3"/>
  <c r="AZ269" i="3"/>
  <c r="AZ272" i="3"/>
  <c r="AZ285" i="3"/>
  <c r="AZ288" i="3"/>
  <c r="AZ296" i="3"/>
  <c r="AZ125" i="3"/>
  <c r="AZ128" i="3"/>
  <c r="AZ141" i="3"/>
  <c r="AZ144" i="3"/>
  <c r="AZ155" i="3"/>
  <c r="AZ160" i="3"/>
  <c r="AZ163" i="3"/>
  <c r="AZ176" i="3"/>
  <c r="AZ182" i="3"/>
  <c r="AZ190" i="3"/>
  <c r="AZ198" i="3"/>
  <c r="AZ204" i="3"/>
  <c r="AZ26" i="3"/>
  <c r="AZ29" i="3"/>
  <c r="AZ36" i="3"/>
  <c r="AZ42" i="3"/>
  <c r="AZ45" i="3"/>
  <c r="AZ52" i="3"/>
  <c r="AZ58" i="3"/>
  <c r="AZ61" i="3"/>
  <c r="AZ67" i="3"/>
  <c r="AZ76" i="3"/>
  <c r="AZ80" i="3"/>
  <c r="AZ83" i="3"/>
  <c r="AZ96" i="3"/>
  <c r="AZ100" i="3"/>
  <c r="AZ103" i="3"/>
  <c r="AZ105" i="3"/>
  <c r="AZ5" i="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C17" i="15"/>
  <c r="B72" i="63"/>
  <c r="B70" i="63"/>
  <c r="L47" i="44"/>
  <c r="F12" i="39"/>
  <c r="F12" i="40"/>
  <c r="E27" i="6"/>
  <c r="K19" i="6"/>
  <c r="S6" i="1"/>
  <c r="S16" i="1"/>
  <c r="C48" i="15"/>
  <c r="E16" i="6"/>
  <c r="E66" i="39"/>
  <c r="E61" i="40"/>
  <c r="E64" i="39"/>
  <c r="E59" i="40"/>
  <c r="E65" i="39"/>
  <c r="E60" i="40"/>
  <c r="E63" i="39"/>
  <c r="E58" i="40"/>
  <c r="E67" i="39"/>
  <c r="E62" i="40"/>
  <c r="D113" i="46"/>
  <c r="F17" i="11"/>
  <c r="E3" i="6"/>
  <c r="B21" i="63"/>
  <c r="N4" i="63"/>
  <c r="D15" i="59"/>
  <c r="T15" i="59"/>
  <c r="C14" i="59"/>
  <c r="C22" i="59"/>
  <c r="D21" i="59"/>
  <c r="G5" i="3"/>
  <c r="B3" i="3"/>
  <c r="E481" i="3"/>
  <c r="AA25" i="37"/>
  <c r="S25" i="37"/>
  <c r="S34" i="35"/>
  <c r="AA34" i="35"/>
  <c r="S12" i="33"/>
  <c r="AA12" i="33"/>
  <c r="AA9" i="33"/>
  <c r="S9" i="33"/>
  <c r="AA7" i="33"/>
  <c r="R48" i="33"/>
  <c r="S7" i="33"/>
  <c r="AA7" i="35"/>
  <c r="R38" i="35"/>
  <c r="S7" i="35"/>
  <c r="U12" i="40"/>
  <c r="AB12" i="40"/>
  <c r="W7" i="36"/>
  <c r="AC7" i="36"/>
  <c r="V36" i="36"/>
  <c r="I36" i="36"/>
  <c r="N65" i="40"/>
  <c r="N67" i="40"/>
  <c r="M67" i="40"/>
  <c r="J9" i="40"/>
  <c r="F9" i="40"/>
  <c r="K26" i="6"/>
  <c r="M26" i="6"/>
  <c r="I26" i="6"/>
  <c r="S26" i="6"/>
  <c r="K22" i="6"/>
  <c r="M22" i="6"/>
  <c r="I22" i="6"/>
  <c r="S22" i="6"/>
  <c r="E30" i="6"/>
  <c r="K23" i="6"/>
  <c r="M23" i="6"/>
  <c r="I23" i="6"/>
  <c r="S23" i="6"/>
  <c r="K21" i="6"/>
  <c r="M21" i="6"/>
  <c r="I21" i="6"/>
  <c r="S21" i="6"/>
  <c r="K14" i="1"/>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AC9" i="21"/>
  <c r="W9" i="21"/>
  <c r="W7" i="35"/>
  <c r="AC7" i="35"/>
  <c r="V38" i="35"/>
  <c r="I38" i="35"/>
  <c r="G43" i="35"/>
  <c r="H43" i="35"/>
  <c r="H58" i="21"/>
  <c r="W12" i="39"/>
  <c r="AC12" i="39"/>
  <c r="AB12" i="39"/>
  <c r="U12" i="39"/>
  <c r="D6" i="59"/>
  <c r="C5" i="59"/>
  <c r="W9" i="39"/>
  <c r="G59" i="34"/>
  <c r="H9" i="39"/>
  <c r="F9" i="39"/>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AA12" i="40"/>
  <c r="S12" i="40"/>
  <c r="S12" i="39"/>
  <c r="AA12" i="39"/>
  <c r="K20" i="6"/>
  <c r="M20" i="6"/>
  <c r="I20" i="6"/>
  <c r="S20" i="6"/>
  <c r="K25" i="6"/>
  <c r="M25" i="6"/>
  <c r="I25" i="6"/>
  <c r="S25" i="6"/>
  <c r="E31"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AA9" i="39"/>
  <c r="S9" i="39"/>
  <c r="I58" i="21"/>
  <c r="J18" i="15"/>
  <c r="J5" i="15"/>
  <c r="AA7" i="37"/>
  <c r="R42" i="37"/>
  <c r="S7" i="37"/>
  <c r="C36" i="46"/>
  <c r="C34" i="46"/>
  <c r="E36" i="36"/>
  <c r="I41" i="36"/>
  <c r="J41" i="36"/>
  <c r="R37" i="36"/>
  <c r="M14" i="1"/>
  <c r="K16" i="1"/>
  <c r="H9" i="40"/>
  <c r="R39" i="35"/>
  <c r="E38" i="35"/>
  <c r="R49" i="33"/>
  <c r="E48" i="33"/>
  <c r="E536" i="3"/>
  <c r="D14" i="59"/>
  <c r="C13" i="59"/>
  <c r="D13" i="59"/>
  <c r="D16" i="43"/>
  <c r="C16" i="43"/>
  <c r="L38" i="9"/>
  <c r="B14" i="66"/>
  <c r="B1" i="66"/>
  <c r="D45" i="9"/>
  <c r="D10" i="11"/>
  <c r="E6" i="6"/>
  <c r="D46" i="9"/>
  <c r="C21" i="4"/>
  <c r="O5" i="54"/>
  <c r="B45" i="63"/>
  <c r="F26" i="44"/>
  <c r="C26" i="44"/>
  <c r="F21" i="43"/>
  <c r="C23" i="43"/>
  <c r="D21" i="43"/>
  <c r="F24" i="15"/>
  <c r="C24" i="15"/>
  <c r="G46" i="37"/>
  <c r="H46" i="37"/>
  <c r="G47" i="37"/>
  <c r="H47" i="37"/>
  <c r="G41" i="36"/>
  <c r="H41" i="36"/>
  <c r="G40" i="36"/>
  <c r="H40" i="36"/>
  <c r="C30" i="46"/>
  <c r="E30" i="46"/>
  <c r="E29" i="46"/>
  <c r="AB9" i="39"/>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AY6" i="3"/>
  <c r="L52" i="44"/>
  <c r="K27" i="6"/>
  <c r="AC6" i="3"/>
  <c r="E6" i="3"/>
  <c r="Q69" i="44"/>
  <c r="L58" i="44"/>
  <c r="L61" i="44"/>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13" i="11"/>
  <c r="C13" i="11"/>
  <c r="C8" i="66"/>
  <c r="C7" i="66"/>
  <c r="E52" i="33"/>
  <c r="F52" i="33"/>
  <c r="E53" i="33"/>
  <c r="F53" i="33"/>
  <c r="E43" i="35"/>
  <c r="F43" i="35"/>
  <c r="E42" i="35"/>
  <c r="F42" i="35"/>
  <c r="U9" i="40"/>
  <c r="AB9" i="40"/>
  <c r="T44" i="40"/>
  <c r="G44" i="40"/>
  <c r="T13" i="1"/>
  <c r="T9" i="1"/>
  <c r="T12" i="1"/>
  <c r="O14"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49" i="33"/>
  <c r="B3" i="33"/>
  <c r="B2" i="33"/>
  <c r="C48" i="33"/>
  <c r="C38" i="35"/>
  <c r="C39" i="35"/>
  <c r="B3" i="35"/>
  <c r="B2" i="35"/>
  <c r="C37" i="36"/>
  <c r="B3" i="36"/>
  <c r="B2" i="36"/>
  <c r="C36" i="36"/>
  <c r="E34" i="46"/>
  <c r="G34" i="46"/>
  <c r="I34" i="46"/>
  <c r="J24" i="15"/>
  <c r="J26" i="15"/>
  <c r="J29" i="15"/>
  <c r="J58" i="21"/>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K58" i="21"/>
  <c r="B2" i="46"/>
  <c r="C42" i="37"/>
  <c r="C43" i="37"/>
  <c r="B3" i="37"/>
  <c r="B2" i="37"/>
  <c r="P14" i="1"/>
  <c r="I27" i="6"/>
  <c r="S19" i="6"/>
  <c r="S27" i="6"/>
  <c r="C22" i="4"/>
  <c r="D21" i="6"/>
  <c r="D10" i="6"/>
  <c r="H21" i="6"/>
  <c r="D6" i="6"/>
  <c r="D14" i="6"/>
  <c r="D20" i="6"/>
  <c r="H23" i="6"/>
  <c r="F45" i="9"/>
  <c r="E68" i="39"/>
  <c r="D24" i="6"/>
  <c r="D11" i="6"/>
  <c r="H20" i="6"/>
  <c r="D9" i="6"/>
  <c r="D29" i="6"/>
  <c r="D15" i="6"/>
  <c r="E46" i="9"/>
  <c r="E63" i="40"/>
  <c r="D25" i="6"/>
  <c r="H24" i="6"/>
  <c r="D28" i="6"/>
  <c r="D30" i="6"/>
  <c r="E45" i="9"/>
  <c r="K38" i="9"/>
  <c r="C14" i="66"/>
  <c r="B2" i="66"/>
  <c r="D26" i="6"/>
  <c r="D12" i="6"/>
  <c r="D5" i="6"/>
  <c r="H26" i="6"/>
  <c r="H19" i="6"/>
  <c r="D19" i="6"/>
  <c r="D13" i="6"/>
  <c r="D23" i="6"/>
  <c r="D8" i="6"/>
  <c r="D22"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D27" i="6"/>
  <c r="D31" i="6"/>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L58" i="21"/>
  <c r="R27" i="6"/>
  <c r="R6" i="1"/>
  <c r="R16" i="1"/>
  <c r="C18" i="43"/>
  <c r="C19" i="43"/>
  <c r="C25" i="43"/>
  <c r="C24" i="43"/>
  <c r="C25" i="44"/>
  <c r="C31" i="44"/>
  <c r="C23" i="15"/>
  <c r="C29" i="15"/>
  <c r="M58" i="21"/>
  <c r="L59" i="34"/>
  <c r="B3" i="40"/>
  <c r="B5" i="40"/>
  <c r="B4" i="40"/>
  <c r="I6" i="6"/>
  <c r="I5" i="6"/>
  <c r="C13" i="39"/>
  <c r="B3" i="67"/>
  <c r="B4" i="67"/>
  <c r="H13" i="39"/>
  <c r="F13" i="39"/>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N58" i="21"/>
  <c r="C22" i="43"/>
  <c r="C21" i="43"/>
  <c r="C28" i="43"/>
  <c r="C30" i="43"/>
  <c r="C32" i="43"/>
  <c r="B2" i="43"/>
  <c r="I49" i="39"/>
  <c r="W13" i="39"/>
  <c r="S13" i="39"/>
  <c r="AA13" i="39"/>
  <c r="AB13" i="39"/>
  <c r="G49"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O58" i="21"/>
  <c r="F7" i="21"/>
  <c r="J7" i="21"/>
  <c r="H7" i="21"/>
  <c r="S7" i="34"/>
  <c r="AA7" i="34"/>
  <c r="R49" i="34"/>
  <c r="G54" i="39"/>
  <c r="H54" i="39"/>
  <c r="G53" i="39"/>
  <c r="H53" i="39"/>
  <c r="E49" i="39"/>
  <c r="I53" i="39"/>
  <c r="J53" i="39"/>
  <c r="I54" i="39"/>
  <c r="J54" i="39"/>
  <c r="C57" i="15"/>
  <c r="C66" i="15"/>
  <c r="C67" i="15"/>
  <c r="C70" i="15"/>
  <c r="Q70" i="15"/>
  <c r="Q69" i="15"/>
  <c r="J39" i="15"/>
  <c r="J40" i="15"/>
  <c r="J18" i="44"/>
  <c r="J27" i="44"/>
  <c r="E49" i="34"/>
  <c r="R50" i="34"/>
  <c r="AC7" i="21"/>
  <c r="V48" i="21"/>
  <c r="I48" i="21"/>
  <c r="W7" i="21"/>
  <c r="I54" i="34"/>
  <c r="J54" i="34"/>
  <c r="I53" i="34"/>
  <c r="J53" i="34"/>
  <c r="Q71" i="44"/>
  <c r="Q70" i="44"/>
  <c r="C44" i="44"/>
  <c r="C45" i="44"/>
  <c r="B2" i="44"/>
  <c r="AB7" i="21"/>
  <c r="T48" i="21"/>
  <c r="G48" i="21"/>
  <c r="U7" i="21"/>
  <c r="S7" i="21"/>
  <c r="AA7" i="21"/>
  <c r="R48" i="21"/>
  <c r="G54" i="34"/>
  <c r="H54" i="34"/>
  <c r="G53" i="34"/>
  <c r="H53" i="34"/>
  <c r="C43" i="15"/>
  <c r="Q66" i="15"/>
  <c r="Q57" i="15"/>
  <c r="Q48" i="15"/>
  <c r="Q54" i="15"/>
  <c r="B2" i="15"/>
  <c r="B3" i="15"/>
  <c r="J42" i="15"/>
  <c r="J43" i="15"/>
  <c r="L51" i="15"/>
  <c r="E54" i="39"/>
  <c r="F54" i="39"/>
  <c r="E53" i="39"/>
  <c r="F53" i="39"/>
  <c r="C49" i="39"/>
  <c r="L57" i="15"/>
  <c r="L60" i="15"/>
  <c r="Q58" i="15"/>
  <c r="Q63" i="15"/>
  <c r="Q68" i="15"/>
  <c r="C46" i="15"/>
  <c r="R49" i="21"/>
  <c r="E48" i="21"/>
  <c r="I53" i="21"/>
  <c r="J53" i="21"/>
  <c r="B5" i="44"/>
  <c r="B3" i="44"/>
  <c r="B4" i="44"/>
  <c r="C50" i="34"/>
  <c r="B3" i="34"/>
  <c r="B2" i="34"/>
  <c r="C49" i="34"/>
  <c r="G52" i="21"/>
  <c r="H52" i="21"/>
  <c r="G53" i="21"/>
  <c r="H53" i="21"/>
  <c r="I52" i="21"/>
  <c r="J52" i="21"/>
  <c r="E54" i="34"/>
  <c r="F54" i="34"/>
  <c r="E53" i="34"/>
  <c r="F53" i="34"/>
  <c r="Q67" i="15"/>
  <c r="Q76" i="15"/>
  <c r="C49" i="21"/>
  <c r="B3" i="21"/>
  <c r="C48" i="21"/>
  <c r="E52" i="21"/>
  <c r="F52" i="21"/>
  <c r="E53" i="21"/>
  <c r="F53" i="21"/>
  <c r="B2" i="21"/>
  <c r="C10" i="12"/>
  <c r="C6" i="12"/>
  <c r="C29" i="12"/>
  <c r="C8" i="12"/>
  <c r="L43" i="9"/>
  <c r="B4" i="39"/>
  <c r="B5" i="39"/>
  <c r="C24" i="12"/>
  <c r="C21" i="9"/>
  <c r="C11" i="11"/>
  <c r="C10" i="11"/>
  <c r="C17" i="11"/>
  <c r="C18" i="11"/>
  <c r="C19" i="11"/>
  <c r="C20" i="11"/>
  <c r="C21" i="11"/>
  <c r="C22" i="11"/>
  <c r="C23" i="11"/>
  <c r="B2" i="11"/>
  <c r="D22" i="9"/>
  <c r="L44" i="9"/>
  <c r="B4" i="12"/>
  <c r="B5" i="12"/>
  <c r="B3" i="11"/>
  <c r="B5" i="11"/>
  <c r="B4" i="11"/>
  <c r="D21" i="9"/>
  <c r="G21" i="9"/>
  <c r="N43" i="9"/>
  <c r="G22" i="9"/>
  <c r="T24" i="31"/>
  <c r="T26" i="31"/>
  <c r="T25" i="31"/>
  <c r="T27" i="31"/>
  <c r="O43" i="9"/>
  <c r="C42" i="9"/>
  <c r="C35" i="9"/>
  <c r="F42" i="9"/>
  <c r="O38" i="9"/>
  <c r="C33" i="9"/>
  <c r="C34" i="9"/>
  <c r="M38" i="9"/>
  <c r="K27" i="9"/>
  <c r="E42" i="9"/>
  <c r="P5" i="54"/>
  <c r="K25" i="9"/>
  <c r="K26" i="9"/>
  <c r="C44" i="9"/>
  <c r="D63" i="9"/>
  <c r="D14" i="66"/>
  <c r="N68" i="9"/>
  <c r="R5" i="54"/>
  <c r="N38" i="9"/>
  <c r="K28" i="9"/>
  <c r="D42" i="9"/>
  <c r="Q5" i="54"/>
  <c r="B46" i="63"/>
  <c r="B47" i="63"/>
  <c r="B48" i="63"/>
  <c r="B20" i="31"/>
  <c r="R22" i="31"/>
  <c r="B21" i="31"/>
  <c r="D77" i="9"/>
  <c r="N75" i="9"/>
  <c r="D71" i="9"/>
  <c r="D66" i="9"/>
  <c r="N72" i="9"/>
  <c r="C90" i="9"/>
  <c r="C111" i="9"/>
  <c r="C104" i="9"/>
  <c r="C96" i="9"/>
  <c r="C91" i="9"/>
  <c r="C82" i="9"/>
  <c r="C81" i="9"/>
  <c r="C85" i="9"/>
  <c r="C86" i="9"/>
  <c r="D72" i="9"/>
  <c r="D70" i="9"/>
  <c r="C103" i="9"/>
  <c r="F14" i="66"/>
  <c r="E14" i="66"/>
  <c r="E44" i="9"/>
  <c r="G14" i="66"/>
  <c r="O39" i="9"/>
  <c r="F44" i="9"/>
  <c r="N69" i="9"/>
  <c r="D44" i="9"/>
  <c r="E15" i="66"/>
  <c r="F15" i="66"/>
  <c r="C113" i="9"/>
  <c r="C114" i="9"/>
  <c r="E114" i="9"/>
  <c r="E115" i="9"/>
  <c r="R6" i="54"/>
  <c r="K29" i="9"/>
  <c r="K30" i="9"/>
  <c r="M83" i="9"/>
  <c r="N83" i="9"/>
  <c r="M87" i="9"/>
  <c r="N87" i="9"/>
  <c r="M85" i="9"/>
  <c r="N85" i="9"/>
  <c r="M84" i="9"/>
  <c r="N84" i="9"/>
  <c r="M88" i="9"/>
  <c r="N88" i="9"/>
  <c r="M86" i="9"/>
  <c r="N86" i="9"/>
  <c r="C97" i="9"/>
  <c r="B50" i="63"/>
  <c r="C115" i="9"/>
  <c r="D76" i="9"/>
  <c r="D74" i="9"/>
  <c r="N74" i="9"/>
  <c r="O77" i="9"/>
  <c r="O78" i="9"/>
  <c r="N89" i="9"/>
  <c r="O89" i="9"/>
  <c r="C98" i="9"/>
  <c r="E98" i="9"/>
  <c r="E99" i="9"/>
  <c r="O79" i="9"/>
  <c r="O80" i="9"/>
  <c r="C99" i="9"/>
  <c r="Q77" i="9"/>
  <c r="O81" i="9"/>
  <c r="B6" i="66"/>
  <c r="C6" i="66"/>
  <c r="D6" i="66"/>
  <c r="F16" i="66"/>
  <c r="E16"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<sst xmlns="http://schemas.openxmlformats.org/spreadsheetml/2006/main" count="7336" uniqueCount="3238">
  <si>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</si>
  <si>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</si>
  <si>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</si>
  <si>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</si>
  <si>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</si>
  <si>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</si>
  <si>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</si>
  <si>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</si>
  <si>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</si>
  <si>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</si>
  <si>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</si>
  <si>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</si>
  <si>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</si>
  <si>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</si>
  <si>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</si>
  <si>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</si>
  <si>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</si>
  <si>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</si>
  <si>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</si>
  <si>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</si>
  <si>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</si>
  <si>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</si>
  <si>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</si>
  <si>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</si>
  <si>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</si>
  <si>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</si>
  <si>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</si>
  <si>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</si>
  <si>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</si>
  <si>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</si>
  <si>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</si>
  <si>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</si>
  <si>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</si>
  <si>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</si>
  <si>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</si>
  <si>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</si>
  <si>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</si>
  <si>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</si>
  <si>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</si>
  <si>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</si>
  <si>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</si>
  <si>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</si>
  <si>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</si>
  <si>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</si>
  <si>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</si>
  <si>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</si>
  <si>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</si>
  <si>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</si>
  <si>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</si>
  <si>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</si>
  <si>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</si>
  <si>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</si>
  <si>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</si>
  <si>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</si>
  <si>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</si>
  <si>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</si>
  <si>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</si>
  <si>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</si>
  <si>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</si>
  <si>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</si>
  <si>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</si>
  <si>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</si>
  <si>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</si>
  <si>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</si>
  <si>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</si>
  <si>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</si>
  <si>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</si>
  <si>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</si>
  <si>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</si>
  <si>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</si>
  <si>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</si>
  <si>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</si>
  <si>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</si>
  <si>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</si>
  <si>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</si>
  <si>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</si>
  <si>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</si>
  <si>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</si>
  <si>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</si>
  <si>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</si>
  <si>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</si>
  <si>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</si>
  <si>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</si>
  <si>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</si>
  <si>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</si>
  <si>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</si>
  <si>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</si>
  <si>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</si>
  <si>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</si>
  <si>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</si>
  <si>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</si>
  <si>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</si>
  <si>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</si>
  <si>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</si>
  <si>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</si>
  <si>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</si>
  <si>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</si>
  <si>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</si>
  <si>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</si>
  <si>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</si>
  <si>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</si>
  <si>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</si>
  <si>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</si>
  <si>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</si>
  <si>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</si>
  <si>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</si>
  <si>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</si>
  <si>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</si>
  <si>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</si>
  <si>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</si>
  <si>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</si>
  <si>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</si>
  <si>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</si>
  <si>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</si>
  <si>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</si>
  <si>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</si>
  <si>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</si>
  <si>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</si>
  <si>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</si>
  <si>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</si>
  <si>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</si>
  <si>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</si>
  <si>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</si>
  <si>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</si>
  <si>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</si>
  <si>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</si>
  <si>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</si>
  <si>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</si>
  <si>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</si>
  <si>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</si>
  <si>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</si>
  <si>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</si>
  <si>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</si>
  <si>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</si>
  <si>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</si>
  <si>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</si>
  <si>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</si>
  <si>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</si>
  <si>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</si>
  <si>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</si>
  <si>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</si>
  <si>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</si>
  <si>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</si>
  <si>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</si>
  <si>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</si>
  <si>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</si>
  <si>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</si>
  <si>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</si>
  <si>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</si>
  <si>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</si>
  <si>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</si>
  <si>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</si>
  <si>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</si>
  <si>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</si>
  <si>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</si>
  <si>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</si>
  <si>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</si>
  <si>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</si>
  <si>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</si>
  <si>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</si>
  <si>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</si>
  <si>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</si>
  <si>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</si>
  <si>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</si>
  <si>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</si>
  <si>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</si>
  <si>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</si>
  <si>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</si>
  <si>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</si>
  <si>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</si>
  <si>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</si>
  <si>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</si>
  <si>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</si>
  <si>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</si>
  <si>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</si>
  <si>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</si>
  <si>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</si>
  <si>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</si>
  <si>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</si>
  <si>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</si>
  <si>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</si>
  <si>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</si>
  <si>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</si>
  <si>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</si>
  <si>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</si>
  <si>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</si>
  <si>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</si>
  <si>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</si>
  <si>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</si>
  <si>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</si>
  <si>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</si>
  <si>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</si>
  <si>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</si>
  <si>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</si>
  <si>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</si>
  <si>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</si>
  <si>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</si>
  <si>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</si>
  <si>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</si>
  <si>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</si>
  <si>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</si>
  <si>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</si>
  <si>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</si>
  <si>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</si>
  <si>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</si>
  <si>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</si>
  <si>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</si>
  <si>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</si>
  <si>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</si>
  <si>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</si>
  <si>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</si>
  <si>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</si>
  <si>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</si>
  <si>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</si>
  <si>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</si>
  <si>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</si>
  <si>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</si>
  <si>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</si>
  <si>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</si>
  <si>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</si>
  <si>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</si>
  <si>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</si>
  <si>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</si>
  <si>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</si>
  <si>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</si>
  <si>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</si>
  <si>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</si>
  <si>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</si>
  <si>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</si>
  <si>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</si>
  <si>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</si>
  <si>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</si>
  <si>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</si>
  <si>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</si>
  <si>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</si>
  <si>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</si>
  <si>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</si>
  <si>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</si>
  <si>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</si>
  <si>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</si>
  <si>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</si>
  <si>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</si>
  <si>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</si>
  <si>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</si>
  <si>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</si>
  <si>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</si>
  <si>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</si>
  <si>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</si>
  <si>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</si>
  <si>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</si>
  <si>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</si>
  <si>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</si>
  <si>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</si>
  <si>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</si>
  <si>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</si>
  <si>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</si>
  <si>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</si>
  <si>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</si>
  <si>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</si>
  <si>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</si>
  <si>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</si>
  <si>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</si>
  <si>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</si>
  <si>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</si>
  <si>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</si>
  <si>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</si>
  <si>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</si>
  <si>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</si>
  <si>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</si>
  <si>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</si>
  <si>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</si>
  <si>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</si>
  <si>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</si>
  <si>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</si>
  <si>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</si>
  <si>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</si>
  <si>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</si>
  <si>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</si>
  <si>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</si>
  <si>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</si>
  <si>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</si>
  <si>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</si>
  <si>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</si>
  <si>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</si>
  <si>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</si>
  <si>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</si>
  <si>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</si>
  <si>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</si>
  <si>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</si>
  <si>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</si>
  <si>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</si>
  <si>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</si>
  <si>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</si>
  <si>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</si>
  <si>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</si>
  <si>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</si>
  <si>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</si>
  <si>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</si>
  <si>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</si>
  <si>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</si>
  <si>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</si>
  <si>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</si>
  <si>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</si>
  <si>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</si>
  <si>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</si>
  <si>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</si>
  <si>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</si>
  <si>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</si>
  <si>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</si>
  <si>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</si>
  <si>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</si>
  <si>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</si>
  <si>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</si>
  <si>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</si>
  <si>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</si>
  <si>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</si>
  <si>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</si>
  <si>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</si>
  <si>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</si>
  <si>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</si>
  <si>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</si>
  <si>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</si>
  <si>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</si>
  <si>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</si>
  <si>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</si>
  <si>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</si>
  <si>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</si>
  <si>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</si>
  <si>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</si>
  <si>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</si>
  <si>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</si>
  <si>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</si>
  <si>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</si>
  <si>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</si>
  <si>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</si>
  <si>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</si>
  <si>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</si>
  <si>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</si>
  <si>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</si>
  <si>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</si>
  <si>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</si>
  <si>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</si>
  <si>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</si>
  <si>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</si>
  <si>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</si>
  <si>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</si>
  <si>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</si>
  <si>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</si>
  <si>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</si>
  <si>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</si>
  <si>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</si>
  <si>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</si>
  <si>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</si>
  <si>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</si>
  <si>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</si>
  <si>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</si>
  <si>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</si>
  <si>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</si>
  <si>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</si>
  <si>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</si>
  <si>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</si>
  <si>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</si>
  <si>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</si>
  <si>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</si>
  <si>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</si>
  <si>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</si>
  <si>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</si>
  <si>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</si>
  <si>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</si>
  <si>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</si>
  <si>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</si>
  <si>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</si>
  <si>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</si>
  <si>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</si>
  <si>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</si>
  <si>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</si>
  <si>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</si>
  <si>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</si>
  <si>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</si>
  <si>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</si>
  <si>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</si>
  <si>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</si>
  <si>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</si>
  <si>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</si>
  <si>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</si>
  <si>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</si>
  <si>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</si>
  <si>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</si>
  <si>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</si>
  <si>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</si>
  <si>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</si>
  <si>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</si>
  <si>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</si>
  <si>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</si>
  <si>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</si>
  <si>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</si>
  <si>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</si>
  <si>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</si>
  <si>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</si>
  <si>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</si>
  <si>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</si>
  <si>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</si>
  <si>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</si>
  <si>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</si>
  <si>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</si>
  <si>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</si>
  <si>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</si>
  <si>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</si>
  <si>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</si>
  <si>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</si>
  <si>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</si>
  <si>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</si>
  <si>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</si>
  <si>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</si>
  <si>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</si>
  <si>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</si>
  <si>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</si>
  <si>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</si>
  <si>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</si>
  <si>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</si>
  <si>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</si>
  <si>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</si>
  <si>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</si>
  <si>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</si>
  <si>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</si>
  <si>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</si>
  <si>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</si>
  <si>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</si>
  <si>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</si>
  <si>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</si>
  <si>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</si>
  <si>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</si>
  <si>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</si>
  <si>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</si>
  <si>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</si>
  <si>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</si>
  <si>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</si>
  <si>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</si>
  <si>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</si>
  <si>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</si>
  <si>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</si>
  <si>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</si>
  <si>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</si>
  <si>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</si>
  <si>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</si>
  <si>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</si>
  <si>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</si>
  <si>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</si>
  <si>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</si>
  <si>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</si>
  <si>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</si>
  <si>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</si>
  <si>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</si>
  <si>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</si>
  <si>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</si>
  <si>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</si>
  <si>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</si>
  <si>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</si>
  <si>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</si>
  <si>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</si>
  <si>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</si>
  <si>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</si>
  <si>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</si>
  <si>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</si>
  <si>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</si>
  <si>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</si>
  <si>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</si>
  <si>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</si>
  <si>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</si>
  <si>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</si>
  <si>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</si>
  <si>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</si>
  <si>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</si>
  <si>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</si>
  <si>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</si>
  <si>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</si>
  <si>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</si>
  <si>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</si>
  <si>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</si>
  <si>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</si>
  <si>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</si>
  <si>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</si>
  <si>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</si>
  <si>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</si>
  <si>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</si>
  <si>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</si>
  <si>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</si>
  <si>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</si>
  <si>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</si>
  <si>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</si>
  <si>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</si>
  <si>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</si>
  <si>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</si>
  <si>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</si>
  <si>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</si>
  <si>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</si>
  <si>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</si>
  <si>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</si>
  <si>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</si>
  <si>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</si>
  <si>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</si>
  <si>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</si>
  <si>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</si>
  <si>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</si>
  <si>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</si>
  <si>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</si>
  <si>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</si>
  <si>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</si>
  <si>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</si>
  <si>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</si>
  <si>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</si>
  <si>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</si>
  <si>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</si>
  <si>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</si>
  <si>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</si>
  <si>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</si>
  <si>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</si>
  <si>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</si>
  <si>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</si>
  <si>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</si>
  <si>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</si>
  <si>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</si>
  <si>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</si>
  <si>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</si>
  <si>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</si>
  <si>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</si>
  <si>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</si>
  <si>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</si>
  <si>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</si>
  <si>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</si>
  <si>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</si>
  <si>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</si>
  <si>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</si>
  <si>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</si>
  <si>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</si>
  <si>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</si>
  <si>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</si>
  <si>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</si>
  <si>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</si>
  <si>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</si>
  <si>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</si>
  <si>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</si>
  <si>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</si>
  <si>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</si>
  <si>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</si>
  <si>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</si>
  <si>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</si>
  <si>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</si>
  <si>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</si>
  <si>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</si>
  <si>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</si>
  <si>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</si>
  <si>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</si>
  <si>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</si>
  <si>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</si>
  <si>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</si>
  <si>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</si>
  <si>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</si>
  <si>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</si>
  <si>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</si>
  <si>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</si>
  <si>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</si>
  <si>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</si>
  <si>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</si>
  <si>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</si>
  <si>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</si>
  <si>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</si>
  <si>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</si>
  <si>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</si>
  <si>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</si>
  <si>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</si>
  <si>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</si>
  <si>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</si>
  <si>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</si>
  <si>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</si>
  <si>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</si>
  <si>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</si>
  <si>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</si>
  <si>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</si>
  <si>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</si>
  <si>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</si>
  <si>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</si>
  <si>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</si>
  <si>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</si>
  <si>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</si>
  <si>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</si>
  <si>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</si>
  <si>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</si>
  <si>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</si>
  <si>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</si>
  <si>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</si>
  <si>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</si>
  <si>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</si>
  <si>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</si>
  <si>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</si>
  <si>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</si>
  <si>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</si>
  <si>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</si>
  <si>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</si>
  <si>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</si>
  <si>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</si>
  <si>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</si>
  <si>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</si>
  <si>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</si>
  <si>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</si>
  <si>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</si>
  <si>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</si>
  <si>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</si>
  <si>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</si>
  <si>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</si>
  <si>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</si>
  <si>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</si>
  <si>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</si>
  <si>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</si>
  <si>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</si>
  <si>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</si>
  <si>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</si>
  <si>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</si>
  <si>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</si>
  <si>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</si>
  <si>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</si>
  <si>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</si>
  <si>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</si>
  <si>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</si>
  <si>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</si>
  <si>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</si>
  <si>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</si>
  <si>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</si>
  <si>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</si>
  <si>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</si>
  <si>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</si>
  <si>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</si>
  <si>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</si>
  <si>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</si>
  <si>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</si>
  <si>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</si>
  <si>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</si>
  <si>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</si>
  <si>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</si>
  <si>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</si>
  <si>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</si>
  <si>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</si>
  <si>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</si>
  <si>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</si>
  <si>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</si>
  <si>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</si>
  <si>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</si>
  <si>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</si>
  <si>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</si>
  <si>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</si>
  <si>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</si>
  <si>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</si>
  <si>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</si>
  <si>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</si>
  <si>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</si>
  <si>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</si>
  <si>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</si>
  <si>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</si>
  <si>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</si>
  <si>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</si>
  <si>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</si>
  <si>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</si>
  <si>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</si>
  <si>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</si>
  <si>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</si>
  <si>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</si>
  <si>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</si>
  <si>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</si>
  <si>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</si>
  <si>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</si>
  <si>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</si>
  <si>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</si>
  <si>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</si>
  <si>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</si>
  <si>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</si>
  <si>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</si>
  <si>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</si>
  <si>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</si>
  <si>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</si>
  <si>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</si>
  <si>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</si>
  <si>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</si>
  <si>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</si>
  <si>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</si>
  <si>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</si>
  <si>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</si>
  <si>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</si>
  <si>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</si>
  <si>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</si>
  <si>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</si>
  <si>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</si>
  <si>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</si>
  <si>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</si>
  <si>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</si>
  <si>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</si>
  <si>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</si>
  <si>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</si>
  <si>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</si>
  <si>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</si>
  <si>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</si>
  <si>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</si>
  <si>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</si>
  <si>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</si>
  <si>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</si>
  <si>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</si>
  <si>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</si>
  <si>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</si>
  <si>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</si>
  <si>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</si>
  <si>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</si>
  <si>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</si>
  <si>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</si>
  <si>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</si>
  <si>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</si>
  <si>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</si>
  <si>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</si>
  <si>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</si>
  <si>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</si>
  <si>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</si>
  <si>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</si>
  <si>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</si>
  <si>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</si>
  <si>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</si>
  <si>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</si>
  <si>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</si>
  <si>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</si>
  <si>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</si>
  <si>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</si>
  <si>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</si>
  <si>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</si>
  <si>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</si>
  <si>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</si>
  <si>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</si>
  <si>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</si>
  <si>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</si>
  <si>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</si>
  <si>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</si>
  <si>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</si>
  <si>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</si>
  <si>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</si>
  <si>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</si>
  <si>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</si>
  <si>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</si>
  <si>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</si>
  <si>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</si>
  <si>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</si>
  <si>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</si>
  <si>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</si>
  <si>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</si>
  <si>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</si>
  <si>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</si>
  <si>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</si>
  <si>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</si>
  <si>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</si>
  <si>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</si>
  <si>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</si>
  <si>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</si>
  <si>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</si>
  <si>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</si>
  <si>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</si>
  <si>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</si>
  <si>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</si>
  <si>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</si>
  <si>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</si>
  <si>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</si>
  <si>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</si>
  <si>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</si>
  <si>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</si>
  <si>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</si>
  <si>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</si>
  <si>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</si>
  <si>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</si>
  <si>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</si>
  <si>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</si>
  <si>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</si>
  <si>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</si>
  <si>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</si>
  <si>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</si>
  <si>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</si>
  <si>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</si>
  <si>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</si>
  <si>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</si>
  <si>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</si>
  <si>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</si>
  <si>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</si>
  <si>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</si>
  <si>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</si>
  <si>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</si>
  <si>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</si>
  <si>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</si>
  <si>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</si>
  <si>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</si>
  <si>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</si>
  <si>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</si>
  <si>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</si>
  <si>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</si>
  <si>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</si>
  <si>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</si>
  <si>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</si>
  <si>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</si>
  <si>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</si>
  <si>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</si>
  <si>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</si>
  <si>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</si>
  <si>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</si>
  <si>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</si>
  <si>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</si>
  <si>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</si>
  <si>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</si>
  <si>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</si>
  <si>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</si>
  <si>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</si>
  <si>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</si>
  <si>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</si>
  <si>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</si>
  <si>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</si>
  <si>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</si>
  <si>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</si>
  <si>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</si>
  <si>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</si>
  <si>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</si>
  <si>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</si>
  <si>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</si>
  <si>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</si>
  <si>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</si>
  <si>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</si>
  <si>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</si>
  <si>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</si>
  <si>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</si>
  <si>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</si>
  <si>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</si>
  <si>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</si>
  <si>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</si>
  <si>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</si>
  <si>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</si>
  <si>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</si>
  <si>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</si>
  <si>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</si>
  <si>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</si>
  <si>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</si>
  <si>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</si>
  <si>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</si>
  <si>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</si>
  <si>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</si>
  <si>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</si>
  <si>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</si>
  <si>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</si>
  <si>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</si>
  <si>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</si>
  <si>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</si>
  <si>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</si>
  <si>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</si>
  <si>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</si>
  <si>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</si>
  <si>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</si>
  <si>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</si>
  <si>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</si>
  <si>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</si>
  <si>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</si>
  <si>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</si>
  <si>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</si>
  <si>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</si>
  <si>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</si>
  <si>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</si>
  <si>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</si>
  <si>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</si>
  <si>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</si>
  <si>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</si>
  <si>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</si>
  <si>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</si>
  <si>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</si>
  <si>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</si>
  <si>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</si>
  <si>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</si>
  <si>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</si>
  <si>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</si>
  <si>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</si>
  <si>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</si>
  <si>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</si>
  <si>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</si>
  <si>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</si>
  <si>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</si>
  <si>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</si>
  <si>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</si>
  <si>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</si>
  <si>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</si>
  <si>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</si>
  <si>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</si>
  <si>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</si>
  <si>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</si>
  <si>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</si>
  <si>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</si>
  <si>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</si>
  <si>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</si>
  <si>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</si>
  <si>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</si>
  <si>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</si>
  <si>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</si>
  <si>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</si>
  <si>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</si>
  <si>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</si>
  <si>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</si>
  <si>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</si>
  <si>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</si>
  <si>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</si>
  <si>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</si>
  <si>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</si>
  <si>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</si>
  <si>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</si>
  <si>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</si>
  <si>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</si>
  <si>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</si>
  <si>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</si>
  <si>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</si>
  <si>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</si>
  <si>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</si>
  <si>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</si>
  <si>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</si>
  <si>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</si>
  <si>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</si>
  <si>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</si>
  <si>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</si>
  <si>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</si>
  <si>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</si>
  <si>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</si>
  <si>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</si>
  <si>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</si>
  <si>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</si>
  <si>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</si>
  <si>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</si>
  <si>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</si>
  <si>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</si>
  <si>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</si>
  <si>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</si>
  <si>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</si>
  <si>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</si>
  <si>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</si>
  <si>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</si>
  <si>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</si>
  <si>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</si>
  <si>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</si>
  <si>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</si>
  <si>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</si>
  <si>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</si>
  <si>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</si>
  <si>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</si>
  <si>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</si>
  <si>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</si>
  <si>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</si>
  <si>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</si>
  <si>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</si>
  <si>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</si>
  <si>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</si>
  <si>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</si>
  <si>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</si>
  <si>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</si>
  <si>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</si>
  <si>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</si>
  <si>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</si>
  <si>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</si>
  <si>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</si>
  <si>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</si>
  <si>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</si>
  <si>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</si>
  <si>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</si>
  <si>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</si>
  <si>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</si>
  <si>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</si>
  <si>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</si>
  <si>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</si>
  <si>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</si>
  <si>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</si>
  <si>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</si>
  <si>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</si>
  <si>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</si>
  <si>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</si>
  <si>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</si>
  <si>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</si>
  <si>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</si>
  <si>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</si>
  <si>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</si>
  <si>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</si>
  <si>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</si>
  <si>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</si>
  <si>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</si>
  <si>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</si>
  <si>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</si>
  <si>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</si>
  <si>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</si>
  <si>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</si>
  <si>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</si>
  <si>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</si>
  <si>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</si>
  <si>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</si>
  <si>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</si>
  <si>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</si>
  <si>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</si>
  <si>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</si>
  <si>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</si>
  <si>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</si>
  <si>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</si>
  <si>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</si>
  <si>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</si>
  <si>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</si>
  <si>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</si>
  <si>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</si>
  <si>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</si>
  <si>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</si>
  <si>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</si>
  <si>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</si>
  <si>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</si>
  <si>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</si>
  <si>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</si>
  <si>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</si>
  <si>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</si>
  <si>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</si>
  <si>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</si>
  <si>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</si>
  <si>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</si>
  <si>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</si>
  <si>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</si>
  <si>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</si>
  <si>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</si>
  <si>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</si>
  <si>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</si>
  <si>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</si>
  <si>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</si>
  <si>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</si>
  <si>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</si>
  <si>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</si>
  <si>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</si>
  <si>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</si>
  <si>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</si>
  <si>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</si>
  <si>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</si>
  <si>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</si>
  <si>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</si>
  <si>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</si>
  <si>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</si>
  <si>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</si>
  <si>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</si>
  <si>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</si>
  <si>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</si>
  <si>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</si>
  <si>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</si>
  <si>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</si>
  <si>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</si>
  <si>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</si>
  <si>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</si>
  <si>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</si>
  <si>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</si>
  <si>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</si>
  <si>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</si>
  <si>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</si>
  <si>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</si>
  <si>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</si>
  <si>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</si>
  <si>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</si>
  <si>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</si>
  <si>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</si>
  <si>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</si>
  <si>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</si>
  <si>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</si>
  <si>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</si>
  <si>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</si>
  <si>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</si>
  <si>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</si>
  <si>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</si>
  <si>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</si>
  <si>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</si>
  <si>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</si>
  <si>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</si>
  <si>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</si>
  <si>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</si>
  <si>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</si>
  <si>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</si>
  <si>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</si>
  <si>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</si>
  <si>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</si>
  <si>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</si>
  <si>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</si>
  <si>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</si>
  <si>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</si>
  <si>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</si>
  <si>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</si>
  <si>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</si>
  <si>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</si>
  <si>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</si>
  <si>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</si>
  <si>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</si>
  <si>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</si>
  <si>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</si>
  <si>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</si>
  <si>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</si>
  <si>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</si>
  <si>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</si>
  <si>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</si>
  <si>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</si>
  <si>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</si>
  <si>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</si>
  <si>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</si>
  <si>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</si>
  <si>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</si>
  <si>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</si>
  <si>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</si>
  <si>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</si>
  <si>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</si>
  <si>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</si>
  <si>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</si>
  <si>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</si>
  <si>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</si>
  <si>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</si>
  <si>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</si>
  <si>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</si>
  <si>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</si>
  <si>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</si>
  <si>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</si>
  <si>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</si>
  <si>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</si>
  <si>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</si>
  <si>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</si>
  <si>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</si>
  <si>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</si>
  <si>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</si>
  <si>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</si>
  <si>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</si>
  <si>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</si>
  <si>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</si>
  <si>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</si>
  <si>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</si>
  <si>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</si>
  <si>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</si>
  <si>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</si>
  <si>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</si>
  <si>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</si>
  <si>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</si>
  <si>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</si>
  <si>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</si>
  <si>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</si>
  <si>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</si>
  <si>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</si>
  <si>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</si>
  <si>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</si>
  <si>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</si>
  <si>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</si>
  <si>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</si>
  <si>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</si>
  <si>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</si>
  <si>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</si>
  <si>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</si>
  <si>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</si>
  <si>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</si>
  <si>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</si>
  <si>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</si>
  <si>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</si>
  <si>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</si>
  <si>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</si>
  <si>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</si>
  <si>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</si>
  <si>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</si>
  <si>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</si>
  <si>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</si>
  <si>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</si>
  <si>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</si>
  <si>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</si>
  <si>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</si>
  <si>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</si>
  <si>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</si>
  <si>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</si>
  <si>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</si>
  <si>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</si>
  <si>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</si>
  <si>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</si>
  <si>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</si>
  <si>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</si>
  <si>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</si>
  <si>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</si>
  <si>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</si>
  <si>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</si>
  <si>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</si>
  <si>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</si>
  <si>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</si>
  <si>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</si>
  <si>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</si>
  <si>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</si>
  <si>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</si>
  <si>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</si>
  <si>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</si>
  <si>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</si>
  <si>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</si>
  <si>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</si>
  <si>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</si>
  <si>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</si>
  <si>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</si>
  <si>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</si>
  <si>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</si>
  <si>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</si>
  <si>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</si>
  <si>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</si>
  <si>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</si>
  <si>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</si>
  <si>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</si>
  <si>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</si>
  <si>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</si>
  <si>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</si>
  <si>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</si>
  <si>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</si>
  <si>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</si>
  <si>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</si>
  <si>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</si>
  <si>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</si>
  <si>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</si>
  <si>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</si>
  <si>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</si>
  <si>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</si>
  <si>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</si>
  <si>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</si>
  <si>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</si>
  <si>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</si>
  <si>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</si>
  <si>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</si>
  <si>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</si>
  <si>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</si>
  <si>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</si>
  <si>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</si>
  <si>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</si>
  <si>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</si>
  <si>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</si>
  <si>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</si>
  <si>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</si>
  <si>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</si>
  <si>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</si>
  <si>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</si>
  <si>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</si>
  <si>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</si>
  <si>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</si>
  <si>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</si>
  <si>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</si>
  <si>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</si>
  <si>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</si>
  <si>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</si>
  <si>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</si>
  <si>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</si>
  <si>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</si>
  <si>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</si>
  <si>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</si>
  <si>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</si>
  <si>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</si>
  <si>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</si>
  <si>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</si>
  <si>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</si>
  <si>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</si>
  <si>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</si>
  <si>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</si>
  <si>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</si>
  <si>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</si>
  <si>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</si>
  <si>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</si>
  <si>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</si>
  <si>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</si>
  <si>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</si>
  <si>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</si>
  <si>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</si>
  <si>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</si>
  <si>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</si>
  <si>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</si>
  <si>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</si>
  <si>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</si>
  <si>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</si>
  <si>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</si>
  <si>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</si>
  <si>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</si>
  <si>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</si>
  <si>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</si>
  <si>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</si>
  <si>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</si>
  <si>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</si>
  <si>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</si>
  <si>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</si>
  <si>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</si>
  <si>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</si>
  <si>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</si>
  <si>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</si>
  <si>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</si>
  <si>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</si>
  <si>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</si>
  <si>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</si>
  <si>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</si>
  <si>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</si>
  <si>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</si>
  <si>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</si>
  <si>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</si>
  <si>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</si>
  <si>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</si>
  <si>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</si>
  <si>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</si>
  <si>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</si>
  <si>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</si>
  <si>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</si>
  <si>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</si>
  <si>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</si>
  <si>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</si>
  <si>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</si>
  <si>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</si>
  <si>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</si>
  <si>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</si>
  <si>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</si>
  <si>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</si>
  <si>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</si>
  <si>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</si>
  <si>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</si>
  <si>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</si>
  <si>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</si>
  <si>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</si>
  <si>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</si>
  <si>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</si>
  <si>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</si>
  <si>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</si>
  <si>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</si>
  <si>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</si>
  <si>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</si>
  <si>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</si>
  <si>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</si>
  <si>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</si>
  <si>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</si>
  <si>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</si>
  <si>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</si>
  <si>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</si>
  <si>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</si>
  <si>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</si>
  <si>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</si>
  <si>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</si>
  <si>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</si>
  <si>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</si>
  <si>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</si>
  <si>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</si>
  <si>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</si>
  <si>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</si>
  <si>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</si>
  <si>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</si>
  <si>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</si>
  <si>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</si>
  <si>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</si>
  <si>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</si>
  <si>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</si>
  <si>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</si>
  <si>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</si>
  <si>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</si>
  <si>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</si>
  <si>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</si>
  <si>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</si>
  <si>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</si>
  <si>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</si>
  <si>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</si>
  <si>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</si>
  <si>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</si>
  <si>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</si>
  <si>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</si>
  <si>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</si>
  <si>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</si>
  <si>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</si>
  <si>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</si>
  <si>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</si>
  <si>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</si>
  <si>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</si>
  <si>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</si>
  <si>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</si>
  <si>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</si>
  <si>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</si>
  <si>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</si>
  <si>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</si>
  <si>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</si>
  <si>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</si>
  <si>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</si>
  <si>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</si>
  <si>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</si>
  <si>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</si>
  <si>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</si>
  <si>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</si>
  <si>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</si>
  <si>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</si>
  <si>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</si>
  <si>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</si>
  <si>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</si>
  <si>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</si>
  <si>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</si>
  <si>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</si>
  <si>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</si>
  <si>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</si>
  <si>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</si>
  <si>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</si>
  <si>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</si>
  <si>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</si>
  <si>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</si>
  <si>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</si>
  <si>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</si>
  <si>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</si>
  <si>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</si>
  <si>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</si>
  <si>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</si>
  <si>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</si>
  <si>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</si>
  <si>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</si>
  <si>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</si>
  <si>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</si>
  <si>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</si>
  <si>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</si>
  <si>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</si>
  <si>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</si>
  <si>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</si>
  <si>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</si>
  <si>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</si>
  <si>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</si>
  <si>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</si>
  <si>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</si>
  <si>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</si>
  <si>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</si>
  <si>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</si>
  <si>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</si>
  <si>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</si>
  <si>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</si>
  <si>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</si>
  <si>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</si>
  <si>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</si>
  <si>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</si>
  <si>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</si>
  <si>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</si>
  <si>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</si>
  <si>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</si>
  <si>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</si>
  <si>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</si>
  <si>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</si>
  <si>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</si>
  <si>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</si>
  <si>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</si>
  <si>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</si>
  <si>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</si>
  <si>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</si>
  <si>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</si>
  <si>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</si>
  <si>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</si>
  <si>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</si>
  <si>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</si>
  <si>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</si>
  <si>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</si>
  <si>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</si>
  <si>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</si>
  <si>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</si>
  <si>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</si>
  <si>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</si>
  <si>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</si>
  <si>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</si>
  <si>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</si>
  <si>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</si>
  <si>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</si>
  <si>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</si>
  <si>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</si>
  <si>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</si>
  <si>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</si>
  <si>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</si>
  <si>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</si>
  <si>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</si>
  <si>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</si>
  <si>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</si>
  <si>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</si>
  <si>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</si>
  <si>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</si>
  <si>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</si>
  <si>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</si>
  <si>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</si>
  <si>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</si>
  <si>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</si>
  <si>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</si>
  <si>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</si>
  <si>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</si>
  <si>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</si>
  <si>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</si>
  <si>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</si>
  <si>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</si>
  <si>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</si>
  <si>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</si>
  <si>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</si>
  <si>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</si>
  <si>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</si>
  <si>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</si>
  <si>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</si>
  <si>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</si>
  <si>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</si>
  <si>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</si>
  <si>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</si>
  <si>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</si>
  <si>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</si>
  <si>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</si>
  <si>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</si>
  <si>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</si>
  <si>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</si>
  <si>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</si>
  <si>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</si>
  <si>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</si>
  <si>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</si>
  <si>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</si>
  <si>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</si>
  <si>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</si>
  <si>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</si>
  <si>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</si>
  <si>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</si>
  <si>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</si>
  <si>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</si>
  <si>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</si>
  <si>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</si>
  <si>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</si>
  <si>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</si>
  <si>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</si>
  <si>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</si>
  <si>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</si>
  <si>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</si>
  <si>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</si>
  <si>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</si>
  <si>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</si>
  <si>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</si>
  <si>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</si>
  <si>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</si>
  <si>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</si>
  <si>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</si>
  <si>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</si>
  <si>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</si>
  <si>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</si>
  <si>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</si>
  <si>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</si>
  <si>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</si>
  <si>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</si>
  <si>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</si>
  <si>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</si>
  <si>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</si>
  <si>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</si>
  <si>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</si>
  <si>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</si>
  <si>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</si>
  <si>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</si>
  <si>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</si>
  <si>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</si>
  <si>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</si>
  <si>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</si>
  <si>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</si>
  <si>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</si>
  <si>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</si>
  <si>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</si>
  <si>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</si>
  <si>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</si>
  <si>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</si>
  <si>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</si>
  <si>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</si>
  <si>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</si>
  <si>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</si>
  <si>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</si>
  <si>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</si>
  <si>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</si>
  <si>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</si>
  <si>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</si>
  <si>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</si>
  <si>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</si>
  <si>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</si>
  <si>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</si>
  <si>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</si>
  <si>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</si>
  <si>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</si>
  <si>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</si>
  <si>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</si>
  <si>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</si>
  <si>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</si>
  <si>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</si>
  <si>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</si>
  <si>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</si>
  <si>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</si>
  <si>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</si>
  <si>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</si>
  <si>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</si>
  <si>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</si>
  <si>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</si>
  <si>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</si>
  <si>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</si>
  <si>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</si>
  <si>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</si>
  <si>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</si>
  <si>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</si>
  <si>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</si>
  <si>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</si>
  <si>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</si>
  <si>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</si>
  <si>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</si>
  <si>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</si>
  <si>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</si>
  <si>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</si>
  <si>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</si>
  <si>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</si>
  <si>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</si>
  <si>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</si>
  <si>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</si>
  <si>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</si>
  <si>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</si>
  <si>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</si>
  <si>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</si>
  <si>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</si>
  <si>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</si>
  <si>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</si>
  <si>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</si>
  <si>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</si>
  <si>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</si>
  <si>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</si>
  <si>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</si>
  <si>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</si>
  <si>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</si>
  <si>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</si>
  <si>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</si>
  <si>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</si>
  <si>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</si>
  <si>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</si>
  <si>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</si>
  <si>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</si>
  <si>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</si>
  <si>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</si>
  <si>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</si>
  <si>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</si>
  <si>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</si>
  <si>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</si>
  <si>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</si>
  <si>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</si>
  <si>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</si>
  <si>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</si>
  <si>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</si>
  <si>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</si>
  <si>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</si>
  <si>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</si>
  <si>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</si>
  <si>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</si>
  <si>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</si>
  <si>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</si>
  <si>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</si>
  <si>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</si>
  <si>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</si>
  <si>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</si>
  <si>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</si>
  <si>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</si>
  <si>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</si>
  <si>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</si>
  <si>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</si>
  <si>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</si>
  <si>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</si>
  <si>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</si>
  <si>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</si>
  <si>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</si>
  <si>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</si>
  <si>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</si>
  <si>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</si>
  <si>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</si>
  <si>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</si>
  <si>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</si>
  <si>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</si>
  <si>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</si>
  <si>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</si>
  <si>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</si>
  <si>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</si>
  <si>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</si>
  <si>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</si>
  <si>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</si>
  <si>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</si>
  <si>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</si>
  <si>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</si>
  <si>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</si>
  <si>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</si>
  <si>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</si>
  <si>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</si>
  <si>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</si>
  <si>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</si>
  <si>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</si>
  <si>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</si>
  <si>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</si>
  <si>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</si>
  <si>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</si>
  <si>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</si>
  <si>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</si>
  <si>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</si>
  <si>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</si>
  <si>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</si>
  <si>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</si>
  <si>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</si>
  <si>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</si>
  <si>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</si>
  <si>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</si>
  <si>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</si>
  <si>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</si>
  <si>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</si>
  <si>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</si>
  <si>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</si>
  <si>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</si>
  <si>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</si>
  <si>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</si>
  <si>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</si>
  <si>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</si>
  <si>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</si>
  <si>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</si>
  <si>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</si>
  <si>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</si>
  <si>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</si>
  <si>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</si>
  <si>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</si>
  <si>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</si>
  <si>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</si>
  <si>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</si>
  <si>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</si>
  <si>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</si>
  <si>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</si>
  <si>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</si>
  <si>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</si>
  <si>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</si>
  <si>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</si>
  <si>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</si>
  <si>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</si>
  <si>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</si>
  <si>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</si>
  <si>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</si>
  <si>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</si>
  <si>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</si>
  <si>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</si>
  <si>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</si>
  <si>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</si>
  <si>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</si>
  <si>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</si>
  <si>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</si>
  <si>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</si>
  <si>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</si>
  <si>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</si>
  <si>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</si>
  <si>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</si>
  <si>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</si>
  <si>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</si>
  <si>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</si>
  <si>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</si>
  <si>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</si>
  <si>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</si>
  <si>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</si>
  <si>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</si>
  <si>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</si>
  <si>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</si>
  <si>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</si>
  <si>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</si>
  <si>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</si>
  <si>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</si>
  <si>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</si>
  <si>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</si>
  <si>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</si>
  <si>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</si>
  <si>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</si>
  <si>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</si>
  <si>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</si>
  <si>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</si>
  <si>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</si>
  <si>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</si>
  <si>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</si>
  <si>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</si>
  <si>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</si>
  <si>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</si>
  <si>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</si>
  <si>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</si>
  <si>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</si>
  <si>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</si>
  <si>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</si>
  <si>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</si>
  <si>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</si>
  <si>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</si>
  <si>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</si>
  <si>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</si>
  <si>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</si>
  <si>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</si>
  <si>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</si>
  <si>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</si>
  <si>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</si>
  <si>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</si>
  <si>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</si>
  <si>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</si>
  <si>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</si>
  <si>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</si>
  <si>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</si>
  <si>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</si>
  <si>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</si>
  <si>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</si>
  <si>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</si>
  <si>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</si>
  <si>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</si>
  <si>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</si>
  <si>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</si>
  <si>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</si>
  <si>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</si>
  <si>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</si>
  <si>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</si>
  <si>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</si>
  <si>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</si>
  <si>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</si>
  <si>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</si>
  <si>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</si>
  <si>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</si>
  <si>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</si>
  <si>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</si>
  <si>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</si>
  <si>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</si>
  <si>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</si>
  <si>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</si>
  <si>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</si>
  <si>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</si>
  <si>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</si>
  <si>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</si>
  <si>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</si>
  <si>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</si>
  <si>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</si>
  <si>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</si>
  <si>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</si>
  <si>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</si>
  <si>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</si>
  <si>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</si>
  <si>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</si>
  <si>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</si>
  <si>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</si>
  <si>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</si>
  <si>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</si>
  <si>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</si>
  <si>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</si>
  <si>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</si>
  <si>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</si>
  <si>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</si>
  <si>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</si>
  <si>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</si>
  <si>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</si>
  <si>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</si>
  <si>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</si>
  <si>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</si>
  <si>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</si>
  <si>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</si>
  <si>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</si>
  <si>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</si>
  <si>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</si>
  <si>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</si>
  <si>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</si>
  <si>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</si>
  <si>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</si>
  <si>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</si>
  <si>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</si>
  <si>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</si>
  <si>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</si>
  <si>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</si>
  <si>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</si>
  <si>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</si>
  <si>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</si>
  <si>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</si>
  <si>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</si>
  <si>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</si>
  <si>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</si>
  <si>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</si>
  <si>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</si>
  <si>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</si>
  <si>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</si>
  <si>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</si>
  <si>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</si>
  <si>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</si>
  <si>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</si>
  <si>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</si>
  <si>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</si>
  <si>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</si>
  <si>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</si>
  <si>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</si>
  <si>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</si>
  <si>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</si>
  <si>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</si>
  <si>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</si>
  <si>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</si>
  <si>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</si>
  <si>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</si>
  <si>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</si>
  <si>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</si>
  <si>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</si>
  <si>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</si>
  <si>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</si>
  <si>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</si>
  <si>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</si>
  <si>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</si>
  <si>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</si>
  <si>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</si>
  <si>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</si>
  <si>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</si>
  <si>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</si>
  <si>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</si>
  <si>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</si>
  <si>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</si>
  <si>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</si>
  <si>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</si>
  <si>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</si>
  <si>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</si>
  <si>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</si>
  <si>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</si>
  <si>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</si>
  <si>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</si>
  <si>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</si>
  <si>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</si>
  <si>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</si>
  <si>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</si>
  <si>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</si>
  <si>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</si>
  <si>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</si>
  <si>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</si>
  <si>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</si>
  <si>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</si>
  <si>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</si>
  <si>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</si>
  <si>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</si>
  <si>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</si>
  <si>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</si>
  <si>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</si>
  <si>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</si>
  <si>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</si>
  <si>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</si>
  <si>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</si>
  <si>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</si>
  <si>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</si>
  <si>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</si>
  <si>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</si>
  <si>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</si>
  <si>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</si>
  <si>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</si>
  <si>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</si>
  <si>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</si>
  <si>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</si>
  <si>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</si>
  <si>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</si>
  <si>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</si>
  <si>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</si>
  <si>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</si>
  <si>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</si>
  <si>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</si>
  <si>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</si>
  <si>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</si>
  <si>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</si>
  <si>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</si>
  <si>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</si>
  <si>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</si>
  <si>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</si>
  <si>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</si>
  <si>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</si>
  <si>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</si>
  <si>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</si>
  <si>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</si>
  <si>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</si>
  <si>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</si>
  <si>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</si>
  <si>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</si>
  <si>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</si>
  <si>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</si>
  <si>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</si>
  <si>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</si>
  <si>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</si>
  <si>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</si>
  <si>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</si>
  <si>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</si>
  <si>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</si>
  <si>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</si>
  <si>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</si>
  <si>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</si>
  <si>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</si>
  <si>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</si>
  <si>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</si>
  <si>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</si>
  <si>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</si>
  <si>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</si>
  <si>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</si>
  <si>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</si>
  <si>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</si>
  <si>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</si>
  <si>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</si>
  <si>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</si>
  <si>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</si>
  <si>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</si>
  <si>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</si>
  <si>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</si>
  <si>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</si>
  <si>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</si>
  <si>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</si>
  <si>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</si>
  <si>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</si>
  <si>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</si>
  <si>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</si>
  <si>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</si>
  <si>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</si>
  <si>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</si>
  <si>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</si>
  <si>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</si>
  <si>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</si>
  <si>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</si>
  <si>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</si>
  <si>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</si>
  <si>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</si>
  <si>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</si>
  <si>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</si>
  <si>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</si>
  <si>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</si>
  <si>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</si>
  <si>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</si>
  <si>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</si>
  <si>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</si>
  <si>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</si>
  <si>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</si>
  <si>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</si>
  <si>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</si>
  <si>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</si>
  <si>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</si>
  <si>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</si>
  <si>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</si>
  <si>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</si>
  <si>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</si>
  <si>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</si>
  <si>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</si>
  <si>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</si>
  <si>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</si>
  <si>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</si>
  <si>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</si>
  <si>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</si>
  <si>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</si>
  <si>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</si>
  <si>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</si>
  <si>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</si>
  <si>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</si>
  <si>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</si>
  <si>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</si>
  <si>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</si>
  <si>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</si>
  <si>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</si>
  <si>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</si>
  <si>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</si>
  <si>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</si>
  <si>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</si>
  <si>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</si>
  <si>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</si>
  <si>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</si>
  <si>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</si>
  <si>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</si>
  <si>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</si>
  <si>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</si>
  <si>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</si>
  <si>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</si>
  <si>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</si>
  <si>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</si>
  <si>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</si>
  <si>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</si>
  <si>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</si>
  <si>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</si>
  <si>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</si>
  <si>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</si>
  <si>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</si>
  <si>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</si>
  <si>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</si>
  <si>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</si>
  <si>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</si>
  <si>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</si>
  <si>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</si>
  <si>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</si>
  <si>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</si>
  <si>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</si>
  <si>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</si>
  <si>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</si>
  <si>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</si>
  <si>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</si>
  <si>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</si>
  <si>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</si>
  <si>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</si>
  <si>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</si>
  <si>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</si>
  <si>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</si>
  <si>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</si>
  <si>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</si>
  <si>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</si>
  <si>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</si>
  <si>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</si>
  <si>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</si>
  <si>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</si>
  <si>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</si>
  <si>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</si>
  <si>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</si>
  <si>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</si>
  <si>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</si>
  <si>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</si>
  <si>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</si>
  <si>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</si>
  <si>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</si>
  <si>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</si>
  <si>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</si>
  <si>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</si>
  <si>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</si>
  <si>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</si>
  <si>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</si>
  <si>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</si>
  <si>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</si>
  <si>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</si>
  <si>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</si>
  <si>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</si>
  <si>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</si>
  <si>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</si>
  <si>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</si>
  <si>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</si>
  <si>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</si>
  <si>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</si>
  <si>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</si>
  <si>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</si>
  <si>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</si>
  <si>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</si>
  <si>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</si>
  <si>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</si>
  <si>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</si>
  <si>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</si>
  <si>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</si>
  <si>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</si>
  <si>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</si>
  <si>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</si>
  <si>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</si>
  <si>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</si>
  <si>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</si>
  <si>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</si>
  <si>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</si>
  <si>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</si>
  <si>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</si>
  <si>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</si>
  <si>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</si>
  <si>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</si>
  <si>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</si>
  <si>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</si>
  <si>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</si>
  <si>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</si>
  <si>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</si>
  <si>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</si>
  <si>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</si>
  <si>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</si>
  <si>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</si>
  <si>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</si>
  <si>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</si>
  <si>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</si>
  <si>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</si>
  <si>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</si>
  <si>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</si>
  <si>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</si>
  <si>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</si>
  <si>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</si>
  <si>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</si>
  <si>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</si>
  <si>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</si>
  <si>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</si>
  <si>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</si>
  <si>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</si>
  <si>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</si>
  <si>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</si>
  <si>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</si>
  <si>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</si>
  <si>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</si>
  <si>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</si>
  <si>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</si>
  <si>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</si>
  <si>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</si>
  <si>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</si>
  <si>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</si>
  <si>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</si>
  <si>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</si>
  <si>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</si>
  <si>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</si>
  <si>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</si>
  <si>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</si>
  <si>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</si>
  <si>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</si>
  <si>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</si>
  <si>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</si>
  <si>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</si>
  <si>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</si>
  <si>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</si>
  <si>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</si>
  <si>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</si>
  <si>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</si>
  <si>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</si>
  <si>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</si>
  <si>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</si>
  <si>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</si>
  <si>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</si>
  <si>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</si>
  <si>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</si>
  <si>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</si>
  <si>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</si>
  <si>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</si>
  <si>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</si>
  <si>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</si>
  <si>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</si>
  <si>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</si>
  <si>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</si>
  <si>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</si>
  <si>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</si>
  <si>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</si>
  <si>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</si>
  <si>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</si>
  <si>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</si>
  <si>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</si>
  <si>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</si>
  <si>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</si>
  <si>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</si>
  <si>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</si>
  <si>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</si>
  <si>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</si>
  <si>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</si>
  <si>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</si>
  <si>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</si>
  <si>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</si>
  <si>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</si>
  <si>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</si>
  <si>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</si>
  <si>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</si>
  <si>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</si>
  <si>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</si>
  <si>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</si>
  <si>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</si>
  <si>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</si>
  <si>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</si>
  <si>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</si>
  <si>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</si>
  <si>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</si>
  <si>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</si>
  <si>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</si>
  <si>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</si>
  <si>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</si>
  <si>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</si>
  <si>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</si>
  <si>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</si>
  <si>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</si>
  <si>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</si>
  <si>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</si>
  <si>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</si>
  <si>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</si>
  <si>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</si>
  <si>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</si>
  <si>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</si>
  <si>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</si>
  <si>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</si>
  <si>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</si>
  <si>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</si>
  <si>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</si>
  <si>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</si>
  <si>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</si>
  <si>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</si>
  <si>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</si>
  <si>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</si>
  <si>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</si>
  <si>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</si>
  <si>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</si>
  <si>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</si>
  <si>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</si>
  <si>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</si>
  <si>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</si>
  <si>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</si>
  <si>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</si>
  <si>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</si>
  <si>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</si>
  <si>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</si>
  <si>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</si>
  <si>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</si>
  <si>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</si>
  <si>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</si>
  <si>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</si>
  <si>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</si>
  <si>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</si>
  <si>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</si>
  <si>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</si>
  <si>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</si>
  <si>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</si>
  <si>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</si>
  <si>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</si>
  <si>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</si>
  <si>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</si>
  <si>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</si>
  <si>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</si>
  <si>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</si>
  <si>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</si>
  <si>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</si>
  <si>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</si>
  <si>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</si>
  <si>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</si>
  <si>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</si>
  <si>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</si>
  <si>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</si>
  <si>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</si>
  <si>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</si>
  <si>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</si>
  <si>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</si>
  <si>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</si>
  <si>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</si>
  <si>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</si>
  <si>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</si>
  <si>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</si>
  <si>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</si>
  <si>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</si>
  <si>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</si>
  <si>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</si>
  <si>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</si>
  <si>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</si>
  <si>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</si>
  <si>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</si>
  <si>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</si>
  <si>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</si>
  <si>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</si>
  <si>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</si>
  <si>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</si>
  <si>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</si>
  <si>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</si>
  <si>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</si>
  <si>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</si>
  <si>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</si>
  <si>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</si>
  <si>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</si>
  <si>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</si>
  <si>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</si>
  <si>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</si>
  <si>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</si>
  <si>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</si>
  <si>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</si>
  <si>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</si>
  <si>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</si>
  <si>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</si>
  <si>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</si>
  <si>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</si>
  <si>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</si>
  <si>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</si>
  <si>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</si>
  <si>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</si>
  <si>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</si>
  <si>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</si>
  <si>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</si>
  <si>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</si>
  <si>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</si>
  <si>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</si>
  <si>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</si>
  <si>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</si>
  <si>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</si>
  <si>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</si>
  <si>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</si>
  <si>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</si>
  <si>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</si>
  <si>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</si>
  <si>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</si>
  <si>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</si>
  <si>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</si>
  <si>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</si>
  <si>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</si>
  <si>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</si>
  <si>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</si>
  <si>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</si>
  <si>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</si>
  <si>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</si>
  <si>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</si>
  <si>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</si>
  <si>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</si>
  <si>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</si>
  <si>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</si>
  <si>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</si>
  <si>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</si>
  <si>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</si>
  <si>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</si>
  <si>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</si>
  <si>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</si>
  <si>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</si>
  <si>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</si>
  <si>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</si>
  <si>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</si>
  <si>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</si>
  <si>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</si>
  <si>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</si>
  <si>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</si>
  <si>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</si>
  <si>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</si>
  <si>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</si>
  <si>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</si>
  <si>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</si>
  <si>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</si>
  <si>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</si>
  <si>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</si>
  <si>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</si>
  <si>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</si>
  <si>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</si>
  <si>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</si>
  <si>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</si>
  <si>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</si>
  <si>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</si>
  <si>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</si>
  <si>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</si>
  <si>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</si>
  <si>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</si>
  <si>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</si>
  <si>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</si>
  <si>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</si>
  <si>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</si>
  <si>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</si>
  <si>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</si>
  <si>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</si>
  <si>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</si>
  <si>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</si>
  <si>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</si>
  <si>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</si>
  <si>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</si>
  <si>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</si>
  <si>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</si>
  <si>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</si>
  <si>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</si>
  <si>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</si>
  <si>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</si>
  <si>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</si>
  <si>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</si>
  <si>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</si>
  <si>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</si>
  <si>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</si>
  <si>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</si>
  <si>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</si>
  <si>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</si>
  <si>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</si>
  <si>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</si>
  <si>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</si>
  <si>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</si>
  <si>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</si>
  <si>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</si>
  <si>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</si>
  <si>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</si>
  <si>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</si>
  <si>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</si>
  <si>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</si>
  <si>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</si>
  <si>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</si>
  <si>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</si>
  <si>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</si>
  <si>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</si>
  <si>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</si>
  <si>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</si>
  <si>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</si>
  <si>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</si>
  <si>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</si>
  <si>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</si>
  <si>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</si>
  <si>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</si>
  <si>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</si>
  <si>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</si>
  <si>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</si>
  <si>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</si>
  <si>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</si>
  <si>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</si>
  <si>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</si>
  <si>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</si>
  <si>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</si>
  <si>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</si>
  <si>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</si>
  <si>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</si>
  <si>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</si>
  <si>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</si>
  <si>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</si>
  <si>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</si>
  <si>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</si>
  <si>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</si>
  <si>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</si>
  <si>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</si>
  <si>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</si>
  <si>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</si>
  <si>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</si>
  <si>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</si>
  <si>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</si>
  <si>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</si>
  <si>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</si>
  <si>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</si>
  <si>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</si>
  <si>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</si>
  <si>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</si>
  <si>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</si>
  <si>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</si>
  <si>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</si>
  <si>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</si>
  <si>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</si>
  <si>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</si>
  <si>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</si>
  <si>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</si>
  <si>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</si>
  <si>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</si>
  <si>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</si>
  <si>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</si>
  <si>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</si>
  <si>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</si>
  <si>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</si>
  <si>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</si>
  <si>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</si>
  <si>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</si>
  <si>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</si>
  <si>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</si>
  <si>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</si>
  <si>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</si>
  <si>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</si>
  <si>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</si>
  <si>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</si>
  <si>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</si>
  <si>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</si>
  <si>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</si>
  <si>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</si>
  <si>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</si>
  <si>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</si>
  <si>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</si>
  <si>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</si>
  <si>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</si>
  <si>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</si>
  <si>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</si>
  <si>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</si>
  <si>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</si>
  <si>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</si>
  <si>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</si>
  <si>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</si>
  <si>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</si>
  <si>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</si>
  <si>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</si>
  <si>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</si>
  <si>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</si>
  <si>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</si>
  <si>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</si>
  <si>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</si>
  <si>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</si>
  <si>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</si>
  <si>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</si>
  <si>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</si>
  <si>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</si>
  <si>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</si>
  <si>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</si>
  <si>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</si>
  <si>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</si>
  <si>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</si>
  <si>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</si>
  <si>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</si>
  <si>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</si>
  <si>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</si>
  <si>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</si>
  <si>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</si>
  <si>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</si>
  <si>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</si>
  <si>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</si>
  <si>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</si>
  <si>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</si>
  <si>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</si>
  <si>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</si>
  <si>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</si>
  <si>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</si>
  <si>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</si>
  <si>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</si>
  <si>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</si>
  <si>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</si>
  <si>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</si>
  <si>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</si>
  <si>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</si>
  <si>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</si>
  <si>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</si>
  <si>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</si>
  <si>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</si>
  <si>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</si>
  <si>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</si>
  <si>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</si>
  <si>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</si>
  <si>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</si>
  <si>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</si>
  <si>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</si>
  <si>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</si>
  <si>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</si>
  <si>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</si>
  <si>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</si>
  <si>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</si>
  <si>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</si>
  <si>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</si>
  <si>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</si>
  <si>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</si>
  <si>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</si>
  <si>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</si>
  <si>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</si>
  <si>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</si>
  <si>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</si>
  <si>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</si>
  <si>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</si>
  <si>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</si>
  <si>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</si>
  <si>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</si>
  <si>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</si>
  <si>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</si>
  <si>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</si>
  <si>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</si>
  <si>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</si>
  <si>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</si>
  <si>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</si>
  <si>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</si>
  <si>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</si>
  <si>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</si>
  <si>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</si>
  <si>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</si>
  <si>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</si>
  <si>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</si>
  <si>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</si>
  <si>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</si>
  <si>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</si>
  <si>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</si>
  <si>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</si>
  <si>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</si>
  <si>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</si>
  <si>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</si>
  <si>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</si>
  <si>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</si>
  <si>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</si>
  <si>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</si>
  <si>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</si>
  <si>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</si>
  <si>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</si>
  <si>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</si>
  <si>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</si>
  <si>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</si>
  <si>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</si>
  <si>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</si>
  <si>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</si>
  <si>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</si>
  <si>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</si>
  <si>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</si>
  <si>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</si>
  <si>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</si>
  <si>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</si>
  <si>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</si>
  <si>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</si>
  <si>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</si>
  <si>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</si>
  <si>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</si>
  <si>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</si>
  <si>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</si>
  <si>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</si>
  <si>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</si>
  <si>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</si>
  <si>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</si>
  <si>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</si>
  <si>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</si>
  <si>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</si>
  <si>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</si>
  <si>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</si>
  <si>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</si>
  <si>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</si>
  <si>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</si>
  <si>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</si>
  <si>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</si>
  <si>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</si>
  <si>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</si>
  <si>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</si>
  <si>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</si>
  <si>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</si>
  <si>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</si>
  <si>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</si>
  <si>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</si>
  <si>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</si>
  <si>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</si>
  <si>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</si>
  <si>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</si>
  <si>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</si>
  <si>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</si>
  <si>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</si>
  <si>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</si>
  <si>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</si>
  <si>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</si>
  <si>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</si>
  <si>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</si>
  <si>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</si>
  <si>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</si>
  <si>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</si>
  <si>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</si>
  <si>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</si>
  <si>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</si>
  <si>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</si>
  <si>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</si>
  <si>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</si>
  <si>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</si>
  <si>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</si>
  <si>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</si>
  <si>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</si>
  <si>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</si>
  <si>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</si>
  <si>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</si>
  <si>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</si>
  <si>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</si>
  <si>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</si>
  <si>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</si>
  <si>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</si>
  <si>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</si>
  <si>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</si>
  <si>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</si>
  <si>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</si>
  <si>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</si>
  <si>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</si>
  <si>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</si>
  <si>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</si>
  <si>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</si>
  <si>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</si>
  <si>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</si>
  <si>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</si>
  <si>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</si>
  <si>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</si>
  <si>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</si>
  <si>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</si>
  <si>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</si>
  <si>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</si>
  <si>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</si>
  <si>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</si>
  <si>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</si>
  <si>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</si>
  <si>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</si>
  <si>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</si>
  <si>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</si>
  <si>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</si>
  <si>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</si>
  <si>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</si>
  <si>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</si>
  <si>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</si>
  <si>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</si>
  <si>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</si>
  <si>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</si>
  <si>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</si>
  <si>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</si>
  <si>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</si>
  <si>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</si>
  <si>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</si>
  <si>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</si>
  <si>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</si>
  <si>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</si>
  <si>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</si>
  <si>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</si>
  <si>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</si>
  <si>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</si>
  <si>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</si>
  <si>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</si>
  <si>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</si>
  <si>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</si>
  <si>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</si>
  <si>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</si>
  <si>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</si>
  <si>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</si>
  <si>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</si>
  <si>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</si>
  <si>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</si>
  <si>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</si>
  <si>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</si>
  <si>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</si>
  <si>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</si>
  <si>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</si>
  <si>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</si>
  <si>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</si>
  <si>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</si>
  <si>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</si>
  <si>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</si>
  <si>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</si>
  <si>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</si>
  <si>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</si>
  <si>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</si>
  <si>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</si>
  <si>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</si>
  <si>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</si>
  <si>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</si>
  <si>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</si>
  <si>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</si>
  <si>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</si>
  <si>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</si>
  <si>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</si>
  <si>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</si>
  <si>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</si>
  <si>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</si>
  <si>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</si>
  <si>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</si>
  <si>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</si>
  <si>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</si>
  <si>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</si>
  <si>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</si>
  <si>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</si>
  <si>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</si>
  <si>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</si>
  <si>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</si>
  <si>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</si>
  <si>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</si>
  <si>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</si>
  <si>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</si>
  <si>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</si>
  <si>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</si>
  <si>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</si>
  <si>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</si>
  <si>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</si>
  <si>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</si>
  <si>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</si>
  <si>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</si>
  <si>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</si>
  <si>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</si>
  <si>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</si>
  <si>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</si>
  <si>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</si>
  <si>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</si>
  <si>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</si>
  <si>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</si>
  <si>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</si>
  <si>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</si>
  <si>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</si>
  <si>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</si>
  <si>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</si>
  <si>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</si>
  <si>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</si>
  <si>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</si>
  <si>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</si>
  <si>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</si>
  <si>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</si>
  <si>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</si>
  <si>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</si>
  <si>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</si>
  <si>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</si>
  <si>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</si>
  <si>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</si>
  <si>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</si>
  <si>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</si>
  <si>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</si>
  <si>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</si>
  <si>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</si>
  <si>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</si>
  <si>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</si>
  <si>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</si>
  <si>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</si>
  <si>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</si>
  <si>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</si>
  <si>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</si>
  <si>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</si>
  <si>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</si>
  <si>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</si>
  <si>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</si>
  <si>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</si>
  <si>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</si>
  <si>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</si>
  <si>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</si>
  <si>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</si>
  <si>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</si>
  <si>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</si>
  <si>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</si>
  <si>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</si>
  <si>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</si>
  <si>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</si>
  <si>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</si>
  <si>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</si>
  <si>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</si>
  <si>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</si>
  <si>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</si>
  <si>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</si>
  <si>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</si>
  <si>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</si>
  <si>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</si>
  <si>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</si>
  <si>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</si>
  <si>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</si>
  <si>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</si>
  <si>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</si>
  <si>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</si>
  <si>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</si>
  <si>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</si>
  <si>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</si>
  <si>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</si>
  <si>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</si>
  <si>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</si>
  <si>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</si>
  <si>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</si>
  <si>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</si>
  <si>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</si>
  <si>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</si>
  <si>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</si>
  <si>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</si>
  <si>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</si>
  <si>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</si>
  <si>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</si>
  <si>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</si>
  <si>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</si>
  <si>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</si>
  <si>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</si>
  <si>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</si>
  <si>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</si>
  <si>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</si>
  <si>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</si>
  <si>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</si>
  <si>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</si>
  <si>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</si>
  <si>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</si>
  <si>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</si>
  <si>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</si>
  <si>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</si>
  <si>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</si>
  <si>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</si>
  <si>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</si>
  <si>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</si>
  <si>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</si>
  <si>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</si>
  <si>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</si>
  <si>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</si>
  <si>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</si>
  <si>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</si>
  <si>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</si>
  <si>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</si>
  <si>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</si>
  <si>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</si>
  <si>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</si>
  <si>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</si>
  <si>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</si>
  <si>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</si>
  <si>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</si>
  <si>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</si>
  <si>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</si>
  <si>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</si>
  <si>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</si>
  <si>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</si>
  <si>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</si>
  <si>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</si>
  <si>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</si>
  <si>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</si>
  <si>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</si>
  <si>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</si>
  <si>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</si>
  <si>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</si>
  <si>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</si>
  <si>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</si>
  <si>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</si>
  <si>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</si>
  <si>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</si>
  <si>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</si>
  <si>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</si>
  <si>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</si>
  <si>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</si>
  <si>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</si>
  <si>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</si>
  <si>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</si>
  <si>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</si>
  <si>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</si>
  <si>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</si>
  <si>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</si>
  <si>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</si>
  <si>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</si>
  <si>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</si>
  <si>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</si>
  <si>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</si>
  <si>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</si>
  <si>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</si>
  <si>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</si>
  <si>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</si>
  <si>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</si>
  <si>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</si>
  <si>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</si>
  <si>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</si>
  <si>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</si>
  <si>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</si>
  <si>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</si>
  <si>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</si>
  <si>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</si>
  <si>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</si>
  <si>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</si>
  <si>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</si>
  <si>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</si>
  <si>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</si>
  <si>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</si>
  <si>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</si>
  <si>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</si>
  <si>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</si>
  <si>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</si>
  <si>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</si>
  <si>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</si>
  <si>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</si>
  <si>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</si>
  <si>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</si>
  <si>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</si>
  <si>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</si>
  <si>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</si>
  <si>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</si>
  <si>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</si>
  <si>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</si>
  <si>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</si>
  <si>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</si>
  <si>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</si>
  <si>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</si>
  <si>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</si>
  <si>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</si>
  <si>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</si>
  <si>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</si>
  <si>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</si>
  <si>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</si>
  <si>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</si>
  <si>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</si>
  <si>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</si>
  <si>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</si>
  <si>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</si>
  <si>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</si>
  <si>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</si>
  <si>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</si>
  <si>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</si>
  <si>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</si>
  <si>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</si>
  <si>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</si>
  <si>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</si>
  <si>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</si>
  <si>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</si>
  <si>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</si>
  <si>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</si>
  <si>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</si>
  <si>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</si>
  <si>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住宅</t>
    <phoneticPr fontId="3"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</si>
  <si>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</si>
  <si>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</si>
  <si>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</si>
  <si>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</si>
  <si>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</si>
  <si>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</si>
  <si>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</si>
  <si>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</si>
  <si>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</si>
  <si>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</si>
  <si>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</si>
  <si>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</si>
  <si>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</si>
  <si>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</si>
  <si>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</si>
  <si>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</si>
  <si>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</si>
  <si>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</si>
  <si>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</si>
  <si>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</si>
  <si>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</si>
  <si>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</si>
  <si>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</si>
  <si>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</si>
  <si>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</si>
  <si>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</si>
  <si>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</si>
  <si>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</si>
  <si>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</si>
  <si>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</si>
  <si>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</si>
  <si>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</si>
  <si>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</si>
  <si>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</si>
  <si>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</si>
  <si>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</si>
  <si>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</si>
  <si>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</si>
  <si>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</si>
  <si>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</si>
  <si>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</si>
  <si>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</si>
  <si>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</si>
  <si>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</si>
  <si>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</si>
  <si>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</si>
  <si>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</si>
  <si>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</si>
  <si>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</si>
  <si>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</si>
  <si>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</si>
  <si>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</si>
  <si>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</si>
  <si>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</si>
  <si>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</si>
  <si>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</si>
  <si>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</si>
  <si>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</si>
  <si>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</si>
  <si>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</si>
  <si>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</si>
  <si>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</si>
  <si>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</si>
  <si>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</si>
  <si>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</si>
  <si>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</si>
  <si>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</si>
  <si>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</si>
  <si>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</si>
  <si>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</si>
  <si>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</si>
  <si>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</si>
  <si>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</si>
  <si>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</si>
  <si>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</si>
  <si>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</si>
  <si>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</si>
  <si>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</si>
  <si>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</si>
  <si>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</si>
  <si>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</si>
  <si>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</si>
  <si>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</si>
  <si>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</si>
  <si>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</si>
  <si>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</si>
  <si>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</si>
  <si>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</si>
  <si>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</si>
  <si>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</si>
  <si>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</si>
  <si>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</si>
  <si>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</si>
  <si>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</si>
  <si>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</si>
  <si>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</si>
  <si>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</si>
  <si>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</si>
  <si>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</si>
  <si>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</si>
  <si>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</si>
  <si>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</si>
  <si>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</si>
  <si>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</si>
  <si>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</si>
  <si>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</si>
  <si>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</si>
  <si>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</si>
  <si>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</si>
  <si>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</si>
  <si>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</si>
  <si>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</si>
  <si>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</si>
  <si>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</si>
  <si>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</si>
  <si>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</si>
  <si>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</si>
  <si>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</si>
  <si>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</si>
  <si>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</si>
  <si>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</si>
  <si>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</si>
  <si>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</si>
  <si>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</si>
  <si>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</si>
  <si>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</si>
  <si>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</si>
  <si>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</si>
  <si>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</si>
  <si>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</si>
  <si>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</si>
  <si>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</si>
  <si>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</si>
  <si>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</si>
  <si>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</si>
  <si>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</si>
  <si>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</si>
  <si>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</si>
  <si>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</si>
  <si>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</si>
  <si>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</si>
  <si>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</si>
  <si>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</si>
  <si>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</si>
  <si>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</si>
  <si>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</si>
  <si>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</si>
  <si>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</si>
  <si>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</si>
  <si>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</si>
  <si>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</si>
  <si>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</si>
  <si>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</si>
  <si>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</si>
  <si>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</si>
  <si>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</si>
  <si>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</si>
  <si>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</si>
  <si>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</si>
  <si>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</si>
  <si>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</si>
  <si>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</si>
  <si>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</si>
  <si>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</si>
  <si>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</si>
  <si>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</si>
  <si>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</si>
  <si>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</si>
  <si>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</si>
  <si>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</si>
  <si>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</si>
  <si>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</si>
  <si>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</si>
  <si>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</si>
  <si>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</si>
  <si>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</si>
  <si>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</si>
  <si>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</si>
  <si>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</si>
  <si>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</si>
  <si>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</si>
  <si>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</si>
  <si>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</si>
  <si>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</si>
  <si>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</si>
  <si>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</si>
  <si>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</si>
  <si>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</si>
  <si>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</si>
  <si>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</si>
  <si>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</si>
  <si>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</si>
  <si>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</si>
  <si>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</si>
  <si>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</si>
  <si>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</si>
  <si>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</si>
  <si>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</si>
  <si>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</si>
  <si>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</si>
  <si>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</si>
  <si>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</si>
  <si>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</si>
  <si>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</si>
  <si>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</si>
  <si>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</si>
  <si>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</si>
  <si>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</si>
  <si>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</si>
  <si>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</si>
  <si>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</si>
  <si>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</si>
  <si>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</si>
  <si>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</si>
  <si>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</si>
  <si>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</si>
  <si>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</si>
  <si>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</si>
  <si>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</si>
  <si>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</si>
  <si>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</si>
  <si>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</si>
  <si>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</si>
  <si>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</si>
  <si>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</si>
  <si>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</si>
  <si>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</si>
  <si>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</si>
  <si>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</si>
  <si>
    <t>契税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</si>
</sst>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133350</xdr:rowOff>
    </xdr:from>
    <xdr:to>
      <xdr:col>10</xdr:col>
      <xdr:colOff>94210</xdr:colOff>
      <xdr:row>91</xdr:row>
      <xdr:rowOff>151561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21326;&#21830;&#1999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2748</v>
          </cell>
        </row>
        <row r="38">
          <cell r="K38">
            <v>27569</v>
          </cell>
          <cell r="L38">
            <v>44109.97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2740</v>
          </cell>
        </row>
      </sheetData>
      <sheetData sheetId="16">
        <row r="35">
          <cell r="G35">
            <v>119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康正预评字2019-1-0501-P01DYGJ2号</v>
      </c>
    </row>
    <row r="6" spans="1:55" s="2857" customFormat="1" ht="15"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2347</v>
      </c>
    </row>
    <row r="47" spans="1:2">
      <c r="A47" s="2833" t="s">
        <v>2720</v>
      </c>
      <c r="B47" s="2834">
        <f ca="1">'预评函-2'!Q5</f>
        <v>2133</v>
      </c>
    </row>
    <row r="48" spans="1:2">
      <c r="A48" s="2833" t="s">
        <v>2721</v>
      </c>
      <c r="B48" s="2834">
        <f ca="1">'预评函-2'!R5</f>
        <v>16804</v>
      </c>
    </row>
    <row r="49" spans="1:2">
      <c r="A49" s="2833" t="s">
        <v>2737</v>
      </c>
      <c r="B49" s="2834" t="str">
        <f>'预评函-2'!A6</f>
        <v>抵押价格</v>
      </c>
    </row>
    <row r="50" spans="1:2">
      <c r="A50" s="2833" t="s">
        <v>2722</v>
      </c>
      <c r="B50" s="2834">
        <f ca="1">'预评函-2'!R6</f>
        <v>16367</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综上，本次评估估价师知悉的法定优先受偿款为人民币437万元整。</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7" sqref="I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9" t="str">
        <f>IF(B10="北京市","北京市",C10)&amp;F10&amp;B16&amp;"国有建设用地使用权"&amp;B9&amp;"预评估"</f>
        <v>出让国有建设用地使用权抵押价格预评估</v>
      </c>
      <c r="C1" s="3250"/>
      <c r="D1" s="3250"/>
      <c r="E1" s="3250"/>
      <c r="F1" s="3250"/>
      <c r="G1" s="3250"/>
      <c r="H1" s="3250"/>
      <c r="I1" s="3251"/>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3225</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3226</v>
      </c>
      <c r="C4" s="1830">
        <f ca="1">SUMIF(土地估价师,B4,估价师及机构信息!E3:E24)</f>
        <v>2002110125</v>
      </c>
      <c r="D4" s="1827" t="s">
        <v>3227</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3224</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55" t="s">
        <v>1943</v>
      </c>
      <c r="E8" s="1828" t="s">
        <v>3010</v>
      </c>
      <c r="F8" s="1656"/>
      <c r="G8" s="1644"/>
      <c r="H8" s="1644"/>
      <c r="I8" s="1691"/>
      <c r="J8" s="1678"/>
      <c r="K8" s="1758"/>
      <c r="L8" s="1707"/>
      <c r="M8" s="1707"/>
      <c r="N8" s="1678"/>
      <c r="O8" s="1679"/>
      <c r="P8" s="1678"/>
      <c r="Q8" s="1678"/>
      <c r="R8" s="1678"/>
      <c r="S8" s="1678"/>
      <c r="T8" s="1678"/>
      <c r="U8" s="1678"/>
    </row>
    <row r="9" spans="1:21" ht="15" thickBot="1">
      <c r="A9" s="1657" t="s">
        <v>1942</v>
      </c>
      <c r="B9" s="1658" t="s">
        <v>3010</v>
      </c>
      <c r="C9" s="1659"/>
      <c r="D9" s="3256"/>
      <c r="E9" s="1658"/>
      <c r="F9" s="1731"/>
      <c r="G9" s="1726"/>
      <c r="H9" s="1726"/>
      <c r="I9" s="1727"/>
      <c r="J9" s="1678"/>
      <c r="K9" s="1758"/>
      <c r="L9" s="1707"/>
      <c r="M9" s="1707"/>
      <c r="N9" s="1678"/>
      <c r="O9" s="1679"/>
      <c r="P9" s="1678"/>
      <c r="Q9" s="1678"/>
      <c r="R9" s="1678"/>
      <c r="S9" s="1678"/>
      <c r="T9" s="1678"/>
      <c r="U9" s="1678"/>
    </row>
    <row r="10" spans="1:21" ht="15" thickTop="1">
      <c r="A10" s="1728" t="s">
        <v>1996</v>
      </c>
      <c r="B10" s="1703" t="s">
        <v>3011</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52"/>
      <c r="C12" s="3253"/>
      <c r="D12" s="3254"/>
      <c r="E12" s="1683" t="s">
        <v>2058</v>
      </c>
      <c r="F12" s="3270" t="s">
        <v>2885</v>
      </c>
      <c r="G12" s="3271"/>
      <c r="H12" s="3271"/>
      <c r="I12" s="3272"/>
      <c r="J12" s="1678"/>
      <c r="K12" s="1758"/>
      <c r="L12" s="1707"/>
      <c r="M12" s="1707"/>
      <c r="N12" s="1678"/>
      <c r="O12" s="1679"/>
      <c r="P12" s="1678"/>
      <c r="Q12" s="1678"/>
      <c r="R12" s="1678"/>
      <c r="S12" s="1678"/>
      <c r="T12" s="1678"/>
      <c r="U12" s="1678"/>
    </row>
    <row r="13" spans="1:21">
      <c r="A13" s="1671" t="s">
        <v>2056</v>
      </c>
      <c r="B13" s="3252"/>
      <c r="C13" s="3253"/>
      <c r="D13" s="3254"/>
      <c r="E13" s="1683" t="s">
        <v>2058</v>
      </c>
      <c r="F13" s="3270" t="s">
        <v>2886</v>
      </c>
      <c r="G13" s="3271"/>
      <c r="H13" s="3271"/>
      <c r="I13" s="3272"/>
      <c r="J13" s="1678"/>
      <c r="K13" s="1758"/>
      <c r="L13" s="1707"/>
      <c r="M13" s="1707"/>
      <c r="N13" s="1678"/>
      <c r="O13" s="1679"/>
      <c r="P13" s="1678"/>
      <c r="Q13" s="1678"/>
      <c r="R13" s="1678"/>
      <c r="S13" s="1678"/>
      <c r="T13" s="1678"/>
      <c r="U13" s="1678"/>
    </row>
    <row r="14" spans="1:21">
      <c r="A14" s="1645" t="s">
        <v>2059</v>
      </c>
      <c r="B14" s="1683"/>
      <c r="C14" s="1829" t="s">
        <v>3013</v>
      </c>
      <c r="D14" s="1717" t="str">
        <f>IF(C14="不一致","是否符合证载地类范围","")</f>
        <v/>
      </c>
      <c r="E14" s="1683"/>
      <c r="F14" s="1774" t="s">
        <v>3014</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67"/>
      <c r="E20" s="3268"/>
      <c r="F20" s="3268"/>
      <c r="G20" s="3268"/>
      <c r="H20" s="3268"/>
      <c r="I20" s="3269"/>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57" t="s">
        <v>1995</v>
      </c>
      <c r="F21" s="3258"/>
      <c r="G21" s="3258"/>
      <c r="H21" s="3258"/>
      <c r="I21" s="3259"/>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57" t="s">
        <v>2887</v>
      </c>
      <c r="F22" s="3258"/>
      <c r="G22" s="3258"/>
      <c r="H22" s="3258"/>
      <c r="I22" s="3259"/>
      <c r="J22" s="1678"/>
      <c r="K22" s="1758"/>
      <c r="L22" s="1707"/>
      <c r="M22" s="1707"/>
      <c r="N22" s="1678"/>
      <c r="O22" s="1679"/>
      <c r="P22" s="1678"/>
      <c r="Q22" s="1678"/>
      <c r="R22" s="1678"/>
      <c r="S22" s="1678"/>
      <c r="T22" s="1678"/>
      <c r="U22" s="1678"/>
    </row>
    <row r="23" spans="1:21" ht="43.5" thickBot="1">
      <c r="A23" s="1749" t="s">
        <v>1961</v>
      </c>
      <c r="B23" s="1685" t="s">
        <v>1962</v>
      </c>
      <c r="C23" s="1686" t="s">
        <v>3228</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60" t="s">
        <v>1965</v>
      </c>
      <c r="C24" s="3261"/>
      <c r="D24" s="3262" t="s">
        <v>1966</v>
      </c>
      <c r="E24" s="3263"/>
      <c r="F24" s="1692" t="s">
        <v>1967</v>
      </c>
      <c r="G24" s="1678"/>
      <c r="H24" s="1678"/>
      <c r="I24" s="1691"/>
      <c r="J24" s="1678"/>
      <c r="K24" s="3248"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2322</v>
      </c>
      <c r="C25" s="1693" t="s">
        <v>2323</v>
      </c>
      <c r="D25" s="1694"/>
      <c r="E25" s="1695" t="s">
        <v>951</v>
      </c>
      <c r="F25" s="1696"/>
      <c r="G25" s="1678"/>
      <c r="H25" s="1678"/>
      <c r="I25" s="1691"/>
      <c r="J25" s="1678"/>
      <c r="K25" s="324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t="s">
        <v>951</v>
      </c>
      <c r="C26" s="1693" t="s">
        <v>951</v>
      </c>
      <c r="D26" s="1644"/>
      <c r="E26" s="1644"/>
      <c r="F26" s="1672"/>
      <c r="G26" s="1678"/>
      <c r="H26" s="1678"/>
      <c r="I26" s="1691"/>
      <c r="J26" s="1678"/>
      <c r="K26" s="324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75" t="s">
        <v>1998</v>
      </c>
      <c r="B31" s="1748" t="s">
        <v>1999</v>
      </c>
      <c r="C31" s="3273"/>
      <c r="D31" s="3274"/>
      <c r="E31" s="1678"/>
      <c r="F31" s="1678"/>
      <c r="G31" s="1678"/>
      <c r="H31" s="1678"/>
      <c r="I31" s="1691"/>
      <c r="J31" s="1678"/>
      <c r="K31" s="2422"/>
      <c r="L31" s="1678"/>
      <c r="M31" s="1678"/>
      <c r="N31" s="1678"/>
      <c r="O31" s="1678"/>
      <c r="P31" s="1678"/>
      <c r="Q31" s="1678"/>
      <c r="R31" s="1678"/>
      <c r="S31" s="1678"/>
      <c r="T31" s="1678"/>
      <c r="U31" s="1678"/>
    </row>
    <row r="32" spans="1:21">
      <c r="A32" s="3275"/>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5"/>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6"/>
      <c r="B34" s="1645" t="s">
        <v>2002</v>
      </c>
      <c r="C34" s="3277"/>
      <c r="D34" s="3278"/>
      <c r="E34" s="1678"/>
      <c r="F34" s="1678"/>
      <c r="G34" s="1678"/>
      <c r="H34" s="1678"/>
      <c r="I34" s="1691"/>
      <c r="J34" s="1678"/>
      <c r="K34" s="2422"/>
      <c r="L34" s="1678"/>
      <c r="M34" s="1678"/>
      <c r="N34" s="1678"/>
      <c r="O34" s="1678"/>
      <c r="P34" s="1678"/>
      <c r="Q34" s="1678"/>
      <c r="R34" s="1678"/>
      <c r="S34" s="1678"/>
      <c r="T34" s="1678"/>
      <c r="U34" s="1678"/>
    </row>
    <row r="35" spans="1:21">
      <c r="A35" s="3279" t="s">
        <v>846</v>
      </c>
      <c r="B35" s="1706"/>
      <c r="C35" s="1760" t="str">
        <f>IF(B35="场地平整","——","具体情况：")</f>
        <v>具体情况：</v>
      </c>
      <c r="D35" s="3281"/>
      <c r="E35" s="3282"/>
      <c r="F35" s="3282"/>
      <c r="G35" s="3282"/>
      <c r="H35" s="3282"/>
      <c r="I35" s="3283"/>
      <c r="J35" s="1678"/>
      <c r="K35" s="1759"/>
      <c r="L35" s="1707"/>
      <c r="M35" s="1707"/>
      <c r="N35" s="1678"/>
      <c r="O35" s="1679"/>
      <c r="P35" s="1678"/>
      <c r="Q35" s="1678"/>
      <c r="R35" s="1678"/>
      <c r="S35" s="1678"/>
      <c r="T35" s="1678"/>
      <c r="U35" s="1678"/>
    </row>
    <row r="36" spans="1:21">
      <c r="A36" s="3275"/>
      <c r="B36" s="3284" t="s">
        <v>2051</v>
      </c>
      <c r="C36" s="3285"/>
      <c r="D36" s="1776"/>
      <c r="E36" s="3286"/>
      <c r="F36" s="3286"/>
      <c r="G36" s="1671" t="str">
        <f>IF(B35="场地未平整","估价结果处理","")</f>
        <v/>
      </c>
      <c r="H36" s="3287"/>
      <c r="I36" s="3287"/>
      <c r="J36" s="1678"/>
      <c r="K36" s="1759"/>
      <c r="L36" s="1707"/>
      <c r="M36" s="1707"/>
      <c r="N36" s="1678"/>
      <c r="O36" s="1679"/>
      <c r="P36" s="1678"/>
      <c r="Q36" s="1678"/>
      <c r="R36" s="1678"/>
      <c r="S36" s="1678"/>
      <c r="T36" s="1678"/>
      <c r="U36" s="1678"/>
    </row>
    <row r="37" spans="1:21" ht="28.5">
      <c r="A37" s="3275"/>
      <c r="B37" s="3264"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5"/>
      <c r="B38" s="3265"/>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76"/>
      <c r="B39" s="326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3229</v>
      </c>
      <c r="C40" s="1674" t="s">
        <v>3230</v>
      </c>
      <c r="D40" s="1674" t="s">
        <v>3231</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47" t="s">
        <v>1982</v>
      </c>
      <c r="T40" s="1715" t="str">
        <f>NUMBERSTRING(7-K40,1)&amp;"通"</f>
        <v>七通</v>
      </c>
      <c r="U40" s="1678"/>
    </row>
    <row r="41" spans="1:21">
      <c r="A41" s="1647"/>
      <c r="B41" s="3280" t="s">
        <v>1720</v>
      </c>
      <c r="C41" s="3280"/>
      <c r="D41" s="3280"/>
      <c r="E41" s="3280"/>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47"/>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0" sqref="K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2.75">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3007</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9" t="s">
        <v>203</v>
      </c>
      <c r="B2" s="3299"/>
      <c r="C2" s="3299"/>
      <c r="D2" s="1960" t="s">
        <v>204</v>
      </c>
      <c r="E2" s="106" t="s">
        <v>205</v>
      </c>
      <c r="F2" s="1969"/>
      <c r="G2" s="1194"/>
      <c r="H2" s="1195"/>
      <c r="I2" s="1196" t="s">
        <v>856</v>
      </c>
      <c r="J2" s="1969"/>
      <c r="K2" s="1969"/>
      <c r="L2" s="1969"/>
    </row>
    <row r="3" spans="1:16" ht="15.75" thickBot="1">
      <c r="A3" s="3300" t="s">
        <v>206</v>
      </c>
      <c r="B3" s="3300"/>
      <c r="C3" s="3300"/>
      <c r="D3" s="107">
        <f>'数据-基础表'!AY6</f>
        <v>71608</v>
      </c>
      <c r="E3" s="107">
        <f>'数据-基础表'!AZ5</f>
        <v>78769.05</v>
      </c>
      <c r="F3" s="1969"/>
      <c r="G3" s="280" t="s">
        <v>857</v>
      </c>
      <c r="H3" s="275" t="s">
        <v>858</v>
      </c>
      <c r="I3" s="1961">
        <f>ROUND('数据-基础表'!B3/'数据-基础表'!A3,2)</f>
        <v>1.1000000000000001</v>
      </c>
      <c r="J3" s="1969"/>
      <c r="K3" s="1969"/>
      <c r="L3" s="1969"/>
    </row>
    <row r="4" spans="1:16" ht="15">
      <c r="A4" s="3301"/>
      <c r="B4" s="3302"/>
      <c r="C4" s="3303"/>
      <c r="D4" s="108" t="s">
        <v>204</v>
      </c>
      <c r="E4" s="109" t="s">
        <v>205</v>
      </c>
      <c r="F4" s="1969"/>
      <c r="G4" s="1197"/>
      <c r="H4" s="275" t="s">
        <v>859</v>
      </c>
      <c r="I4" s="1961">
        <f>ROUND(SUMIF('数据-基础表'!I9:AS9,"地上",'数据-基础表'!I5:AS5)/'数据-基础表'!A3,2)</f>
        <v>1.1000000000000001</v>
      </c>
      <c r="J4" s="1969"/>
      <c r="K4" s="1969"/>
      <c r="L4" s="1969"/>
    </row>
    <row r="5" spans="1:16">
      <c r="A5" s="110" t="s">
        <v>207</v>
      </c>
      <c r="B5" s="3304" t="s">
        <v>230</v>
      </c>
      <c r="C5" s="3304"/>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04" t="s">
        <v>208</v>
      </c>
      <c r="C6" s="3304"/>
      <c r="D6" s="111">
        <f>ROUND($D$3*E6/$E$3,2)</f>
        <v>2290.9</v>
      </c>
      <c r="E6" s="112">
        <f>E3-E5</f>
        <v>2520</v>
      </c>
      <c r="F6" s="1969"/>
      <c r="G6" s="1197"/>
      <c r="H6" s="275" t="s">
        <v>859</v>
      </c>
      <c r="I6" s="1961">
        <f>ROUND(F31/D31,2)</f>
        <v>1.1000000000000001</v>
      </c>
      <c r="J6" s="1969"/>
      <c r="K6" s="1969"/>
      <c r="L6" s="1969"/>
    </row>
    <row r="7" spans="1:16" ht="15">
      <c r="A7" s="3296"/>
      <c r="B7" s="3297"/>
      <c r="C7" s="3298"/>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69317.100000000006</v>
      </c>
      <c r="E16" s="120">
        <f>SUM(E8:E15)</f>
        <v>76249.05</v>
      </c>
      <c r="F16" s="1969"/>
      <c r="G16" s="1971"/>
      <c r="H16" s="968" t="s">
        <v>219</v>
      </c>
      <c r="I16" s="969"/>
      <c r="J16" s="1969"/>
      <c r="K16" s="3290" t="s">
        <v>2563</v>
      </c>
      <c r="L16" s="3291"/>
      <c r="M16" s="3291"/>
      <c r="N16" s="3291"/>
      <c r="O16" s="3291"/>
      <c r="P16" s="3292"/>
    </row>
    <row r="17" spans="1:19" ht="15">
      <c r="A17" s="121" t="s">
        <v>216</v>
      </c>
      <c r="B17" s="122" t="s">
        <v>217</v>
      </c>
      <c r="C17" s="2283" t="s">
        <v>2310</v>
      </c>
      <c r="D17" s="108" t="s">
        <v>204</v>
      </c>
      <c r="E17" s="124" t="s">
        <v>205</v>
      </c>
      <c r="F17" s="125"/>
      <c r="G17" s="1362"/>
      <c r="H17" s="970" t="s">
        <v>218</v>
      </c>
      <c r="I17" s="971" t="s">
        <v>2309</v>
      </c>
      <c r="J17" s="1969"/>
      <c r="K17" s="3293" t="s">
        <v>2564</v>
      </c>
      <c r="L17" s="3294"/>
      <c r="M17" s="3295"/>
      <c r="N17" s="3293" t="s">
        <v>2565</v>
      </c>
      <c r="O17" s="3294"/>
      <c r="P17" s="3295"/>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3009</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O25" sqref="O2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3000</v>
      </c>
      <c r="M6" s="177">
        <f t="shared" ref="M6:M14" si="0">ROUND(K6*L6/10000,0)</f>
        <v>22875</v>
      </c>
      <c r="N6" s="2980">
        <v>0</v>
      </c>
      <c r="O6" s="177">
        <f>IF($N$5="成新度","——",ROUND(M6*N6,0))</f>
        <v>0</v>
      </c>
      <c r="P6" s="178">
        <f>IF($N$5="成新度","——",M6-O6)</f>
        <v>22875</v>
      </c>
      <c r="Q6" s="2981">
        <v>0.25</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2974</v>
      </c>
      <c r="M16" s="206">
        <f>SUM(M6:M14)</f>
        <v>23429</v>
      </c>
      <c r="N16" s="207">
        <f>ROUND(SUMPRODUCT(M6:M14,N6:N14)/M16,3)</f>
        <v>0</v>
      </c>
      <c r="O16" s="206">
        <f>SUM(O6:O14)</f>
        <v>0</v>
      </c>
      <c r="P16" s="206">
        <f>SUM(P6:P14)</f>
        <v>23429</v>
      </c>
      <c r="Q16" s="208">
        <f>ROUND(SUMPRODUCT(Q6:Q13,K6:K13)/SUMPRODUCT((Q6:Q13&gt;0)*(K6:K13)),2)</f>
        <v>0.25</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5" t="s">
        <v>1662</v>
      </c>
      <c r="B1" s="3306"/>
      <c r="C1" s="3306"/>
      <c r="D1" s="3306"/>
      <c r="E1" s="3306"/>
      <c r="F1" s="3306"/>
      <c r="G1" s="3306"/>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42.75">
      <c r="A3" s="1223" t="s">
        <v>1665</v>
      </c>
      <c r="B3" s="1224" t="s">
        <v>1652</v>
      </c>
      <c r="C3" s="3214" t="s">
        <v>3234</v>
      </c>
      <c r="D3" s="1994"/>
      <c r="E3" s="1225" t="s">
        <v>1665</v>
      </c>
      <c r="F3" s="1226" t="s">
        <v>1653</v>
      </c>
      <c r="G3" s="3035" t="s">
        <v>2916</v>
      </c>
      <c r="H3" s="1993"/>
      <c r="I3" s="1993"/>
      <c r="J3" s="1993"/>
      <c r="K3" s="1993"/>
      <c r="L3" s="1993"/>
      <c r="M3" s="1993"/>
      <c r="N3" s="1993"/>
      <c r="O3" s="1993"/>
      <c r="P3" s="1993"/>
      <c r="Q3" s="1993"/>
      <c r="R3" s="1993"/>
    </row>
    <row r="4" spans="1:18" ht="40.5">
      <c r="A4" s="1225"/>
      <c r="B4" s="1227" t="s">
        <v>1666</v>
      </c>
      <c r="C4" s="3215" t="s">
        <v>3235</v>
      </c>
      <c r="D4" s="1994"/>
      <c r="E4" s="1228"/>
      <c r="F4" s="1229" t="s">
        <v>1667</v>
      </c>
      <c r="G4" s="3033" t="s">
        <v>2913</v>
      </c>
      <c r="H4" s="1993"/>
      <c r="I4" s="1993"/>
      <c r="J4" s="1993"/>
      <c r="K4" s="1993"/>
      <c r="L4" s="1993"/>
      <c r="M4" s="1993"/>
      <c r="N4" s="1993"/>
      <c r="O4" s="1993"/>
      <c r="P4" s="1993"/>
      <c r="Q4" s="1993"/>
      <c r="R4" s="1993"/>
    </row>
    <row r="5" spans="1:18" ht="27">
      <c r="A5" s="1225"/>
      <c r="B5" s="1227" t="s">
        <v>1668</v>
      </c>
      <c r="C5" s="3215" t="s">
        <v>3235</v>
      </c>
      <c r="D5" s="1994"/>
      <c r="E5" s="1228"/>
      <c r="F5" s="1227" t="s">
        <v>2543</v>
      </c>
      <c r="G5" s="3033" t="s">
        <v>2914</v>
      </c>
      <c r="H5" s="1993"/>
      <c r="I5" s="1993"/>
      <c r="J5" s="1993"/>
      <c r="K5" s="1993"/>
      <c r="L5" s="1993"/>
      <c r="M5" s="1993"/>
      <c r="N5" s="1993"/>
      <c r="O5" s="1993"/>
      <c r="P5" s="1993"/>
      <c r="Q5" s="1993"/>
      <c r="R5" s="1993"/>
    </row>
    <row r="6" spans="1:18" ht="27">
      <c r="A6" s="1225"/>
      <c r="B6" s="1227" t="s">
        <v>1654</v>
      </c>
      <c r="C6" s="3216" t="s">
        <v>3235</v>
      </c>
      <c r="D6" s="1994"/>
      <c r="E6" s="1228"/>
      <c r="F6" s="1227" t="s">
        <v>2544</v>
      </c>
      <c r="G6" s="3033" t="s">
        <v>2912</v>
      </c>
      <c r="H6" s="1993"/>
      <c r="I6" s="1993"/>
      <c r="J6" s="1993"/>
      <c r="K6" s="1993"/>
      <c r="L6" s="1993"/>
      <c r="M6" s="1993"/>
      <c r="N6" s="1993"/>
      <c r="O6" s="1993"/>
      <c r="P6" s="1993"/>
      <c r="Q6" s="1993"/>
      <c r="R6" s="1993"/>
    </row>
    <row r="7" spans="1:18" ht="41.25" thickBot="1">
      <c r="A7" s="1225"/>
      <c r="B7" s="1227" t="s">
        <v>2543</v>
      </c>
      <c r="C7" s="3216" t="s">
        <v>3235</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3236</v>
      </c>
      <c r="D8" s="1995"/>
      <c r="E8" s="1995"/>
      <c r="F8" s="1540"/>
      <c r="G8" s="1540"/>
      <c r="H8" s="1993"/>
      <c r="I8" s="1993"/>
      <c r="J8" s="1993"/>
      <c r="K8" s="1993"/>
      <c r="L8" s="1993"/>
      <c r="M8" s="1993"/>
      <c r="N8" s="1993"/>
      <c r="O8" s="1993"/>
      <c r="P8" s="1993"/>
      <c r="Q8" s="1993"/>
      <c r="R8" s="1993"/>
    </row>
    <row r="9" spans="1:18">
      <c r="A9" s="1225"/>
      <c r="B9" s="1227" t="s">
        <v>1655</v>
      </c>
      <c r="C9" s="3215" t="s">
        <v>3235</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40.5">
      <c r="A15" s="2552" t="s">
        <v>1656</v>
      </c>
      <c r="B15" s="1238" t="s">
        <v>1652</v>
      </c>
      <c r="C15" s="1239" t="str">
        <f>C3</f>
        <v>一般</v>
      </c>
      <c r="D15" s="1994"/>
      <c r="E15" s="2549" t="s">
        <v>1657</v>
      </c>
      <c r="F15" s="1238" t="s">
        <v>1672</v>
      </c>
      <c r="G15" s="1240" t="str">
        <f>G3</f>
        <v>估价对象位于XX开发区，园区建设成熟度XX，产业集聚程度XX</v>
      </c>
    </row>
    <row r="16" spans="1:18" ht="40.5">
      <c r="A16" s="2553"/>
      <c r="B16" s="1241" t="s">
        <v>1666</v>
      </c>
      <c r="C16" s="1242" t="str">
        <f>C4</f>
        <v>一般</v>
      </c>
      <c r="D16" s="1994"/>
      <c r="E16" s="2550"/>
      <c r="F16" s="1243" t="s">
        <v>1667</v>
      </c>
      <c r="G16" s="1005" t="str">
        <f>G4</f>
        <v>估价对象周边道路状况、公共交通通达情况、停车便捷程度，综合评价交通便捷度较好</v>
      </c>
    </row>
    <row r="17" spans="1:7" ht="14.25">
      <c r="A17" s="2553"/>
      <c r="B17" s="1241" t="s">
        <v>1668</v>
      </c>
      <c r="C17" s="1242" t="str">
        <f>C5</f>
        <v>一般</v>
      </c>
      <c r="D17" s="1995"/>
      <c r="E17" s="2550"/>
      <c r="F17" s="1243" t="s">
        <v>1673</v>
      </c>
      <c r="G17" s="2750"/>
    </row>
    <row r="18" spans="1:7" ht="40.5">
      <c r="A18" s="2553"/>
      <c r="B18" s="1243" t="s">
        <v>1654</v>
      </c>
      <c r="C18" s="1005" t="str">
        <f>C6</f>
        <v>一般</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2543</v>
      </c>
      <c r="G19" s="1005" t="str">
        <f>G5</f>
        <v>估价对象所在区域公共配套设施齐备情况</v>
      </c>
    </row>
    <row r="20" spans="1:7" ht="27">
      <c r="A20" s="2553"/>
      <c r="B20" s="1243" t="s">
        <v>1659</v>
      </c>
      <c r="C20" s="1242" t="str">
        <f>C9</f>
        <v>一般</v>
      </c>
      <c r="D20" s="1995"/>
      <c r="E20" s="2550"/>
      <c r="F20" s="1227" t="s">
        <v>2544</v>
      </c>
      <c r="G20" s="1005" t="str">
        <f>G6</f>
        <v>估价对象所在区域基础设施水平</v>
      </c>
    </row>
    <row r="21" spans="1:7" ht="14.25">
      <c r="A21" s="2553"/>
      <c r="B21" s="1227" t="s">
        <v>2543</v>
      </c>
      <c r="C21" s="1005" t="str">
        <f>C7</f>
        <v>一般</v>
      </c>
      <c r="D21" s="1994"/>
      <c r="E21" s="2550"/>
      <c r="F21" s="1243" t="s">
        <v>1660</v>
      </c>
      <c r="G21" s="3037"/>
    </row>
    <row r="22" spans="1:7" ht="14.25">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29" sqref="A29"/>
    </sheetView>
  </sheetViews>
  <sheetFormatPr defaultColWidth="14.625" defaultRowHeight="13.5"/>
  <cols>
    <col min="1" max="1" width="24.375" customWidth="1"/>
  </cols>
  <sheetData>
    <row r="1" spans="1:9" ht="16.5">
      <c r="A1" s="2997" t="s">
        <v>2840</v>
      </c>
      <c r="B1" s="2997">
        <f>SUM(B14:B23)</f>
        <v>366283.93999999994</v>
      </c>
      <c r="C1" s="2998"/>
      <c r="D1" s="2998"/>
      <c r="E1" s="2998"/>
      <c r="F1" s="2998"/>
    </row>
    <row r="2" spans="1:9" ht="16.5">
      <c r="A2" s="2997" t="s">
        <v>2841</v>
      </c>
      <c r="B2" s="2997">
        <f>SUM(C14:C23)</f>
        <v>303770</v>
      </c>
      <c r="C2" s="2998"/>
      <c r="D2" s="2998"/>
      <c r="E2" s="2998"/>
      <c r="F2" s="2998"/>
    </row>
    <row r="3" spans="1:9" ht="16.5">
      <c r="A3" s="2997" t="s">
        <v>2842</v>
      </c>
      <c r="B3" s="2999">
        <f>项目基本情况!D3</f>
        <v>43683</v>
      </c>
      <c r="C3" s="2998"/>
      <c r="D3" s="2998"/>
      <c r="E3" s="2998"/>
      <c r="F3" s="2998"/>
    </row>
    <row r="4" spans="1:9" ht="33">
      <c r="A4" s="2997" t="s">
        <v>2843</v>
      </c>
      <c r="B4" s="2997" t="s">
        <v>2844</v>
      </c>
      <c r="C4" s="2997" t="s">
        <v>2845</v>
      </c>
      <c r="D4" s="2997" t="s">
        <v>2846</v>
      </c>
      <c r="E4" s="2998"/>
      <c r="F4" s="2998"/>
    </row>
    <row r="5" spans="1:9" ht="16.5">
      <c r="A5" s="2997" t="s">
        <v>2847</v>
      </c>
      <c r="B5" s="2997">
        <f ca="1">SUM(D14:D23)</f>
        <v>71492</v>
      </c>
      <c r="C5" s="2997">
        <f ca="1">ROUND(B5*10000/$B$1,0)</f>
        <v>1952</v>
      </c>
      <c r="D5" s="2997">
        <f ca="1">ROUND(B5*10000/$B$2,0)</f>
        <v>2353</v>
      </c>
      <c r="E5" s="2998"/>
      <c r="F5" s="2998"/>
    </row>
    <row r="6" spans="1:9" ht="16.5">
      <c r="A6" s="2997" t="s">
        <v>2848</v>
      </c>
      <c r="B6" s="2997">
        <f ca="1">SUM(G14:G23)</f>
        <v>69722</v>
      </c>
      <c r="C6" s="2997">
        <f t="shared" ref="C6:C8" ca="1" si="0">ROUND(B6*10000/$B$1,0)</f>
        <v>1903</v>
      </c>
      <c r="D6" s="2997">
        <f t="shared" ref="D6:D8" ca="1" si="1">ROUND(B6*10000/$B$2,0)</f>
        <v>2295</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78769.05</v>
      </c>
      <c r="C14" s="3001">
        <f>结果表!K38</f>
        <v>71608</v>
      </c>
      <c r="D14" s="3001">
        <f ca="1">结果表!C42</f>
        <v>16804</v>
      </c>
      <c r="E14" s="3001">
        <f ca="1">ROUND(D14*10000/B14,0)</f>
        <v>2133</v>
      </c>
      <c r="F14" s="3001">
        <f ca="1">ROUND(D14*10000/C14,0)</f>
        <v>2347</v>
      </c>
      <c r="G14" s="3001">
        <f ca="1">结果表!C44</f>
        <v>16367</v>
      </c>
      <c r="H14" s="3001" t="str">
        <f>结果表!C45</f>
        <v>——</v>
      </c>
      <c r="I14" s="3001" t="str">
        <f>结果表!C46</f>
        <v>——</v>
      </c>
    </row>
    <row r="15" spans="1:9" ht="16.5">
      <c r="A15" s="3004" t="s">
        <v>2857</v>
      </c>
      <c r="B15" s="3005">
        <f>典型户型修正!B22-典型户型修正!B24</f>
        <v>243404.91999999998</v>
      </c>
      <c r="C15" s="3005">
        <f>Sheet1!D3+Sheet1!D4+Sheet1!D5</f>
        <v>204593</v>
      </c>
      <c r="D15" s="3005">
        <f ca="1">典型户型修正!S22-典型户型修正!S24+5</f>
        <v>51948</v>
      </c>
      <c r="E15" s="3001">
        <f t="shared" ref="E15:E23" ca="1" si="2">ROUND(D15*10000/B15,0)</f>
        <v>2134</v>
      </c>
      <c r="F15" s="3001">
        <f t="shared" ref="F15:F23" ca="1" si="3">ROUND(D15*10000/C15,0)</f>
        <v>2539</v>
      </c>
      <c r="G15" s="3002">
        <f ca="1">D15-Sheet1!J3-Sheet1!J4-Sheet1!J5</f>
        <v>50734</v>
      </c>
      <c r="H15" s="3002"/>
      <c r="I15" s="3005"/>
    </row>
    <row r="16" spans="1:9" ht="16.5">
      <c r="A16" s="3004" t="s">
        <v>2858</v>
      </c>
      <c r="B16" s="3005">
        <f>[1]结果表!$L$38</f>
        <v>44109.97</v>
      </c>
      <c r="C16" s="3005">
        <f>[1]结果表!$K$38</f>
        <v>27569</v>
      </c>
      <c r="D16" s="3005">
        <f ca="1">[2]系统读取表!$D$14</f>
        <v>2740</v>
      </c>
      <c r="E16" s="3001">
        <f t="shared" ca="1" si="2"/>
        <v>621</v>
      </c>
      <c r="F16" s="3001">
        <f t="shared" ca="1" si="3"/>
        <v>994</v>
      </c>
      <c r="G16" s="3002">
        <f ca="1">D16-[2]结果表!$G$35</f>
        <v>2621</v>
      </c>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39" sqref="H3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52" t="str">
        <f>项目基本情况!K2</f>
        <v>出让国有建设用地使用权</v>
      </c>
      <c r="B2" s="3353"/>
      <c r="C2" s="3354"/>
      <c r="D2" s="3354"/>
      <c r="E2" s="3354"/>
      <c r="F2" s="3354"/>
      <c r="G2" s="3353"/>
      <c r="H2" s="3353"/>
      <c r="I2" s="3355"/>
      <c r="J2" s="2015"/>
      <c r="K2" s="2014"/>
      <c r="L2" s="2014"/>
      <c r="M2" s="2014"/>
      <c r="N2" s="2014"/>
      <c r="O2" s="2014"/>
      <c r="P2" s="2014"/>
      <c r="Q2" s="2014"/>
      <c r="R2" s="2014"/>
      <c r="S2" s="2014"/>
      <c r="T2" s="2014"/>
      <c r="U2" s="2014"/>
      <c r="V2" s="2014"/>
    </row>
    <row r="3" spans="1:22" ht="14.25">
      <c r="A3" s="3363" t="s">
        <v>298</v>
      </c>
      <c r="B3" s="3364"/>
      <c r="C3" s="3364"/>
      <c r="D3" s="3364"/>
      <c r="E3" s="3364"/>
      <c r="F3" s="3364"/>
      <c r="G3" s="3364"/>
      <c r="H3" s="3364"/>
      <c r="I3" s="3364"/>
      <c r="J3" s="2015"/>
      <c r="K3" s="2014"/>
      <c r="L3" s="2014"/>
      <c r="M3" s="2014"/>
      <c r="N3" s="2014"/>
      <c r="O3" s="2014"/>
      <c r="P3" s="2014"/>
      <c r="Q3" s="2014"/>
      <c r="R3" s="2014"/>
      <c r="S3" s="2014"/>
      <c r="T3" s="2014"/>
      <c r="U3" s="2014"/>
      <c r="V3" s="2014"/>
    </row>
    <row r="4" spans="1:22" ht="14.25">
      <c r="A4" s="258" t="s">
        <v>299</v>
      </c>
      <c r="B4" s="259" t="s">
        <v>300</v>
      </c>
      <c r="C4" s="260" t="s">
        <v>3208</v>
      </c>
      <c r="D4" s="260" t="s">
        <v>3209</v>
      </c>
      <c r="E4" s="3327" t="s">
        <v>301</v>
      </c>
      <c r="F4" s="3369"/>
      <c r="G4" s="3369"/>
      <c r="H4" s="3369"/>
      <c r="I4" s="3328"/>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6" t="s">
        <v>302</v>
      </c>
      <c r="B5" s="3357">
        <v>25</v>
      </c>
      <c r="C5" s="3365"/>
      <c r="D5" s="3368"/>
      <c r="E5" s="261" t="s">
        <v>303</v>
      </c>
      <c r="F5" s="262"/>
      <c r="G5" s="262"/>
      <c r="H5" s="262"/>
      <c r="I5" s="263"/>
      <c r="J5" s="2015"/>
      <c r="K5" s="2014"/>
      <c r="L5" s="2014"/>
      <c r="M5" s="2014"/>
      <c r="N5" s="2014"/>
      <c r="O5" s="2014"/>
      <c r="P5" s="2014"/>
      <c r="Q5" s="2014"/>
      <c r="R5" s="2014"/>
      <c r="S5" s="2014"/>
      <c r="T5" s="2014"/>
      <c r="U5" s="2014"/>
      <c r="V5" s="2014"/>
    </row>
    <row r="6" spans="1:22" ht="14.25">
      <c r="A6" s="3356"/>
      <c r="B6" s="3357"/>
      <c r="C6" s="3366"/>
      <c r="D6" s="3368"/>
      <c r="E6" s="261" t="s">
        <v>304</v>
      </c>
      <c r="F6" s="262"/>
      <c r="G6" s="262"/>
      <c r="H6" s="262"/>
      <c r="I6" s="263"/>
      <c r="J6" s="2015"/>
      <c r="K6" s="2014"/>
      <c r="L6" s="2014"/>
      <c r="M6" s="2014"/>
      <c r="N6" s="2014"/>
      <c r="O6" s="2014"/>
      <c r="P6" s="2014"/>
      <c r="Q6" s="2014"/>
      <c r="R6" s="2014"/>
      <c r="S6" s="2014"/>
      <c r="T6" s="2014"/>
      <c r="U6" s="2014"/>
      <c r="V6" s="2014"/>
    </row>
    <row r="7" spans="1:22" ht="14.25">
      <c r="A7" s="3356"/>
      <c r="B7" s="3357"/>
      <c r="C7" s="3367"/>
      <c r="D7" s="3368"/>
      <c r="E7" s="261" t="s">
        <v>305</v>
      </c>
      <c r="F7" s="262"/>
      <c r="G7" s="262"/>
      <c r="H7" s="262"/>
      <c r="I7" s="263"/>
      <c r="J7" s="2015"/>
      <c r="K7" s="2014"/>
      <c r="L7" s="2014"/>
      <c r="M7" s="2014"/>
      <c r="N7" s="2014"/>
      <c r="O7" s="2014"/>
      <c r="P7" s="2014"/>
      <c r="Q7" s="2014"/>
      <c r="R7" s="2014"/>
      <c r="S7" s="2014"/>
      <c r="T7" s="2014"/>
      <c r="U7" s="2014"/>
      <c r="V7" s="2014"/>
    </row>
    <row r="8" spans="1:22" ht="14.25">
      <c r="A8" s="3356" t="s">
        <v>306</v>
      </c>
      <c r="B8" s="3357">
        <v>15</v>
      </c>
      <c r="C8" s="3365"/>
      <c r="D8" s="3368"/>
      <c r="E8" s="261" t="s">
        <v>307</v>
      </c>
      <c r="F8" s="262"/>
      <c r="G8" s="262"/>
      <c r="H8" s="262"/>
      <c r="I8" s="263"/>
      <c r="J8" s="2015"/>
      <c r="K8" s="2014"/>
      <c r="L8" s="2014"/>
      <c r="M8" s="2014"/>
      <c r="N8" s="2014"/>
      <c r="O8" s="2014"/>
      <c r="P8" s="2014"/>
      <c r="Q8" s="2014"/>
      <c r="R8" s="2014"/>
      <c r="S8" s="2014"/>
      <c r="T8" s="2014"/>
      <c r="U8" s="2014"/>
      <c r="V8" s="2014"/>
    </row>
    <row r="9" spans="1:22" ht="14.25">
      <c r="A9" s="3356"/>
      <c r="B9" s="3357"/>
      <c r="C9" s="3367"/>
      <c r="D9" s="3368"/>
      <c r="E9" s="261" t="s">
        <v>308</v>
      </c>
      <c r="F9" s="262"/>
      <c r="G9" s="262"/>
      <c r="H9" s="262"/>
      <c r="I9" s="263"/>
      <c r="J9" s="2015"/>
      <c r="K9" s="2014"/>
      <c r="L9" s="2014"/>
      <c r="M9" s="2014"/>
      <c r="N9" s="2014"/>
      <c r="O9" s="2014"/>
      <c r="P9" s="2014"/>
      <c r="Q9" s="2014"/>
      <c r="R9" s="2014"/>
      <c r="S9" s="2014"/>
      <c r="T9" s="2014"/>
      <c r="U9" s="2014"/>
      <c r="V9" s="2014"/>
    </row>
    <row r="10" spans="1:22" ht="14.25">
      <c r="A10" s="3356" t="s">
        <v>309</v>
      </c>
      <c r="B10" s="3357">
        <v>15</v>
      </c>
      <c r="C10" s="3365"/>
      <c r="D10" s="3368"/>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6"/>
      <c r="B11" s="3357"/>
      <c r="C11" s="3367"/>
      <c r="D11" s="3368"/>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6" t="s">
        <v>312</v>
      </c>
      <c r="B12" s="3357">
        <v>15</v>
      </c>
      <c r="C12" s="3365"/>
      <c r="D12" s="3368"/>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6"/>
      <c r="B13" s="3357"/>
      <c r="C13" s="3367"/>
      <c r="D13" s="3368"/>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6" t="s">
        <v>315</v>
      </c>
      <c r="B14" s="3357">
        <v>30</v>
      </c>
      <c r="C14" s="3365">
        <v>5</v>
      </c>
      <c r="D14" s="3368">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6"/>
      <c r="B15" s="3357"/>
      <c r="C15" s="3366"/>
      <c r="D15" s="3368"/>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6"/>
      <c r="B16" s="3357"/>
      <c r="C16" s="3367"/>
      <c r="D16" s="336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15486</v>
      </c>
      <c r="D19" s="271">
        <f ca="1">SUMIF(INDIRECT("'"&amp;D4&amp;"'"&amp;"!A:A"),结果表!B19,INDIRECT("'"&amp;D4&amp;"'"&amp;"!B:B"))</f>
        <v>18122</v>
      </c>
      <c r="E19" s="268" t="s">
        <v>323</v>
      </c>
      <c r="F19" s="269" t="s">
        <v>322</v>
      </c>
      <c r="G19" s="272">
        <f ca="1">ROUND(C19*$C$18+D19*$D$18,0)</f>
        <v>16804</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1966</v>
      </c>
      <c r="D20" s="277">
        <f ca="1">SUMIF(INDIRECT("'"&amp;D4&amp;"'"&amp;"!A:A"),结果表!B20,INDIRECT("'"&amp;D4&amp;"'"&amp;"!B:B"))</f>
        <v>2301</v>
      </c>
      <c r="E20" s="274"/>
      <c r="F20" s="275" t="s">
        <v>325</v>
      </c>
      <c r="G20" s="278">
        <f ca="1">ROUND(C20*$C$18+D20*$D$18,0)</f>
        <v>2134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2163</v>
      </c>
      <c r="D21" s="151">
        <f ca="1">SUMIF(INDIRECT("'"&amp;D4&amp;"'"&amp;"!A:A"),结果表!B21,INDIRECT("'"&amp;D4&amp;"'"&amp;"!B:B"))</f>
        <v>2531</v>
      </c>
      <c r="E21" s="274"/>
      <c r="F21" s="280" t="s">
        <v>327</v>
      </c>
      <c r="G21" s="282">
        <f ca="1">ROUND(C21*$C$18+D21*$D$18,0)</f>
        <v>2347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0.1702182616556891</v>
      </c>
      <c r="E22" s="284"/>
      <c r="F22" s="285"/>
      <c r="G22" s="286">
        <f ca="1">ROUND(G19/('数据-汇总表'!D3/666.67),0)</f>
        <v>156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1"/>
      <c r="B25" s="1317" t="s">
        <v>331</v>
      </c>
      <c r="C25" s="290">
        <f>IF(B30=0,0,C30)</f>
        <v>0</v>
      </c>
      <c r="D25" s="291"/>
      <c r="E25" s="311"/>
      <c r="F25" s="311"/>
      <c r="G25" s="311"/>
      <c r="H25" s="311"/>
      <c r="I25" s="311"/>
      <c r="J25" s="2014"/>
      <c r="K25" s="1251" t="str">
        <f ca="1">项目基本情况!B16&amp;"国有建设用地使用权价格："&amp;O38&amp;"万元"</f>
        <v>出让国有建设用地使用权价格：16804万元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大写金额：人民币壹亿陆仟捌佰零肆万元整</v>
      </c>
      <c r="L26" s="1248"/>
      <c r="M26" s="1248"/>
      <c r="N26" s="1248"/>
      <c r="O26" s="1247"/>
      <c r="P26" s="2014"/>
      <c r="Q26" s="2014"/>
      <c r="R26" s="2014"/>
      <c r="S26" s="2014"/>
      <c r="T26" s="2014"/>
      <c r="U26" s="2014"/>
      <c r="V26" s="2014"/>
      <c r="W26" s="292"/>
      <c r="X26" s="292"/>
      <c r="Y26" s="292"/>
      <c r="Z26" s="292"/>
    </row>
    <row r="27" spans="1:26" ht="18">
      <c r="A27" s="3217" t="s">
        <v>3237</v>
      </c>
      <c r="B27" s="294">
        <f>Sheet1!G2</f>
        <v>14321.6</v>
      </c>
      <c r="C27" s="3218">
        <f>'数据-取费表'!B48+'数据-取费表'!B49</f>
        <v>3.0499999999999999E-2</v>
      </c>
      <c r="D27" s="295">
        <f>ROUND(B27*C27,0)</f>
        <v>437</v>
      </c>
      <c r="E27" s="311"/>
      <c r="F27" s="311"/>
      <c r="G27" s="311"/>
      <c r="H27" s="311"/>
      <c r="I27" s="311"/>
      <c r="J27" s="2014"/>
      <c r="K27" s="1254" t="str">
        <f ca="1">"单位面积地价："&amp;M38&amp;"元/平方米"</f>
        <v>单位面积地价：2347元/平方米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楼面地价：2133元/平方米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抵押价格：16367万元</v>
      </c>
      <c r="L29" s="1248"/>
      <c r="M29" s="1248"/>
      <c r="N29" s="1248"/>
      <c r="O29" s="1247"/>
      <c r="P29" s="2014"/>
      <c r="V29" s="2014"/>
    </row>
    <row r="30" spans="1:26" ht="18.75" thickBot="1">
      <c r="A30" s="3080" t="s">
        <v>336</v>
      </c>
      <c r="B30" s="309"/>
      <c r="C30" s="309"/>
      <c r="D30" s="310"/>
      <c r="E30" s="3081" t="s">
        <v>2958</v>
      </c>
      <c r="F30" s="311"/>
      <c r="G30" s="311"/>
      <c r="H30" s="311"/>
      <c r="I30" s="311"/>
      <c r="J30" s="2014"/>
      <c r="K30" s="1254" t="str">
        <f ca="1">IF(K29="——","——","大写金额：人民币"&amp;NUMBERSTRING(INT(O39*10000),2)&amp;"元整")</f>
        <v>大写金额：人民币壹亿陆仟叁佰陆拾柒万元整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16804</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2133</v>
      </c>
      <c r="D33" s="1382" t="s">
        <v>1690</v>
      </c>
      <c r="E33" s="3329"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2347</v>
      </c>
      <c r="D34" s="1384" t="s">
        <v>1690</v>
      </c>
      <c r="E34" s="3330"/>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156</v>
      </c>
      <c r="D35" s="1387" t="s">
        <v>1692</v>
      </c>
      <c r="E35" s="3331"/>
      <c r="F35" s="301" t="s">
        <v>342</v>
      </c>
      <c r="G35" s="982">
        <v>437</v>
      </c>
      <c r="H35" s="981" t="s">
        <v>343</v>
      </c>
      <c r="I35" s="311"/>
      <c r="J35" s="2014"/>
      <c r="K35" s="3335" t="s">
        <v>350</v>
      </c>
      <c r="L35" s="3335" t="s">
        <v>351</v>
      </c>
      <c r="M35" s="1260" t="s">
        <v>352</v>
      </c>
      <c r="N35" s="3335" t="s">
        <v>353</v>
      </c>
      <c r="O35" s="3335" t="s">
        <v>354</v>
      </c>
      <c r="P35" s="2014"/>
      <c r="V35" s="2014"/>
    </row>
    <row r="36" spans="1:26" ht="16.5" customHeight="1">
      <c r="A36" s="303" t="s">
        <v>344</v>
      </c>
      <c r="B36" s="304" t="s">
        <v>333</v>
      </c>
      <c r="C36" s="305" t="s">
        <v>345</v>
      </c>
      <c r="D36" s="305" t="s">
        <v>346</v>
      </c>
      <c r="E36" s="306" t="s">
        <v>347</v>
      </c>
      <c r="F36" s="311"/>
      <c r="G36" s="311"/>
      <c r="H36" s="311"/>
      <c r="I36" s="311"/>
      <c r="J36" s="2016"/>
      <c r="K36" s="3336"/>
      <c r="L36" s="3336"/>
      <c r="M36" s="1262" t="s">
        <v>355</v>
      </c>
      <c r="N36" s="3336"/>
      <c r="O36" s="3336"/>
      <c r="P36" s="2014"/>
      <c r="V36" s="2014"/>
    </row>
    <row r="37" spans="1:26" ht="16.5" customHeight="1" thickBot="1">
      <c r="A37" s="1256" t="s">
        <v>348</v>
      </c>
      <c r="B37" s="307"/>
      <c r="C37" s="294"/>
      <c r="D37" s="294"/>
      <c r="E37" s="295"/>
      <c r="F37" s="311"/>
      <c r="G37" s="311"/>
      <c r="H37" s="311"/>
      <c r="I37" s="311"/>
      <c r="J37" s="2016"/>
      <c r="K37" s="3337"/>
      <c r="L37" s="3337"/>
      <c r="M37" s="1263"/>
      <c r="N37" s="3337"/>
      <c r="O37" s="3337"/>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2347</v>
      </c>
      <c r="N38" s="1265">
        <f ca="1">C33</f>
        <v>2133</v>
      </c>
      <c r="O38" s="1266">
        <f ca="1">C32</f>
        <v>16804</v>
      </c>
      <c r="P38" s="2014"/>
      <c r="V38" s="2014"/>
    </row>
    <row r="39" spans="1:26" ht="16.5" customHeight="1" thickBot="1">
      <c r="A39" s="1261"/>
      <c r="B39" s="308"/>
      <c r="C39" s="309"/>
      <c r="D39" s="309"/>
      <c r="E39" s="310"/>
      <c r="F39" s="311"/>
      <c r="G39" s="311"/>
      <c r="H39" s="311"/>
      <c r="I39" s="311"/>
      <c r="J39" s="2016"/>
      <c r="K39" s="3312" t="str">
        <f>MID(A44,3,LEN(A44)-2)</f>
        <v>抵押价格</v>
      </c>
      <c r="L39" s="3313"/>
      <c r="M39" s="3313"/>
      <c r="N39" s="3314"/>
      <c r="O39" s="1389">
        <f ca="1">C44</f>
        <v>16367</v>
      </c>
      <c r="P39" s="2014"/>
      <c r="V39" s="2014"/>
    </row>
    <row r="40" spans="1:26" ht="19.5" thickBot="1">
      <c r="A40" s="104" t="s">
        <v>872</v>
      </c>
      <c r="B40" s="311"/>
      <c r="C40" s="311"/>
      <c r="D40" s="311"/>
      <c r="E40" s="311"/>
      <c r="F40" s="311"/>
      <c r="G40" s="311"/>
      <c r="H40" s="311"/>
      <c r="I40" s="311"/>
      <c r="J40" s="2016"/>
      <c r="K40" s="3312" t="str">
        <f t="shared" ref="K40:K41" si="0">MID(A45,3,LEN(A45)-2)</f>
        <v/>
      </c>
      <c r="L40" s="3313"/>
      <c r="M40" s="3313"/>
      <c r="N40" s="3314"/>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2" t="str">
        <f t="shared" si="0"/>
        <v/>
      </c>
      <c r="L41" s="3313"/>
      <c r="M41" s="3313"/>
      <c r="N41" s="3314"/>
      <c r="O41" s="1389" t="str">
        <f>C46</f>
        <v>——</v>
      </c>
      <c r="P41" s="2014"/>
      <c r="V41" s="2014"/>
    </row>
    <row r="42" spans="1:26" ht="29.25">
      <c r="A42" s="3372" t="s">
        <v>2064</v>
      </c>
      <c r="B42" s="3373"/>
      <c r="C42" s="264">
        <f ca="1">C32</f>
        <v>16804</v>
      </c>
      <c r="D42" s="317">
        <f ca="1">C33</f>
        <v>2133</v>
      </c>
      <c r="E42" s="317">
        <f ca="1">C34</f>
        <v>2347</v>
      </c>
      <c r="F42" s="318">
        <f ca="1">C35</f>
        <v>156</v>
      </c>
      <c r="G42" s="311"/>
      <c r="H42" s="311"/>
      <c r="I42" s="319"/>
      <c r="J42" s="2016"/>
      <c r="K42" s="1267" t="s">
        <v>361</v>
      </c>
      <c r="L42" s="2033" t="s">
        <v>362</v>
      </c>
      <c r="M42" s="1268" t="s">
        <v>363</v>
      </c>
      <c r="N42" s="2034" t="s">
        <v>364</v>
      </c>
      <c r="O42" s="2035" t="s">
        <v>365</v>
      </c>
      <c r="P42" s="2014"/>
      <c r="V42" s="2014"/>
    </row>
    <row r="43" spans="1:26" ht="30">
      <c r="A43" s="3382" t="s">
        <v>2726</v>
      </c>
      <c r="B43" s="3383"/>
      <c r="C43" s="264">
        <f>IF(H33="正常操作",G33+G34+G35,G34+G35)</f>
        <v>437</v>
      </c>
      <c r="D43" s="317" t="s">
        <v>43</v>
      </c>
      <c r="E43" s="317" t="s">
        <v>44</v>
      </c>
      <c r="F43" s="318" t="s">
        <v>44</v>
      </c>
      <c r="G43" s="2822" t="s">
        <v>951</v>
      </c>
      <c r="H43" s="311"/>
      <c r="I43" s="319"/>
      <c r="J43" s="2016"/>
      <c r="K43" s="1269" t="str">
        <f>C4</f>
        <v>比较法-住宅、综合</v>
      </c>
      <c r="L43" s="1270">
        <f ca="1">IF(L42="估价结果/万元",C19,C20)</f>
        <v>15486</v>
      </c>
      <c r="M43" s="1271">
        <f>C18</f>
        <v>0.5</v>
      </c>
      <c r="N43" s="1272">
        <f ca="1">IF(N42="测算结果/万元",G19,G20)</f>
        <v>16804</v>
      </c>
      <c r="O43" s="1273">
        <f ca="1">IF(O42="最终结果/万元",C32,C33)</f>
        <v>16804</v>
      </c>
      <c r="P43" s="2014"/>
      <c r="V43" s="2014"/>
    </row>
    <row r="44" spans="1:26" ht="30.75" thickBot="1">
      <c r="A44" s="3372" t="str">
        <f>IF(OR(项目基本情况!E8="抵押价格",项目基本情况!E8="已注销及未注销"),"3.抵押价格","——")</f>
        <v>3.抵押价格</v>
      </c>
      <c r="B44" s="3373"/>
      <c r="C44" s="264">
        <f ca="1">IF(A44="——","——",C42-C43)</f>
        <v>16367</v>
      </c>
      <c r="D44" s="317">
        <f ca="1">ROUND(C44*10000/'数据-汇总表'!E3,0)</f>
        <v>2078</v>
      </c>
      <c r="E44" s="317">
        <f ca="1">ROUND(C44*10000/'数据-汇总表'!D3,0)</f>
        <v>2286</v>
      </c>
      <c r="F44" s="318">
        <f ca="1">ROUND(C44/('数据-汇总表'!D3/666.67),0)</f>
        <v>152</v>
      </c>
      <c r="G44" s="311"/>
      <c r="H44" s="311"/>
      <c r="I44" s="319"/>
      <c r="J44" s="2016"/>
      <c r="K44" s="1274" t="str">
        <f>D4</f>
        <v>剩余法-待开发</v>
      </c>
      <c r="L44" s="1275">
        <f ca="1">IF(L42="估价结果/万元",D19,D20)</f>
        <v>18122</v>
      </c>
      <c r="M44" s="1276">
        <f>D18</f>
        <v>0.5</v>
      </c>
      <c r="N44" s="1277"/>
      <c r="O44" s="1278"/>
      <c r="P44" s="2014"/>
      <c r="V44" s="2014"/>
    </row>
    <row r="45" spans="1:26" ht="15">
      <c r="A45" s="3377" t="str">
        <f>IF(项目基本情况!E8="已注销及未注销","4.抵押担保权已注销时的抵押价格",IF(项目基本情况!E8="已注销","3.抵押担保权已注销时的抵押价格","——"))</f>
        <v>——</v>
      </c>
      <c r="B45" s="337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4" t="str">
        <f>IF(项目基本情况!E9="抵押净值",IF(A45="——","4.抵押净值","5.抵押净值"),"——")</f>
        <v>——</v>
      </c>
      <c r="B46" s="337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本次评估估价师知悉的法定优先受偿款为人民币437万元整。</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0" t="s">
        <v>374</v>
      </c>
      <c r="B63" s="3341"/>
      <c r="C63" s="3342"/>
      <c r="D63" s="341">
        <f ca="1">ROUND(C42*F63,0)</f>
        <v>10082</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9" t="s">
        <v>378</v>
      </c>
      <c r="B64" s="3380"/>
      <c r="C64" s="3380"/>
      <c r="D64" s="3380"/>
      <c r="E64" s="3380"/>
      <c r="F64" s="3380"/>
      <c r="G64" s="338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6" t="s">
        <v>386</v>
      </c>
      <c r="B66" s="3347"/>
      <c r="C66" s="3347"/>
      <c r="D66" s="261">
        <f ca="1">IF(H66="情况1",0,IF(H66="情况2",D70,IF(H66="情况3",D71,IF(H66="情况4",D72))))</f>
        <v>528</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16" t="s">
        <v>385</v>
      </c>
      <c r="M66" s="3317"/>
      <c r="N66" s="2423"/>
      <c r="O66" s="2424"/>
      <c r="P66" s="2425"/>
      <c r="Q66" s="2014"/>
      <c r="R66" s="2014"/>
      <c r="S66" s="2014"/>
      <c r="T66" s="2014"/>
      <c r="U66" s="2014"/>
      <c r="V66" s="2014"/>
    </row>
    <row r="67" spans="1:22" ht="25.5" customHeight="1">
      <c r="A67" s="352" t="s">
        <v>390</v>
      </c>
      <c r="B67" s="3359" t="s">
        <v>391</v>
      </c>
      <c r="C67" s="3359"/>
      <c r="D67" s="353">
        <v>0</v>
      </c>
      <c r="E67" s="41" t="s">
        <v>392</v>
      </c>
      <c r="F67" s="62" t="s">
        <v>21</v>
      </c>
      <c r="G67" s="3343"/>
      <c r="H67" s="311"/>
      <c r="I67" s="1288"/>
      <c r="J67" s="2021"/>
      <c r="K67" s="1962">
        <v>2</v>
      </c>
      <c r="L67" s="3315" t="s">
        <v>389</v>
      </c>
      <c r="M67" s="3315"/>
      <c r="N67" s="1321">
        <f>'数据-取费表'!B2</f>
        <v>43683</v>
      </c>
      <c r="O67" s="1321"/>
      <c r="P67" s="1321"/>
      <c r="Q67" s="2014"/>
      <c r="R67" s="2014"/>
      <c r="S67" s="2014"/>
      <c r="T67" s="2014"/>
      <c r="U67" s="2014"/>
      <c r="V67" s="2014"/>
    </row>
    <row r="68" spans="1:22" ht="25.5" customHeight="1">
      <c r="A68" s="354"/>
      <c r="B68" s="3359" t="s">
        <v>394</v>
      </c>
      <c r="C68" s="3359"/>
      <c r="D68" s="355"/>
      <c r="E68" s="77"/>
      <c r="F68" s="356"/>
      <c r="G68" s="3344"/>
      <c r="H68" s="311"/>
      <c r="I68" s="1288"/>
      <c r="J68" s="2021"/>
      <c r="K68" s="1962">
        <v>3</v>
      </c>
      <c r="L68" s="3315" t="s">
        <v>393</v>
      </c>
      <c r="M68" s="3315"/>
      <c r="N68" s="1289">
        <f ca="1">C42</f>
        <v>16804</v>
      </c>
      <c r="O68" s="1289"/>
      <c r="P68" s="1289"/>
      <c r="Q68" s="2014"/>
      <c r="R68" s="2014"/>
      <c r="S68" s="2014"/>
      <c r="T68" s="2014"/>
      <c r="U68" s="2014"/>
      <c r="V68" s="2014"/>
    </row>
    <row r="69" spans="1:22" ht="12" customHeight="1">
      <c r="A69" s="357"/>
      <c r="B69" s="3359" t="s">
        <v>395</v>
      </c>
      <c r="C69" s="3359"/>
      <c r="D69" s="358"/>
      <c r="E69" s="73"/>
      <c r="F69" s="356"/>
      <c r="G69" s="3345"/>
      <c r="H69" s="311"/>
      <c r="I69" s="1288"/>
      <c r="J69" s="2021"/>
      <c r="K69" s="1290">
        <v>4</v>
      </c>
      <c r="L69" s="3321" t="s">
        <v>2879</v>
      </c>
      <c r="M69" s="3322"/>
      <c r="N69" s="1291">
        <f ca="1">C44</f>
        <v>16367</v>
      </c>
      <c r="O69" s="1291"/>
      <c r="P69" s="1291"/>
      <c r="Q69" s="2014"/>
      <c r="R69" s="2014"/>
      <c r="S69" s="2014"/>
      <c r="T69" s="2014"/>
      <c r="U69" s="2014"/>
      <c r="V69" s="2014"/>
    </row>
    <row r="70" spans="1:22" ht="24" customHeight="1">
      <c r="A70" s="359" t="s">
        <v>396</v>
      </c>
      <c r="B70" s="3359" t="s">
        <v>397</v>
      </c>
      <c r="C70" s="3359"/>
      <c r="D70" s="358">
        <f ca="1">ROUND(D63*'数据-取费表'!B41/(1+'数据-取费表'!C42),0)</f>
        <v>528</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58" t="s">
        <v>405</v>
      </c>
      <c r="C71" s="3370"/>
      <c r="D71" s="358">
        <f ca="1">ROUND(D63*'数据-取费表'!B41/(1+'数据-取费表'!C42),0)</f>
        <v>528</v>
      </c>
      <c r="E71" s="17" t="s">
        <v>398</v>
      </c>
      <c r="F71" s="360">
        <f>'数据-取费表'!B41</f>
        <v>5.5000000000000007E-2</v>
      </c>
      <c r="G71" s="361"/>
      <c r="H71" s="311"/>
      <c r="I71" s="1288"/>
      <c r="J71" s="2021"/>
      <c r="K71" s="3013" t="s">
        <v>399</v>
      </c>
      <c r="L71" s="3323" t="s">
        <v>400</v>
      </c>
      <c r="M71" s="3323"/>
      <c r="N71" s="3013" t="s">
        <v>401</v>
      </c>
      <c r="O71" s="3013" t="s">
        <v>402</v>
      </c>
      <c r="P71" s="3013" t="s">
        <v>403</v>
      </c>
      <c r="Q71" s="2014"/>
      <c r="R71" s="2014"/>
      <c r="S71" s="2014"/>
      <c r="T71" s="2014"/>
      <c r="U71" s="2014"/>
      <c r="V71" s="2014"/>
    </row>
    <row r="72" spans="1:22" ht="12" customHeight="1">
      <c r="A72" s="359" t="s">
        <v>407</v>
      </c>
      <c r="B72" s="3358" t="s">
        <v>408</v>
      </c>
      <c r="C72" s="3370"/>
      <c r="D72" s="358">
        <f ca="1">C86</f>
        <v>418</v>
      </c>
      <c r="E72" s="73" t="s">
        <v>409</v>
      </c>
      <c r="F72" s="360">
        <f>'数据-取费表'!B41</f>
        <v>5.5000000000000007E-2</v>
      </c>
      <c r="G72" s="361"/>
      <c r="H72" s="1294"/>
      <c r="I72" s="1288"/>
      <c r="J72" s="2021"/>
      <c r="K72" s="1962">
        <v>1</v>
      </c>
      <c r="L72" s="3320" t="s">
        <v>406</v>
      </c>
      <c r="M72" s="3320"/>
      <c r="N72" s="1292">
        <f ca="1">D66</f>
        <v>528</v>
      </c>
      <c r="O72" s="1845" t="str">
        <f>E66</f>
        <v>销售额×税（费）率</v>
      </c>
      <c r="P72" s="1293">
        <f>F66</f>
        <v>5.5000000000000007E-2</v>
      </c>
      <c r="Q72" s="2014"/>
      <c r="R72" s="2014"/>
      <c r="S72" s="2014"/>
      <c r="T72" s="2014"/>
      <c r="U72" s="2014"/>
      <c r="V72" s="2014"/>
    </row>
    <row r="73" spans="1:22" ht="24" customHeight="1">
      <c r="A73" s="3346" t="s">
        <v>411</v>
      </c>
      <c r="B73" s="3347"/>
      <c r="C73" s="3347"/>
      <c r="D73" s="362">
        <f>IF(H73="个人住宅",0,ROUND(D63*I73,0))</f>
        <v>0</v>
      </c>
      <c r="E73" s="17" t="s">
        <v>412</v>
      </c>
      <c r="F73" s="360" t="str">
        <f>IF(H73="正常",I73,"免征")</f>
        <v>免征</v>
      </c>
      <c r="G73" s="361"/>
      <c r="H73" s="191" t="s">
        <v>2452</v>
      </c>
      <c r="I73" s="360">
        <f>'数据-取费表'!B49</f>
        <v>5.0000000000000001E-4</v>
      </c>
      <c r="J73" s="2021"/>
      <c r="K73" s="1962">
        <v>2</v>
      </c>
      <c r="L73" s="3320" t="s">
        <v>410</v>
      </c>
      <c r="M73" s="3320"/>
      <c r="N73" s="1292">
        <f t="shared" ref="N73:P74" si="1">D73</f>
        <v>0</v>
      </c>
      <c r="O73" s="1845" t="str">
        <f t="shared" si="1"/>
        <v>销售额×税（费）率</v>
      </c>
      <c r="P73" s="1293" t="str">
        <f t="shared" si="1"/>
        <v>免征</v>
      </c>
      <c r="Q73" s="2014"/>
      <c r="R73" s="2014"/>
      <c r="S73" s="2014"/>
      <c r="T73" s="2014"/>
      <c r="U73" s="2014"/>
      <c r="V73" s="2014"/>
    </row>
    <row r="74" spans="1:22" ht="24.75">
      <c r="A74" s="3346" t="s">
        <v>415</v>
      </c>
      <c r="B74" s="3347"/>
      <c r="C74" s="3347"/>
      <c r="D74" s="362">
        <f ca="1">IF(H74="个人住宅",D75,D76)</f>
        <v>5060</v>
      </c>
      <c r="E74" s="17" t="s">
        <v>416</v>
      </c>
      <c r="F74" s="360" t="str">
        <f>IF(H74="正常",F76,"免征")</f>
        <v>——</v>
      </c>
      <c r="G74" s="983" t="s">
        <v>417</v>
      </c>
      <c r="H74" s="363" t="s">
        <v>413</v>
      </c>
      <c r="I74" s="42"/>
      <c r="J74" s="2021"/>
      <c r="K74" s="1962">
        <v>3</v>
      </c>
      <c r="L74" s="3320" t="s">
        <v>414</v>
      </c>
      <c r="M74" s="3320"/>
      <c r="N74" s="1292">
        <f t="shared" ca="1" si="1"/>
        <v>5060</v>
      </c>
      <c r="O74" s="1845" t="str">
        <f t="shared" si="1"/>
        <v>增值额×税（费）率</v>
      </c>
      <c r="P74" s="1295" t="str">
        <f t="shared" si="1"/>
        <v>——</v>
      </c>
      <c r="Q74" s="2014"/>
      <c r="R74" s="2014"/>
      <c r="S74" s="2014"/>
      <c r="T74" s="2014"/>
      <c r="U74" s="2014"/>
      <c r="V74" s="2014"/>
    </row>
    <row r="75" spans="1:22" ht="24">
      <c r="A75" s="359" t="s">
        <v>418</v>
      </c>
      <c r="B75" s="3327" t="s">
        <v>419</v>
      </c>
      <c r="C75" s="3328"/>
      <c r="D75" s="364">
        <v>0</v>
      </c>
      <c r="E75" s="41" t="s">
        <v>420</v>
      </c>
      <c r="F75" s="365"/>
      <c r="G75" s="361"/>
      <c r="H75" s="42"/>
      <c r="I75" s="42"/>
      <c r="J75" s="2021"/>
      <c r="K75" s="3006">
        <f>IF(H77="非个人房产","",4)</f>
        <v>4</v>
      </c>
      <c r="L75" s="3320" t="str">
        <f>IF(H77="非个人房产","——","个人所得税")</f>
        <v>个人所得税</v>
      </c>
      <c r="M75" s="3320"/>
      <c r="N75" s="1296">
        <f ca="1">D77</f>
        <v>101</v>
      </c>
      <c r="O75" s="1858" t="str">
        <f>E77</f>
        <v>销售额×税（费）率</v>
      </c>
      <c r="P75" s="1297">
        <f>F77</f>
        <v>0.01</v>
      </c>
      <c r="Q75" s="2014"/>
      <c r="R75" s="2014"/>
      <c r="S75" s="2014"/>
      <c r="T75" s="2014"/>
      <c r="U75" s="2014"/>
      <c r="V75" s="2014"/>
    </row>
    <row r="76" spans="1:22" ht="24.75">
      <c r="A76" s="359" t="s">
        <v>396</v>
      </c>
      <c r="B76" s="3327" t="s">
        <v>422</v>
      </c>
      <c r="C76" s="3369"/>
      <c r="D76" s="362">
        <f ca="1">IF(H76="转让取得",C99,C115)</f>
        <v>5060</v>
      </c>
      <c r="E76" s="17" t="s">
        <v>423</v>
      </c>
      <c r="F76" s="53" t="s">
        <v>21</v>
      </c>
      <c r="G76" s="361"/>
      <c r="H76" s="363" t="s">
        <v>424</v>
      </c>
      <c r="I76" s="42"/>
      <c r="J76" s="2021"/>
      <c r="K76" s="3006" t="str">
        <f>IF(项目基本情况!K6="上海银行",IF(K75="",4,K75+1),"")</f>
        <v/>
      </c>
      <c r="L76" s="3308" t="str">
        <f>IF(项目基本情况!K6="上海银行","其他处置费用","")</f>
        <v/>
      </c>
      <c r="M76" s="3309"/>
      <c r="N76" s="1292" t="str">
        <f>IF(项目基本情况!K6="上海银行",N89,"")</f>
        <v/>
      </c>
      <c r="O76" s="3310" t="str">
        <f>IF(项目基本情况!K6="上海银行","包含处置中涉及的律师、诉讼、拍卖、评估等费用","")</f>
        <v/>
      </c>
      <c r="P76" s="3311"/>
      <c r="Q76" s="2014"/>
      <c r="R76" s="2014"/>
      <c r="S76" s="2014"/>
      <c r="T76" s="2014"/>
      <c r="U76" s="2014"/>
      <c r="V76" s="2014"/>
    </row>
    <row r="77" spans="1:22" ht="26.25" thickBot="1">
      <c r="A77" s="3338" t="s">
        <v>426</v>
      </c>
      <c r="B77" s="3339"/>
      <c r="C77" s="3339"/>
      <c r="D77" s="366">
        <f ca="1">IF(H77="非个人房产","——",IF(H77="个人住宅",0,ROUND(D63*I77,0)))</f>
        <v>101</v>
      </c>
      <c r="E77" s="367" t="str">
        <f>IF(H77="非个人房产","——","销售额×税（费）率")</f>
        <v>销售额×税（费）率</v>
      </c>
      <c r="F77" s="368">
        <f>IF(H77="非个人房产","——",IF(H77="个人住宅","免征",I77))</f>
        <v>0.01</v>
      </c>
      <c r="G77" s="984" t="s">
        <v>417</v>
      </c>
      <c r="H77" s="363" t="s">
        <v>2880</v>
      </c>
      <c r="I77" s="369">
        <v>0.01</v>
      </c>
      <c r="J77" s="2021"/>
      <c r="K77" s="3334">
        <f>IF(AND(K75="",K76=""),4,IF(项目基本情况!K6="上海银行",K76+1,K75+1))</f>
        <v>5</v>
      </c>
      <c r="L77" s="3320" t="s">
        <v>2881</v>
      </c>
      <c r="M77" s="3012" t="s">
        <v>421</v>
      </c>
      <c r="N77" s="1298"/>
      <c r="O77" s="1299">
        <f ca="1">SUMIF(N72:N76,"&lt;9e307")</f>
        <v>5689</v>
      </c>
      <c r="P77" s="1300"/>
      <c r="Q77" s="3010">
        <f ca="1">O77/N69</f>
        <v>0.34758966212500764</v>
      </c>
      <c r="R77" s="2014"/>
      <c r="S77" s="2014"/>
      <c r="T77" s="2014"/>
      <c r="U77" s="2014"/>
      <c r="V77" s="2014"/>
    </row>
    <row r="78" spans="1:22" ht="12" customHeight="1">
      <c r="A78" s="1301"/>
      <c r="B78" s="311"/>
      <c r="C78" s="311"/>
      <c r="D78" s="311"/>
      <c r="E78" s="42"/>
      <c r="F78" s="42"/>
      <c r="G78" s="42"/>
      <c r="H78" s="1003"/>
      <c r="I78" s="311"/>
      <c r="J78" s="2021"/>
      <c r="K78" s="3334"/>
      <c r="L78" s="3320"/>
      <c r="M78" s="3012" t="s">
        <v>425</v>
      </c>
      <c r="N78" s="1298"/>
      <c r="O78" s="1299" t="str">
        <f ca="1">NUMBERSTRING(INT(O77*10000),2)&amp;"元整"</f>
        <v>伍仟陆佰捌拾玖万元整</v>
      </c>
      <c r="P78" s="1300"/>
      <c r="Q78" s="2014"/>
      <c r="R78" s="2014"/>
      <c r="S78" s="2014"/>
      <c r="T78" s="2014"/>
      <c r="U78" s="2014"/>
      <c r="V78" s="2014"/>
    </row>
    <row r="79" spans="1:22" ht="13.5" thickBot="1">
      <c r="A79" s="3324" t="s">
        <v>427</v>
      </c>
      <c r="B79" s="3324"/>
      <c r="C79" s="3324"/>
      <c r="D79" s="3324"/>
      <c r="E79" s="3324"/>
      <c r="F79" s="42"/>
      <c r="G79" s="42"/>
      <c r="H79" s="1003"/>
      <c r="I79" s="311"/>
      <c r="J79" s="2021"/>
      <c r="K79" s="3318">
        <f>K77+1</f>
        <v>6</v>
      </c>
      <c r="L79" s="3320" t="s">
        <v>2882</v>
      </c>
      <c r="M79" s="3012" t="s">
        <v>421</v>
      </c>
      <c r="N79" s="1298"/>
      <c r="O79" s="1299">
        <f ca="1">N69-O77</f>
        <v>10678</v>
      </c>
      <c r="P79" s="1300"/>
      <c r="Q79" s="2014"/>
      <c r="R79" s="2014"/>
      <c r="S79" s="2014"/>
      <c r="T79" s="2014"/>
      <c r="U79" s="2014"/>
      <c r="V79" s="2014"/>
    </row>
    <row r="80" spans="1:22" ht="25.5">
      <c r="A80" s="3325" t="s">
        <v>428</v>
      </c>
      <c r="B80" s="3326"/>
      <c r="C80" s="994"/>
      <c r="D80" s="994" t="s">
        <v>429</v>
      </c>
      <c r="E80" s="370" t="s">
        <v>430</v>
      </c>
      <c r="F80" s="42"/>
      <c r="G80" s="42"/>
      <c r="H80" s="1003"/>
      <c r="I80" s="311"/>
      <c r="J80" s="2014"/>
      <c r="K80" s="3319"/>
      <c r="L80" s="3320"/>
      <c r="M80" s="3012" t="s">
        <v>425</v>
      </c>
      <c r="N80" s="1298"/>
      <c r="O80" s="1299" t="str">
        <f ca="1">NUMBERSTRING(INT(O79*10000),2)&amp;"元整"</f>
        <v>壹亿零陆佰柒拾捌万元整</v>
      </c>
      <c r="P80" s="1300"/>
      <c r="Q80" s="2014"/>
      <c r="R80" s="2014"/>
      <c r="S80" s="2014"/>
      <c r="T80" s="2014"/>
      <c r="U80" s="2014"/>
      <c r="V80" s="2014"/>
    </row>
    <row r="81" spans="1:26" ht="13.5" thickBot="1">
      <c r="A81" s="381" t="s">
        <v>1822</v>
      </c>
      <c r="B81" s="371" t="s">
        <v>431</v>
      </c>
      <c r="C81" s="372">
        <f ca="1">ROUND((C82+C83)/(1+'数据-取费表'!C42),0)</f>
        <v>9602</v>
      </c>
      <c r="D81" s="373"/>
      <c r="E81" s="374"/>
      <c r="F81" s="42"/>
      <c r="G81" s="42"/>
      <c r="H81" s="1003"/>
      <c r="I81" s="311"/>
      <c r="J81" s="2014"/>
      <c r="K81" s="3006">
        <f>K79+1</f>
        <v>7</v>
      </c>
      <c r="L81" s="3332" t="s">
        <v>2883</v>
      </c>
      <c r="M81" s="3333"/>
      <c r="N81" s="1302"/>
      <c r="O81" s="1303">
        <f ca="1">ROUND(O79*10000/'数据-汇总表'!E3,0)</f>
        <v>1356</v>
      </c>
      <c r="P81" s="1304"/>
      <c r="Q81" s="2014"/>
      <c r="R81" s="2014"/>
      <c r="S81" s="2014"/>
      <c r="T81" s="2014"/>
      <c r="U81" s="2014"/>
      <c r="V81" s="2014"/>
    </row>
    <row r="82" spans="1:26" ht="13.5" thickTop="1">
      <c r="A82" s="375" t="s">
        <v>1823</v>
      </c>
      <c r="B82" s="376" t="s">
        <v>432</v>
      </c>
      <c r="C82" s="377">
        <f ca="1">D63</f>
        <v>10082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07" t="s">
        <v>2870</v>
      </c>
      <c r="L83" s="3018" t="s">
        <v>2871</v>
      </c>
      <c r="M83" s="3008">
        <f ca="1">IF(N69&gt;10000,N69*0.5%,IF(AND(N69&gt;1000,N69&lt;=10000),N69*1%,IF(AND(N69&gt;100,N69&lt;=1000),N69*3%,IF(AND(N69&gt;10,N69&lt;=100),N69*5%,N69*8%))))</f>
        <v>81.835000000000008</v>
      </c>
      <c r="N83" s="53">
        <f ca="1">ROUND(M83,1)</f>
        <v>81.8</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07"/>
      <c r="L84" s="3018" t="s">
        <v>2872</v>
      </c>
      <c r="M84" s="3008">
        <f ca="1">IF(N69&gt;2000,N69*0.5%,IF(AND(N69&gt;1000,N69&lt;=2000),N69*0.6%,IF(AND(N69&gt;500,N69&lt;=1000),N69*0.7%,IF(AND(N69&gt;200,N69&lt;=500),N69*0.8%,IF(AND(N69&gt;100,N69&lt;=200),N69*0.9%,IF(AND(N69&gt;50,N69&lt;=100),N69*1%,IF(AND(N69&gt;20,N69&lt;=50),N69*1.5%,IF(AND(N69&gt;10,N69&lt;=20),N69*2%,IF(AND(N69&gt;1,N69&lt;=10),N69*2.5%)))))))))</f>
        <v>81.835000000000008</v>
      </c>
      <c r="N84" s="53">
        <f t="shared" ref="N84:N85" ca="1" si="2">ROUND(M84,1)</f>
        <v>81.8</v>
      </c>
      <c r="O84" s="2014" t="s">
        <v>2873</v>
      </c>
      <c r="P84" s="2014"/>
      <c r="Q84" s="2014"/>
      <c r="R84" s="2014"/>
      <c r="S84" s="2014"/>
      <c r="T84" s="2014"/>
      <c r="U84" s="2014"/>
      <c r="V84" s="2014"/>
    </row>
    <row r="85" spans="1:26" ht="12.75">
      <c r="A85" s="381" t="s">
        <v>1826</v>
      </c>
      <c r="B85" s="382" t="s">
        <v>435</v>
      </c>
      <c r="C85" s="385">
        <f ca="1">C81-C84</f>
        <v>7602</v>
      </c>
      <c r="D85" s="378" t="s">
        <v>19</v>
      </c>
      <c r="E85" s="379"/>
      <c r="F85" s="42"/>
      <c r="G85" s="42"/>
      <c r="H85" s="1003"/>
      <c r="I85" s="311"/>
      <c r="J85" s="2014"/>
      <c r="K85" s="3307"/>
      <c r="L85" s="3018" t="s">
        <v>2874</v>
      </c>
      <c r="M85" s="3008">
        <f ca="1">IF(N69&gt;1000,N69*0.1%,IF(AND(N69&gt;500,N69&lt;=1000),N69*0.5%,IF(AND(N69&gt;50,N69&lt;=500),N69*1%,IF(AND(N69&gt;1,N69&lt;=50),N69*1.5%))))</f>
        <v>16.367000000000001</v>
      </c>
      <c r="N85" s="53">
        <f t="shared" ca="1" si="2"/>
        <v>16.399999999999999</v>
      </c>
      <c r="O85" s="2014" t="s">
        <v>2873</v>
      </c>
      <c r="P85" s="2014"/>
      <c r="Q85" s="2014"/>
      <c r="R85" s="2014"/>
      <c r="S85" s="2014"/>
      <c r="T85" s="2014"/>
      <c r="U85" s="2014"/>
      <c r="V85" s="2014"/>
    </row>
    <row r="86" spans="1:26" ht="13.5" thickBot="1">
      <c r="A86" s="386" t="s">
        <v>1827</v>
      </c>
      <c r="B86" s="387" t="s">
        <v>436</v>
      </c>
      <c r="C86" s="388">
        <f ca="1">IF(C85&lt;=0,0,ROUND(C85*D86,0))</f>
        <v>418</v>
      </c>
      <c r="D86" s="389">
        <f>'数据-取费表'!B41</f>
        <v>5.5000000000000007E-2</v>
      </c>
      <c r="E86" s="390"/>
      <c r="F86" s="42"/>
      <c r="G86" s="42"/>
      <c r="H86" s="1003"/>
      <c r="I86" s="311"/>
      <c r="J86" s="2014"/>
      <c r="K86" s="3307"/>
      <c r="L86" s="3018" t="s">
        <v>2875</v>
      </c>
      <c r="M86" s="3008">
        <f ca="1">N69*0.5%</f>
        <v>81.835000000000008</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7"/>
      <c r="L87" s="3018" t="s">
        <v>2877</v>
      </c>
      <c r="M87" s="3008">
        <f ca="1">IF(N69&gt;=10000,(8.25+(N69-10000)*0.01%),IF(AND(N69&gt;=8000,N69&lt;10000),(7.85+(N69-8000)*0.02%),IF(AND(N69&gt;=5000,N69&lt;8000),(6.65+(N69-5000)*0.04%),IF(AND(N69&gt;=2000,N69&lt;5000),(4.25+(PN69-2000)*0.08%),IF(AND(N69&gt;=1000,N69&lt;2000),(2.75+(N69-1000)*0.15%),IF(AND(N69&gt;=100,N69&lt;1000),(0.5+(N69-100)*0.25%),IF(AND(N69&gt;0,N69&lt;100),N69*0.5%)))))))</f>
        <v>8.8866999999999994</v>
      </c>
      <c r="N87" s="53">
        <f ca="1">ROUND(M87*0.9,1)</f>
        <v>8</v>
      </c>
      <c r="O87" s="3011"/>
      <c r="P87" s="311"/>
      <c r="Q87" s="2014"/>
      <c r="R87" s="2014"/>
      <c r="S87" s="2014"/>
      <c r="T87" s="2014"/>
      <c r="U87" s="2014"/>
      <c r="V87" s="2014"/>
      <c r="W87" s="292"/>
      <c r="X87" s="292"/>
      <c r="Y87" s="292"/>
      <c r="Z87" s="292"/>
    </row>
    <row r="88" spans="1:26" s="1310" customFormat="1" ht="15" thickBot="1">
      <c r="A88" s="3361" t="s">
        <v>437</v>
      </c>
      <c r="B88" s="3362"/>
      <c r="C88" s="3362"/>
      <c r="D88" s="3362"/>
      <c r="E88" s="3362"/>
      <c r="F88" s="3362"/>
      <c r="G88" s="3362"/>
      <c r="H88" s="3362"/>
      <c r="I88" s="1311"/>
      <c r="J88" s="2022"/>
      <c r="K88" s="3307"/>
      <c r="L88" s="3018" t="s">
        <v>2878</v>
      </c>
      <c r="M88" s="3008">
        <f ca="1">IF(N69&gt;10000,N69*0.5%,IF(AND(N69&gt;5000,N69&lt;=10000),N69*1%,IF(AND(N69&gt;1000,N69&lt;=5000),N69*2%,IF(AND(N69&gt;200,N69&lt;=1000),N69*3%,N69*5%))))</f>
        <v>81.835000000000008</v>
      </c>
      <c r="N88" s="53">
        <f ca="1">ROUND(M88,1)</f>
        <v>81.8</v>
      </c>
      <c r="O88" s="3011"/>
      <c r="P88" s="11"/>
      <c r="Q88" s="2019"/>
      <c r="R88" s="2019"/>
      <c r="S88" s="2019"/>
      <c r="T88" s="2019"/>
      <c r="U88" s="2019"/>
      <c r="V88" s="2019"/>
      <c r="W88" s="2023"/>
      <c r="X88" s="2023"/>
      <c r="Y88" s="2023"/>
      <c r="Z88" s="2023"/>
    </row>
    <row r="89" spans="1:26" s="1310" customFormat="1" ht="14.25">
      <c r="A89" s="3325" t="s">
        <v>428</v>
      </c>
      <c r="B89" s="3326"/>
      <c r="C89" s="994"/>
      <c r="D89" s="994" t="s">
        <v>429</v>
      </c>
      <c r="E89" s="391" t="s">
        <v>438</v>
      </c>
      <c r="F89" s="392"/>
      <c r="G89" s="392"/>
      <c r="H89" s="393"/>
      <c r="I89" s="1312"/>
      <c r="J89" s="2024"/>
      <c r="K89" s="3307"/>
      <c r="L89" s="3018" t="s">
        <v>27</v>
      </c>
      <c r="M89" s="3009"/>
      <c r="N89" s="53">
        <f ca="1">ROUND(SUM(N83:N88),0)</f>
        <v>270</v>
      </c>
      <c r="O89" s="3019">
        <f ca="1">N89/N69</f>
        <v>1.6496609030365979E-2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9602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2609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58" t="s">
        <v>447</v>
      </c>
      <c r="F94" s="3359"/>
      <c r="G94" s="3359"/>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48</v>
      </c>
      <c r="D96" s="406">
        <f>'数据-取费表'!B43</f>
        <v>5.000000000000001E-3</v>
      </c>
      <c r="E96" s="3348" t="s">
        <v>2425</v>
      </c>
      <c r="F96" s="3349"/>
      <c r="G96" s="3349"/>
      <c r="H96" s="3350"/>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6993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2.6803372939823689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3283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1" t="s">
        <v>454</v>
      </c>
      <c r="B101" s="3362"/>
      <c r="C101" s="3362"/>
      <c r="D101" s="3362"/>
      <c r="E101" s="3362"/>
      <c r="F101" s="3362"/>
      <c r="G101" s="3362"/>
      <c r="H101" s="336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5" t="s">
        <v>428</v>
      </c>
      <c r="B102" s="332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9602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738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51" t="s">
        <v>462</v>
      </c>
      <c r="F109" s="3349"/>
      <c r="G109" s="3349"/>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51" t="s">
        <v>464</v>
      </c>
      <c r="F110" s="3349"/>
      <c r="G110" s="3349"/>
      <c r="H110" s="3350"/>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48</v>
      </c>
      <c r="D111" s="406">
        <f>'数据-取费表'!B43</f>
        <v>5.000000000000001E-3</v>
      </c>
      <c r="E111" s="3348" t="s">
        <v>2425</v>
      </c>
      <c r="F111" s="3349"/>
      <c r="G111" s="3349"/>
      <c r="H111" s="3350"/>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1" t="s">
        <v>2450</v>
      </c>
      <c r="F112" s="3349"/>
      <c r="G112" s="3349"/>
      <c r="H112" s="3350"/>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8864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12.010840108401084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5060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80" zoomScaleNormal="95" zoomScaleSheetLayoutView="80" workbookViewId="0">
      <selection activeCell="M42" sqref="M4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15486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1966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2163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394" t="s">
        <v>523</v>
      </c>
      <c r="S6" s="3395"/>
      <c r="T6" s="3394" t="s">
        <v>524</v>
      </c>
      <c r="U6" s="3395"/>
      <c r="V6" s="3414" t="s">
        <v>525</v>
      </c>
      <c r="W6" s="3414"/>
      <c r="X6" s="1554"/>
      <c r="Y6" s="3394" t="s">
        <v>527</v>
      </c>
      <c r="Z6" s="3395"/>
      <c r="AA6" s="3389" t="s">
        <v>523</v>
      </c>
      <c r="AB6" s="3390" t="s">
        <v>524</v>
      </c>
      <c r="AC6" s="3389" t="s">
        <v>525</v>
      </c>
    </row>
    <row r="7" spans="1:30" ht="20.25">
      <c r="A7" s="515"/>
      <c r="B7" s="516"/>
      <c r="C7" s="3417" t="s">
        <v>2920</v>
      </c>
      <c r="D7" s="3418"/>
      <c r="E7" s="3417" t="str">
        <f>Sheet2!$A$21</f>
        <v>深泽路南侧、万苍路北侧</v>
      </c>
      <c r="F7" s="3418"/>
      <c r="G7" s="3417" t="str">
        <f>Sheet2!$A$22</f>
        <v>婺城新城区龙乾南街以南、西溪街以东</v>
      </c>
      <c r="H7" s="3418"/>
      <c r="I7" s="3421" t="str">
        <f>Sheet2!A23</f>
        <v>婺城新城区临江西路以北、西堰街以西</v>
      </c>
      <c r="J7" s="3418"/>
      <c r="K7" s="514"/>
      <c r="L7" s="2119"/>
      <c r="M7" s="2118"/>
      <c r="N7" s="2118"/>
      <c r="O7" s="2120"/>
      <c r="P7" s="3410"/>
      <c r="Q7" s="3411"/>
      <c r="R7" s="3396"/>
      <c r="S7" s="3397"/>
      <c r="T7" s="3396"/>
      <c r="U7" s="3397"/>
      <c r="V7" s="3414"/>
      <c r="W7" s="3414"/>
      <c r="X7" s="1554"/>
      <c r="Y7" s="3396"/>
      <c r="Z7" s="3397"/>
      <c r="AA7" s="3390"/>
      <c r="AB7" s="3390"/>
      <c r="AC7" s="3390"/>
    </row>
    <row r="8" spans="1:30" ht="21" thickBot="1">
      <c r="A8" s="515"/>
      <c r="B8" s="516"/>
      <c r="C8" s="3419" t="s">
        <v>2924</v>
      </c>
      <c r="D8" s="3420"/>
      <c r="E8" s="3419" t="s">
        <v>2924</v>
      </c>
      <c r="F8" s="3420"/>
      <c r="G8" s="3415" t="s">
        <v>2924</v>
      </c>
      <c r="H8" s="3416"/>
      <c r="I8" s="3415" t="s">
        <v>2924</v>
      </c>
      <c r="J8" s="3416"/>
      <c r="K8" s="514" t="s">
        <v>528</v>
      </c>
      <c r="L8" s="2119"/>
      <c r="M8" s="2118"/>
      <c r="N8" s="2118"/>
      <c r="O8" s="2120"/>
      <c r="P8" s="3412"/>
      <c r="Q8" s="3413"/>
      <c r="R8" s="3396"/>
      <c r="S8" s="3397"/>
      <c r="T8" s="3398"/>
      <c r="U8" s="3399"/>
      <c r="V8" s="3414"/>
      <c r="W8" s="3414"/>
      <c r="X8" s="1554"/>
      <c r="Y8" s="3398"/>
      <c r="Z8" s="3399"/>
      <c r="AA8" s="3391"/>
      <c r="AB8" s="3391"/>
      <c r="AC8" s="3391"/>
    </row>
    <row r="9" spans="1:30" s="1216" customFormat="1" ht="21"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t="str">
        <f>Sheet2!H23</f>
        <v>2018-07-02</v>
      </c>
      <c r="J9" s="520">
        <f>SUMIF(72:72,YEAR(I9)&amp;"-"&amp;INT((MONTH(I9)+2)/3),73:73)</f>
        <v>96</v>
      </c>
      <c r="K9" s="524"/>
      <c r="L9" s="2121"/>
      <c r="M9" s="2118"/>
      <c r="N9" s="2118"/>
      <c r="O9" s="2122"/>
      <c r="P9" s="3392" t="s">
        <v>530</v>
      </c>
      <c r="Q9" s="3401"/>
      <c r="R9" s="1555" t="s">
        <v>8</v>
      </c>
      <c r="S9" s="1556">
        <f t="shared" ref="S9:S17" si="0">F9</f>
        <v>96</v>
      </c>
      <c r="T9" s="1555" t="s">
        <v>8</v>
      </c>
      <c r="U9" s="1556">
        <f t="shared" ref="U9:U17" si="1">H9</f>
        <v>96</v>
      </c>
      <c r="V9" s="1555" t="s">
        <v>8</v>
      </c>
      <c r="W9" s="1556">
        <f t="shared" ref="W9:W17" si="2">J9</f>
        <v>96</v>
      </c>
      <c r="X9" s="1557"/>
      <c r="Y9" s="3392" t="s">
        <v>530</v>
      </c>
      <c r="Z9" s="3393"/>
      <c r="AA9" s="1558">
        <f>D9/F9</f>
        <v>1.0416666666666667</v>
      </c>
      <c r="AB9" s="1558">
        <f>D9/H9</f>
        <v>1.0416666666666667</v>
      </c>
      <c r="AC9" s="1558">
        <f>D9/J9</f>
        <v>1.0416666666666667</v>
      </c>
    </row>
    <row r="10" spans="1:30" s="1216" customFormat="1" ht="21" thickBot="1">
      <c r="A10" s="2869"/>
      <c r="B10" s="2876" t="s">
        <v>531</v>
      </c>
      <c r="C10" s="856" t="s">
        <v>532</v>
      </c>
      <c r="D10" s="520">
        <v>100</v>
      </c>
      <c r="E10" s="3188" t="s">
        <v>3021</v>
      </c>
      <c r="F10" s="522">
        <f>SUMIF(75:75,E10,76:76)-SUMIF(75:75,C10,76:76)+100</f>
        <v>100</v>
      </c>
      <c r="G10" s="3188" t="s">
        <v>3021</v>
      </c>
      <c r="H10" s="520">
        <f>SUMIF(75:75,G10,76:76)-SUMIF(75:75,C10,76:76)+100</f>
        <v>100</v>
      </c>
      <c r="I10" s="3188" t="s">
        <v>3021</v>
      </c>
      <c r="J10" s="520">
        <f>SUMIF(75:75,I10,76:76)-SUMIF(75:75,C10,76:76)+100</f>
        <v>100</v>
      </c>
      <c r="K10" s="524"/>
      <c r="L10" s="2121"/>
      <c r="M10" s="2118"/>
      <c r="N10" s="2118"/>
      <c r="O10" s="2122"/>
      <c r="P10" s="3392" t="s">
        <v>533</v>
      </c>
      <c r="Q10" s="3393"/>
      <c r="R10" s="1555" t="s">
        <v>8</v>
      </c>
      <c r="S10" s="1556">
        <f t="shared" si="0"/>
        <v>100</v>
      </c>
      <c r="T10" s="1555" t="s">
        <v>8</v>
      </c>
      <c r="U10" s="1556">
        <f t="shared" si="1"/>
        <v>100</v>
      </c>
      <c r="V10" s="1555" t="s">
        <v>8</v>
      </c>
      <c r="W10" s="1556">
        <f t="shared" si="2"/>
        <v>100</v>
      </c>
      <c r="X10" s="1557"/>
      <c r="Y10" s="3392" t="s">
        <v>533</v>
      </c>
      <c r="Z10" s="3393"/>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0"/>
      <c r="Q12" s="1147" t="str">
        <f t="shared" si="6"/>
        <v>土地使用年限（年）</v>
      </c>
      <c r="R12" s="1555" t="s">
        <v>8</v>
      </c>
      <c r="S12" s="1556">
        <f t="shared" si="0"/>
        <v>100</v>
      </c>
      <c r="T12" s="1555" t="s">
        <v>8</v>
      </c>
      <c r="U12" s="1556">
        <f t="shared" si="1"/>
        <v>100</v>
      </c>
      <c r="V12" s="1555" t="s">
        <v>8</v>
      </c>
      <c r="W12" s="1556">
        <f t="shared" si="2"/>
        <v>100</v>
      </c>
      <c r="X12" s="1557"/>
      <c r="Y12" s="3357"/>
      <c r="Z12" s="1146" t="str">
        <f t="shared" si="7"/>
        <v>土地使用年限（年）</v>
      </c>
      <c r="AA12" s="1558">
        <f t="shared" si="3"/>
        <v>1</v>
      </c>
      <c r="AB12" s="1558">
        <f t="shared" si="4"/>
        <v>1</v>
      </c>
      <c r="AC12" s="1558">
        <f t="shared" si="5"/>
        <v>1</v>
      </c>
    </row>
    <row r="13" spans="1:30" ht="20.25">
      <c r="A13" s="2872"/>
      <c r="B13" s="2876" t="s">
        <v>2754</v>
      </c>
      <c r="C13" s="534">
        <f>'数据-汇总表'!I5</f>
        <v>1.1000000000000001</v>
      </c>
      <c r="D13" s="255">
        <v>100</v>
      </c>
      <c r="E13" s="533">
        <v>1.35</v>
      </c>
      <c r="F13" s="255">
        <f>LOOKUP(E13,82:82,83:83)-LOOKUP(C13,82:82,83:83)+100</f>
        <v>100</v>
      </c>
      <c r="G13" s="534">
        <v>1.8</v>
      </c>
      <c r="H13" s="255">
        <f>LOOKUP(G13,82:82,83:83)-LOOKUP(C13,82:82,83:83)+100</f>
        <v>100</v>
      </c>
      <c r="I13" s="533">
        <v>1.8</v>
      </c>
      <c r="J13" s="255">
        <f>LOOKUP(I13,82:82,83:83)-LOOKUP(C13,82:82,83:83)+100</f>
        <v>100</v>
      </c>
      <c r="K13" s="535">
        <v>2</v>
      </c>
      <c r="L13" s="2126"/>
      <c r="M13" s="2118"/>
      <c r="N13" s="2118"/>
      <c r="O13" s="2127"/>
      <c r="P13" s="3400"/>
      <c r="Q13" s="1147" t="str">
        <f t="shared" si="6"/>
        <v>容积率</v>
      </c>
      <c r="R13" s="1555" t="s">
        <v>8</v>
      </c>
      <c r="S13" s="1556">
        <f t="shared" si="0"/>
        <v>100</v>
      </c>
      <c r="T13" s="1555" t="s">
        <v>8</v>
      </c>
      <c r="U13" s="1556">
        <f t="shared" si="1"/>
        <v>100</v>
      </c>
      <c r="V13" s="1555" t="s">
        <v>8</v>
      </c>
      <c r="W13" s="1556">
        <f t="shared" si="2"/>
        <v>100</v>
      </c>
      <c r="X13" s="1557"/>
      <c r="Y13" s="3357"/>
      <c r="Z13" s="1146" t="str">
        <f t="shared" si="7"/>
        <v>容积率</v>
      </c>
      <c r="AA13" s="1558">
        <f t="shared" si="3"/>
        <v>1</v>
      </c>
      <c r="AB13" s="1558">
        <f t="shared" si="4"/>
        <v>1</v>
      </c>
      <c r="AC13" s="1558">
        <f t="shared" si="5"/>
        <v>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57"/>
      <c r="Z14" s="1146" t="str">
        <f t="shared" si="7"/>
        <v>配建</v>
      </c>
      <c r="AA14" s="1558">
        <f>D14/F14</f>
        <v>1</v>
      </c>
      <c r="AB14" s="1558">
        <f>D14/H14</f>
        <v>1</v>
      </c>
      <c r="AC14" s="1558">
        <f>D14/J14</f>
        <v>1</v>
      </c>
    </row>
    <row r="15" spans="1:30" ht="21" thickBot="1">
      <c r="A15" s="2873"/>
      <c r="B15" s="3211" t="s">
        <v>3221</v>
      </c>
      <c r="C15" s="32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t="str">
        <f t="shared" si="6"/>
        <v>溢价率</v>
      </c>
      <c r="R15" s="1555" t="s">
        <v>8</v>
      </c>
      <c r="S15" s="1556">
        <f t="shared" si="0"/>
        <v>100</v>
      </c>
      <c r="T15" s="1555" t="s">
        <v>8</v>
      </c>
      <c r="U15" s="1556">
        <f t="shared" si="1"/>
        <v>100</v>
      </c>
      <c r="V15" s="1555" t="s">
        <v>8</v>
      </c>
      <c r="W15" s="1556">
        <f t="shared" si="2"/>
        <v>100</v>
      </c>
      <c r="X15" s="1557"/>
      <c r="Y15" s="3357"/>
      <c r="Z15" s="1146" t="str">
        <f t="shared" si="7"/>
        <v>溢价率</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D16/F16</f>
        <v>1</v>
      </c>
      <c r="AB16" s="1558">
        <f>D16/H16</f>
        <v>1</v>
      </c>
      <c r="AC16" s="1558">
        <f>D16/J16</f>
        <v>1</v>
      </c>
    </row>
    <row r="17" spans="1:29" ht="20.25">
      <c r="A17" s="2866" t="s">
        <v>2750</v>
      </c>
      <c r="B17" s="578" t="s">
        <v>295</v>
      </c>
      <c r="C17" s="548" t="str">
        <f>估价对象房地状况!C15</f>
        <v>一般</v>
      </c>
      <c r="D17" s="551">
        <v>100</v>
      </c>
      <c r="E17" s="552"/>
      <c r="F17" s="549">
        <f>SUMIF(90:90,E18,91:91)-SUMIF(90:90,C18,91:91)+100</f>
        <v>103</v>
      </c>
      <c r="G17" s="550"/>
      <c r="H17" s="549">
        <f>SUMIF(90:90,G18,91:91)-SUMIF(90:90,C18,91:91)+100</f>
        <v>103</v>
      </c>
      <c r="I17" s="552"/>
      <c r="J17" s="549">
        <f>SUMIF(90:90,I18,91:91)-SUMIF(90:90,C18,91:91)+100</f>
        <v>103</v>
      </c>
      <c r="K17" s="535">
        <v>3</v>
      </c>
      <c r="L17" s="2128"/>
      <c r="M17" s="2118"/>
      <c r="N17" s="2118"/>
      <c r="O17" s="2127"/>
      <c r="P17" s="3402" t="s">
        <v>540</v>
      </c>
      <c r="Q17" s="1559" t="str">
        <f t="shared" si="6"/>
        <v>居住社区成熟度</v>
      </c>
      <c r="R17" s="1560" t="s">
        <v>8</v>
      </c>
      <c r="S17" s="1561">
        <f t="shared" si="0"/>
        <v>103</v>
      </c>
      <c r="T17" s="1560" t="s">
        <v>8</v>
      </c>
      <c r="U17" s="1561">
        <f t="shared" si="1"/>
        <v>103</v>
      </c>
      <c r="V17" s="1560" t="s">
        <v>8</v>
      </c>
      <c r="W17" s="1561">
        <f t="shared" si="2"/>
        <v>103</v>
      </c>
      <c r="X17" s="1554"/>
      <c r="Y17" s="3402" t="s">
        <v>540</v>
      </c>
      <c r="Z17" s="1562" t="str">
        <f t="shared" si="7"/>
        <v>居住社区成熟度</v>
      </c>
      <c r="AA17" s="1563">
        <f t="shared" si="3"/>
        <v>0.970873786407767</v>
      </c>
      <c r="AB17" s="1563">
        <f t="shared" si="4"/>
        <v>0.970873786407767</v>
      </c>
      <c r="AC17" s="1563">
        <f t="shared" si="5"/>
        <v>0.970873786407767</v>
      </c>
    </row>
    <row r="18" spans="1:29" ht="20.25">
      <c r="A18" s="532"/>
      <c r="B18" s="553"/>
      <c r="C18" s="3202" t="s">
        <v>3202</v>
      </c>
      <c r="D18" s="557"/>
      <c r="E18" s="3203" t="s">
        <v>3203</v>
      </c>
      <c r="F18" s="555"/>
      <c r="G18" s="3204" t="s">
        <v>3203</v>
      </c>
      <c r="H18" s="559"/>
      <c r="I18" s="3203" t="s">
        <v>3204</v>
      </c>
      <c r="J18" s="555"/>
      <c r="K18" s="531"/>
      <c r="L18" s="2128"/>
      <c r="M18" s="2118"/>
      <c r="N18" s="2118"/>
      <c r="O18" s="2127"/>
      <c r="P18" s="3403"/>
      <c r="Q18" s="1559"/>
      <c r="R18" s="1560"/>
      <c r="S18" s="1561"/>
      <c r="T18" s="1560"/>
      <c r="U18" s="1561"/>
      <c r="V18" s="1560"/>
      <c r="W18" s="1561"/>
      <c r="X18" s="1554"/>
      <c r="Y18" s="3403"/>
      <c r="Z18" s="1562"/>
      <c r="AA18" s="1563">
        <v>1</v>
      </c>
      <c r="AB18" s="1563">
        <v>1</v>
      </c>
      <c r="AC18" s="1563">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3"/>
      <c r="Q19" s="1559" t="str">
        <f>B19</f>
        <v>商业繁华度</v>
      </c>
      <c r="R19" s="1560" t="s">
        <v>8</v>
      </c>
      <c r="S19" s="1561">
        <f>F19</f>
        <v>100</v>
      </c>
      <c r="T19" s="1560" t="s">
        <v>8</v>
      </c>
      <c r="U19" s="1561">
        <f>H19</f>
        <v>100</v>
      </c>
      <c r="V19" s="1560" t="s">
        <v>8</v>
      </c>
      <c r="W19" s="1561">
        <f>J19</f>
        <v>100</v>
      </c>
      <c r="X19" s="1554"/>
      <c r="Y19" s="3403"/>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03"/>
      <c r="Q20" s="1559"/>
      <c r="R20" s="1560"/>
      <c r="S20" s="1561"/>
      <c r="T20" s="1560"/>
      <c r="U20" s="1561"/>
      <c r="V20" s="1560"/>
      <c r="W20" s="1561"/>
      <c r="X20" s="1554"/>
      <c r="Y20" s="3403"/>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3"/>
      <c r="Q21" s="1559" t="str">
        <f>B21</f>
        <v>办公集聚程度</v>
      </c>
      <c r="R21" s="1560" t="s">
        <v>8</v>
      </c>
      <c r="S21" s="1561">
        <f>F21</f>
        <v>100</v>
      </c>
      <c r="T21" s="1560" t="s">
        <v>8</v>
      </c>
      <c r="U21" s="1561">
        <f>H21</f>
        <v>100</v>
      </c>
      <c r="V21" s="1560" t="s">
        <v>8</v>
      </c>
      <c r="W21" s="1561">
        <f>J21</f>
        <v>100</v>
      </c>
      <c r="X21" s="1554"/>
      <c r="Y21" s="3403"/>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3"/>
      <c r="Q22" s="1559"/>
      <c r="R22" s="1560"/>
      <c r="S22" s="1561"/>
      <c r="T22" s="1560"/>
      <c r="U22" s="1561"/>
      <c r="V22" s="1560"/>
      <c r="W22" s="1561"/>
      <c r="X22" s="1554"/>
      <c r="Y22" s="3403"/>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103</v>
      </c>
      <c r="G23" s="562"/>
      <c r="H23" s="559">
        <f>SUMIF(96:96,G24,97:97)-SUMIF(96:96,C24,97:97)+100</f>
        <v>103</v>
      </c>
      <c r="I23" s="564"/>
      <c r="J23" s="559">
        <f>SUMIF(96:96,I24,97:97)-SUMIF(96:96,C24,97:97)+100</f>
        <v>103</v>
      </c>
      <c r="K23" s="535">
        <v>3</v>
      </c>
      <c r="L23" s="2128"/>
      <c r="M23" s="2118"/>
      <c r="N23" s="2118"/>
      <c r="O23" s="2127"/>
      <c r="P23" s="3403"/>
      <c r="Q23" s="1559" t="str">
        <f>B23</f>
        <v>交通便捷度</v>
      </c>
      <c r="R23" s="1560" t="s">
        <v>8</v>
      </c>
      <c r="S23" s="1561">
        <f>F23</f>
        <v>103</v>
      </c>
      <c r="T23" s="1560" t="s">
        <v>8</v>
      </c>
      <c r="U23" s="1561">
        <f>H23</f>
        <v>103</v>
      </c>
      <c r="V23" s="1560" t="s">
        <v>8</v>
      </c>
      <c r="W23" s="1561">
        <f>J23</f>
        <v>103</v>
      </c>
      <c r="X23" s="1554"/>
      <c r="Y23" s="3403"/>
      <c r="Z23" s="1562" t="str">
        <f>Q23</f>
        <v>交通便捷度</v>
      </c>
      <c r="AA23" s="1563">
        <f t="shared" si="3"/>
        <v>0.970873786407767</v>
      </c>
      <c r="AB23" s="1563">
        <f t="shared" si="4"/>
        <v>0.970873786407767</v>
      </c>
      <c r="AC23" s="1563">
        <f t="shared" si="5"/>
        <v>0.970873786407767</v>
      </c>
    </row>
    <row r="24" spans="1:29" ht="20.25">
      <c r="A24" s="532"/>
      <c r="B24" s="578"/>
      <c r="C24" s="3202" t="s">
        <v>3202</v>
      </c>
      <c r="D24" s="557"/>
      <c r="E24" s="3203" t="s">
        <v>3204</v>
      </c>
      <c r="F24" s="555"/>
      <c r="G24" s="3204" t="s">
        <v>3204</v>
      </c>
      <c r="H24" s="555"/>
      <c r="I24" s="3203" t="s">
        <v>3204</v>
      </c>
      <c r="J24" s="555"/>
      <c r="K24" s="531"/>
      <c r="L24" s="2128"/>
      <c r="M24" s="2118"/>
      <c r="N24" s="2118"/>
      <c r="O24" s="2127"/>
      <c r="P24" s="3403"/>
      <c r="Q24" s="1559"/>
      <c r="R24" s="1560"/>
      <c r="S24" s="1561"/>
      <c r="T24" s="1560"/>
      <c r="U24" s="1561"/>
      <c r="V24" s="1560"/>
      <c r="W24" s="1561"/>
      <c r="X24" s="1554"/>
      <c r="Y24" s="3403"/>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3"/>
      <c r="Q25" s="1559" t="str">
        <f t="shared" ref="Q25:Q39" si="8">B25</f>
        <v>区域土地利用方向</v>
      </c>
      <c r="R25" s="1560" t="s">
        <v>8</v>
      </c>
      <c r="S25" s="1561">
        <f>F25</f>
        <v>100</v>
      </c>
      <c r="T25" s="1560" t="s">
        <v>8</v>
      </c>
      <c r="U25" s="1561">
        <f>H25</f>
        <v>100</v>
      </c>
      <c r="V25" s="1560" t="s">
        <v>8</v>
      </c>
      <c r="W25" s="1561">
        <f>J25</f>
        <v>100</v>
      </c>
      <c r="X25" s="1554"/>
      <c r="Y25" s="3403"/>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3"/>
      <c r="Q26" s="1559"/>
      <c r="R26" s="1560"/>
      <c r="S26" s="1561"/>
      <c r="T26" s="1560"/>
      <c r="U26" s="1561"/>
      <c r="V26" s="1560"/>
      <c r="W26" s="1561"/>
      <c r="X26" s="1554"/>
      <c r="Y26" s="3403"/>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3"/>
      <c r="Q27" s="1559" t="str">
        <f t="shared" si="8"/>
        <v>自然及人文环境状况</v>
      </c>
      <c r="R27" s="1560" t="s">
        <v>8</v>
      </c>
      <c r="S27" s="1561">
        <f>F27</f>
        <v>100</v>
      </c>
      <c r="T27" s="1560" t="s">
        <v>8</v>
      </c>
      <c r="U27" s="1561">
        <f>H27</f>
        <v>100</v>
      </c>
      <c r="V27" s="1560" t="s">
        <v>8</v>
      </c>
      <c r="W27" s="1561">
        <f>J27</f>
        <v>100</v>
      </c>
      <c r="X27" s="1554"/>
      <c r="Y27" s="3403"/>
      <c r="Z27" s="1562" t="str">
        <f>Q27</f>
        <v>自然及人文环境状况</v>
      </c>
      <c r="AA27" s="1563">
        <f t="shared" si="3"/>
        <v>1</v>
      </c>
      <c r="AB27" s="1563">
        <f t="shared" si="4"/>
        <v>1</v>
      </c>
      <c r="AC27" s="1563">
        <f t="shared" si="5"/>
        <v>1</v>
      </c>
    </row>
    <row r="28" spans="1:29" ht="20.25">
      <c r="A28" s="515"/>
      <c r="B28" s="566"/>
      <c r="C28" s="3202" t="s">
        <v>3204</v>
      </c>
      <c r="D28" s="557"/>
      <c r="E28" s="3207" t="s">
        <v>3204</v>
      </c>
      <c r="F28" s="555"/>
      <c r="G28" s="3202" t="s">
        <v>3204</v>
      </c>
      <c r="H28" s="555"/>
      <c r="I28" s="3207" t="s">
        <v>3204</v>
      </c>
      <c r="J28" s="555"/>
      <c r="K28" s="531"/>
      <c r="L28" s="2128"/>
      <c r="M28" s="2118"/>
      <c r="N28" s="2118"/>
      <c r="O28" s="2127"/>
      <c r="P28" s="3403"/>
      <c r="Q28" s="1559"/>
      <c r="R28" s="1560"/>
      <c r="S28" s="1561"/>
      <c r="T28" s="1560"/>
      <c r="U28" s="1561"/>
      <c r="V28" s="1560"/>
      <c r="W28" s="1561"/>
      <c r="X28" s="1554"/>
      <c r="Y28" s="3403"/>
      <c r="Z28" s="1562"/>
      <c r="AA28" s="1563">
        <v>1</v>
      </c>
      <c r="AB28" s="1563">
        <v>1</v>
      </c>
      <c r="AC28" s="1563">
        <v>1</v>
      </c>
    </row>
    <row r="29" spans="1:29" s="1216" customFormat="1" ht="20.25">
      <c r="A29" s="577"/>
      <c r="B29" s="2556"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03"/>
      <c r="Q29" s="1147" t="str">
        <f t="shared" si="8"/>
        <v>公共配套设施</v>
      </c>
      <c r="R29" s="1555" t="s">
        <v>8</v>
      </c>
      <c r="S29" s="1556">
        <f>F29</f>
        <v>100</v>
      </c>
      <c r="T29" s="1555" t="s">
        <v>8</v>
      </c>
      <c r="U29" s="1556">
        <f>H29</f>
        <v>100</v>
      </c>
      <c r="V29" s="1555" t="s">
        <v>8</v>
      </c>
      <c r="W29" s="1556">
        <f>J29</f>
        <v>100</v>
      </c>
      <c r="X29" s="1557"/>
      <c r="Y29" s="3403"/>
      <c r="Z29" s="1146" t="str">
        <f>Q29</f>
        <v>公共配套设施</v>
      </c>
      <c r="AA29" s="1563">
        <f>D29/F29</f>
        <v>1</v>
      </c>
      <c r="AB29" s="1563">
        <f>D29/H29</f>
        <v>1</v>
      </c>
      <c r="AC29" s="1563">
        <f>D29/J29</f>
        <v>1</v>
      </c>
    </row>
    <row r="30" spans="1:29" s="1216" customFormat="1" ht="20.25">
      <c r="A30" s="577"/>
      <c r="B30" s="566"/>
      <c r="C30" s="3205" t="s">
        <v>3204</v>
      </c>
      <c r="D30" s="557"/>
      <c r="E30" s="3207" t="s">
        <v>3207</v>
      </c>
      <c r="F30" s="555"/>
      <c r="G30" s="3202" t="s">
        <v>3204</v>
      </c>
      <c r="H30" s="555"/>
      <c r="I30" s="3207" t="s">
        <v>3204</v>
      </c>
      <c r="J30" s="555"/>
      <c r="K30" s="531"/>
      <c r="L30" s="2121"/>
      <c r="M30" s="2118"/>
      <c r="N30" s="2118"/>
      <c r="O30" s="2123"/>
      <c r="P30" s="3403"/>
      <c r="Q30" s="1147"/>
      <c r="R30" s="1555"/>
      <c r="S30" s="1556"/>
      <c r="T30" s="1555"/>
      <c r="U30" s="1556"/>
      <c r="V30" s="1555"/>
      <c r="W30" s="1556"/>
      <c r="X30" s="1557"/>
      <c r="Y30" s="3403"/>
      <c r="Z30" s="1146"/>
      <c r="AA30" s="1563">
        <v>1</v>
      </c>
      <c r="AB30" s="1563">
        <v>1</v>
      </c>
      <c r="AC30" s="1563">
        <v>1</v>
      </c>
    </row>
    <row r="31" spans="1:29" s="1216" customFormat="1" ht="20.25">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3"/>
      <c r="Q31" s="2543" t="str">
        <f t="shared" ref="Q31" si="9">B31</f>
        <v>基础设施水平</v>
      </c>
      <c r="R31" s="1555" t="s">
        <v>8</v>
      </c>
      <c r="S31" s="1556">
        <f>F31</f>
        <v>100</v>
      </c>
      <c r="T31" s="1555" t="s">
        <v>8</v>
      </c>
      <c r="U31" s="1556">
        <f>H31</f>
        <v>100</v>
      </c>
      <c r="V31" s="1555" t="s">
        <v>8</v>
      </c>
      <c r="W31" s="1556">
        <f>J31</f>
        <v>100</v>
      </c>
      <c r="X31" s="1557"/>
      <c r="Y31" s="3403"/>
      <c r="Z31" s="2540" t="str">
        <f>Q31</f>
        <v>基础设施水平</v>
      </c>
      <c r="AA31" s="1563">
        <f>D31/F31</f>
        <v>1</v>
      </c>
      <c r="AB31" s="1563">
        <f>D31/H31</f>
        <v>1</v>
      </c>
      <c r="AC31" s="1563">
        <f>D31/J31</f>
        <v>1</v>
      </c>
    </row>
    <row r="32" spans="1:29" s="1216" customFormat="1" ht="20.25">
      <c r="A32" s="577"/>
      <c r="B32" s="566"/>
      <c r="C32" s="3205" t="s">
        <v>3205</v>
      </c>
      <c r="D32" s="557"/>
      <c r="E32" s="3206" t="s">
        <v>3205</v>
      </c>
      <c r="F32" s="555"/>
      <c r="G32" s="3205" t="s">
        <v>3206</v>
      </c>
      <c r="H32" s="555"/>
      <c r="I32" s="3205" t="s">
        <v>3205</v>
      </c>
      <c r="J32" s="555"/>
      <c r="K32" s="531"/>
      <c r="L32" s="2121"/>
      <c r="M32" s="2118"/>
      <c r="N32" s="2118"/>
      <c r="O32" s="2123"/>
      <c r="P32" s="3403"/>
      <c r="Q32" s="2543"/>
      <c r="R32" s="1555"/>
      <c r="S32" s="1556"/>
      <c r="T32" s="1555"/>
      <c r="U32" s="1556"/>
      <c r="V32" s="1555"/>
      <c r="W32" s="1556"/>
      <c r="X32" s="1557"/>
      <c r="Y32" s="3403"/>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3"/>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128"/>
      <c r="M34" s="2118"/>
      <c r="N34" s="2118"/>
      <c r="O34" s="2127"/>
      <c r="P34" s="3403"/>
      <c r="Q34" s="1559" t="str">
        <f t="shared" si="8"/>
        <v>毗邻道路的类型与等级</v>
      </c>
      <c r="R34" s="1560" t="s">
        <v>8</v>
      </c>
      <c r="S34" s="1561">
        <f t="shared" si="10"/>
        <v>102</v>
      </c>
      <c r="T34" s="1560" t="s">
        <v>8</v>
      </c>
      <c r="U34" s="1561">
        <f t="shared" si="11"/>
        <v>102</v>
      </c>
      <c r="V34" s="1560" t="s">
        <v>8</v>
      </c>
      <c r="W34" s="1561">
        <f t="shared" si="12"/>
        <v>102</v>
      </c>
      <c r="X34" s="1554"/>
      <c r="Y34" s="3403"/>
      <c r="Z34" s="1562" t="str">
        <f t="shared" si="13"/>
        <v>毗邻道路的类型与等级</v>
      </c>
      <c r="AA34" s="1563">
        <f t="shared" si="3"/>
        <v>0.98039215686274506</v>
      </c>
      <c r="AB34" s="1563">
        <f t="shared" si="4"/>
        <v>0.98039215686274506</v>
      </c>
      <c r="AC34" s="1563">
        <f t="shared" si="5"/>
        <v>0.98039215686274506</v>
      </c>
    </row>
    <row r="35" spans="1:29" ht="21" thickBot="1">
      <c r="A35" s="532"/>
      <c r="B35" s="566"/>
      <c r="C35" s="3202" t="s">
        <v>3217</v>
      </c>
      <c r="D35" s="557"/>
      <c r="E35" s="3207" t="s">
        <v>3218</v>
      </c>
      <c r="F35" s="555"/>
      <c r="G35" s="3202" t="s">
        <v>3218</v>
      </c>
      <c r="H35" s="555"/>
      <c r="I35" s="3207" t="s">
        <v>3218</v>
      </c>
      <c r="J35" s="555"/>
      <c r="K35" s="581"/>
      <c r="L35" s="2128"/>
      <c r="M35" s="2118"/>
      <c r="N35" s="2118"/>
      <c r="O35" s="2127"/>
      <c r="P35" s="3403"/>
      <c r="Q35" s="1559"/>
      <c r="R35" s="1560"/>
      <c r="S35" s="1561"/>
      <c r="T35" s="1560"/>
      <c r="U35" s="1561"/>
      <c r="V35" s="1560"/>
      <c r="W35" s="1561"/>
      <c r="X35" s="1554"/>
      <c r="Y35" s="3403"/>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3"/>
      <c r="Q36" s="1559" t="str">
        <f t="shared" si="8"/>
        <v>土地级别</v>
      </c>
      <c r="R36" s="1560" t="s">
        <v>8</v>
      </c>
      <c r="S36" s="1561">
        <f t="shared" si="10"/>
        <v>100</v>
      </c>
      <c r="T36" s="1560" t="s">
        <v>8</v>
      </c>
      <c r="U36" s="1561">
        <f t="shared" si="11"/>
        <v>100</v>
      </c>
      <c r="V36" s="1560" t="s">
        <v>8</v>
      </c>
      <c r="W36" s="1561">
        <f t="shared" si="12"/>
        <v>100</v>
      </c>
      <c r="X36" s="1554"/>
      <c r="Y36" s="3403"/>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3"/>
      <c r="Q37" s="1559">
        <f t="shared" si="8"/>
        <v>111</v>
      </c>
      <c r="R37" s="1560" t="s">
        <v>8</v>
      </c>
      <c r="S37" s="1561">
        <f t="shared" si="10"/>
        <v>100</v>
      </c>
      <c r="T37" s="1560" t="s">
        <v>8</v>
      </c>
      <c r="U37" s="1561">
        <f t="shared" si="11"/>
        <v>100</v>
      </c>
      <c r="V37" s="1560" t="s">
        <v>8</v>
      </c>
      <c r="W37" s="1561">
        <f t="shared" si="12"/>
        <v>100</v>
      </c>
      <c r="X37" s="1554"/>
      <c r="Y37" s="3403"/>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4" t="s">
        <v>550</v>
      </c>
      <c r="Q38" s="1559">
        <f t="shared" si="8"/>
        <v>111</v>
      </c>
      <c r="R38" s="1560" t="s">
        <v>8</v>
      </c>
      <c r="S38" s="1561">
        <f t="shared" si="10"/>
        <v>100</v>
      </c>
      <c r="T38" s="1560" t="s">
        <v>8</v>
      </c>
      <c r="U38" s="1561">
        <f t="shared" si="11"/>
        <v>100</v>
      </c>
      <c r="V38" s="1560" t="s">
        <v>8</v>
      </c>
      <c r="W38" s="1561">
        <f t="shared" si="12"/>
        <v>100</v>
      </c>
      <c r="X38" s="1554"/>
      <c r="Y38" s="3405"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5"/>
      <c r="Q39" s="1559">
        <f t="shared" si="8"/>
        <v>111</v>
      </c>
      <c r="R39" s="1564" t="s">
        <v>8</v>
      </c>
      <c r="S39" s="1565">
        <f t="shared" si="10"/>
        <v>100</v>
      </c>
      <c r="T39" s="1564" t="s">
        <v>8</v>
      </c>
      <c r="U39" s="1565">
        <f t="shared" si="11"/>
        <v>100</v>
      </c>
      <c r="V39" s="1564" t="s">
        <v>8</v>
      </c>
      <c r="W39" s="1565">
        <f t="shared" si="12"/>
        <v>100</v>
      </c>
      <c r="X39" s="1566"/>
      <c r="Y39" s="3405"/>
      <c r="Z39" s="1567">
        <f t="shared" si="13"/>
        <v>111</v>
      </c>
      <c r="AA39" s="1563">
        <f t="shared" si="3"/>
        <v>1</v>
      </c>
      <c r="AB39" s="1563">
        <f t="shared" si="4"/>
        <v>1</v>
      </c>
      <c r="AC39" s="1563">
        <f t="shared" si="5"/>
        <v>1</v>
      </c>
    </row>
    <row r="40" spans="1:29" ht="20.25">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f>Sheet2!D23</f>
        <v>102285</v>
      </c>
      <c r="J40" s="597">
        <f>LOOKUP(I40,119:119,120:120)-LOOKUP(C40,119:119,120:120)+100</f>
        <v>102</v>
      </c>
      <c r="K40" s="581"/>
      <c r="L40" s="2128"/>
      <c r="M40" s="2118"/>
      <c r="N40" s="2118"/>
      <c r="O40" s="2127"/>
      <c r="P40" s="3405"/>
      <c r="Q40" s="1559" t="str">
        <f>B40</f>
        <v>宗地面积</v>
      </c>
      <c r="R40" s="1560" t="s">
        <v>8</v>
      </c>
      <c r="S40" s="1561">
        <f t="shared" si="10"/>
        <v>97</v>
      </c>
      <c r="T40" s="1560" t="s">
        <v>8</v>
      </c>
      <c r="U40" s="1561">
        <f t="shared" si="11"/>
        <v>98</v>
      </c>
      <c r="V40" s="1560" t="s">
        <v>8</v>
      </c>
      <c r="W40" s="1561">
        <f t="shared" si="12"/>
        <v>102</v>
      </c>
      <c r="X40" s="1554"/>
      <c r="Y40" s="3405"/>
      <c r="Z40" s="1562" t="str">
        <f t="shared" si="13"/>
        <v>宗地面积</v>
      </c>
      <c r="AA40" s="1563">
        <f t="shared" si="3"/>
        <v>1.0309278350515463</v>
      </c>
      <c r="AB40" s="1563">
        <f t="shared" si="4"/>
        <v>1.0204081632653061</v>
      </c>
      <c r="AC40" s="1563">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5"/>
      <c r="Q41" s="1559" t="str">
        <f t="shared" ref="Q41:Q47" si="14">B41</f>
        <v>宗地形状</v>
      </c>
      <c r="R41" s="1560" t="s">
        <v>8</v>
      </c>
      <c r="S41" s="1561">
        <f t="shared" si="10"/>
        <v>100</v>
      </c>
      <c r="T41" s="1560" t="s">
        <v>8</v>
      </c>
      <c r="U41" s="1561">
        <f t="shared" si="11"/>
        <v>100</v>
      </c>
      <c r="V41" s="1560" t="s">
        <v>8</v>
      </c>
      <c r="W41" s="1561">
        <f t="shared" si="12"/>
        <v>100</v>
      </c>
      <c r="X41" s="1554"/>
      <c r="Y41" s="3405"/>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5"/>
      <c r="Q42" s="1559" t="str">
        <f t="shared" si="14"/>
        <v>临街宽度及深度</v>
      </c>
      <c r="R42" s="1560" t="s">
        <v>8</v>
      </c>
      <c r="S42" s="1561">
        <f t="shared" si="10"/>
        <v>100</v>
      </c>
      <c r="T42" s="1560" t="s">
        <v>8</v>
      </c>
      <c r="U42" s="1561">
        <f t="shared" si="11"/>
        <v>100</v>
      </c>
      <c r="V42" s="1560" t="s">
        <v>8</v>
      </c>
      <c r="W42" s="1561">
        <f t="shared" si="12"/>
        <v>100</v>
      </c>
      <c r="X42" s="1554"/>
      <c r="Y42" s="3405"/>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5"/>
      <c r="Q43" s="1559" t="str">
        <f t="shared" si="14"/>
        <v>宗地开发程度</v>
      </c>
      <c r="R43" s="1555" t="s">
        <v>8</v>
      </c>
      <c r="S43" s="1556">
        <f t="shared" si="10"/>
        <v>100</v>
      </c>
      <c r="T43" s="1555" t="s">
        <v>8</v>
      </c>
      <c r="U43" s="1556">
        <f t="shared" si="11"/>
        <v>100</v>
      </c>
      <c r="V43" s="1555" t="s">
        <v>8</v>
      </c>
      <c r="W43" s="1556">
        <f t="shared" si="12"/>
        <v>100</v>
      </c>
      <c r="X43" s="1557"/>
      <c r="Y43" s="3405"/>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5" t="s">
        <v>550</v>
      </c>
      <c r="Q44" s="1559" t="str">
        <f t="shared" si="14"/>
        <v>工程地质条件</v>
      </c>
      <c r="R44" s="1560" t="s">
        <v>8</v>
      </c>
      <c r="S44" s="1561">
        <f t="shared" si="10"/>
        <v>100</v>
      </c>
      <c r="T44" s="1560" t="s">
        <v>8</v>
      </c>
      <c r="U44" s="1561">
        <f t="shared" si="11"/>
        <v>100</v>
      </c>
      <c r="V44" s="1560" t="s">
        <v>8</v>
      </c>
      <c r="W44" s="1561">
        <f t="shared" si="12"/>
        <v>100</v>
      </c>
      <c r="X44" s="1554"/>
      <c r="Y44" s="3405"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5"/>
      <c r="Q45" s="1559">
        <f t="shared" si="14"/>
        <v>111</v>
      </c>
      <c r="R45" s="1560" t="s">
        <v>8</v>
      </c>
      <c r="S45" s="1561">
        <f t="shared" si="10"/>
        <v>100</v>
      </c>
      <c r="T45" s="1560" t="s">
        <v>8</v>
      </c>
      <c r="U45" s="1561">
        <f t="shared" si="11"/>
        <v>100</v>
      </c>
      <c r="V45" s="1560" t="s">
        <v>8</v>
      </c>
      <c r="W45" s="1561">
        <f t="shared" si="12"/>
        <v>100</v>
      </c>
      <c r="X45" s="1554"/>
      <c r="Y45" s="3405"/>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5"/>
      <c r="Q46" s="1559">
        <f t="shared" si="14"/>
        <v>111</v>
      </c>
      <c r="R46" s="1560" t="s">
        <v>8</v>
      </c>
      <c r="S46" s="1561">
        <f t="shared" si="10"/>
        <v>100</v>
      </c>
      <c r="T46" s="1560" t="s">
        <v>8</v>
      </c>
      <c r="U46" s="1561">
        <f t="shared" si="11"/>
        <v>100</v>
      </c>
      <c r="V46" s="1560" t="s">
        <v>8</v>
      </c>
      <c r="W46" s="1561">
        <f t="shared" si="12"/>
        <v>100</v>
      </c>
      <c r="X46" s="1554"/>
      <c r="Y46" s="3405"/>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5"/>
      <c r="Q47" s="1559">
        <f t="shared" si="14"/>
        <v>111</v>
      </c>
      <c r="R47" s="1564" t="s">
        <v>8</v>
      </c>
      <c r="S47" s="1565">
        <f t="shared" si="10"/>
        <v>100</v>
      </c>
      <c r="T47" s="1564" t="s">
        <v>8</v>
      </c>
      <c r="U47" s="1565">
        <f t="shared" si="11"/>
        <v>100</v>
      </c>
      <c r="V47" s="1564" t="s">
        <v>8</v>
      </c>
      <c r="W47" s="1565">
        <f t="shared" si="12"/>
        <v>100</v>
      </c>
      <c r="X47" s="1566"/>
      <c r="Y47" s="3405"/>
      <c r="Z47" s="1567">
        <f t="shared" si="13"/>
        <v>111</v>
      </c>
      <c r="AA47" s="1563">
        <f t="shared" si="3"/>
        <v>1</v>
      </c>
      <c r="AB47" s="1563">
        <f t="shared" si="4"/>
        <v>1</v>
      </c>
      <c r="AC47" s="1563">
        <f t="shared" si="5"/>
        <v>1</v>
      </c>
    </row>
    <row r="48" spans="1:29" ht="20.25">
      <c r="A48" s="607" t="s">
        <v>556</v>
      </c>
      <c r="B48" s="608" t="s">
        <v>3020</v>
      </c>
      <c r="C48" s="609" t="s">
        <v>1</v>
      </c>
      <c r="D48" s="610"/>
      <c r="E48" s="611">
        <f>Sheet2!O21</f>
        <v>2037</v>
      </c>
      <c r="F48" s="612"/>
      <c r="G48" s="613">
        <f>Sheet2!O22</f>
        <v>1658</v>
      </c>
      <c r="H48" s="614"/>
      <c r="I48" s="611">
        <f>Sheet2!O23</f>
        <v>2589</v>
      </c>
      <c r="J48" s="614"/>
      <c r="K48" s="1336"/>
      <c r="L48" s="2130"/>
      <c r="M48" s="2118"/>
      <c r="N48" s="2118"/>
      <c r="O48" s="2131"/>
      <c r="P48" s="3400" t="str">
        <f>A48</f>
        <v>成交单价</v>
      </c>
      <c r="Q48" s="3400"/>
      <c r="R48" s="3414">
        <f>E48</f>
        <v>2037</v>
      </c>
      <c r="S48" s="3414"/>
      <c r="T48" s="3414">
        <f>G48</f>
        <v>1658</v>
      </c>
      <c r="U48" s="3414"/>
      <c r="V48" s="3414">
        <f>I48</f>
        <v>2589</v>
      </c>
      <c r="W48" s="3414"/>
      <c r="X48" s="1546"/>
      <c r="Y48" s="1568"/>
      <c r="Z48" s="1546"/>
      <c r="AA48" s="1546"/>
      <c r="AB48" s="1546"/>
      <c r="AC48" s="1546"/>
    </row>
    <row r="49" spans="1:29" ht="21" thickBot="1">
      <c r="A49" s="615" t="s">
        <v>2689</v>
      </c>
      <c r="B49" s="616"/>
      <c r="C49" s="617">
        <f>R50</f>
        <v>2031</v>
      </c>
      <c r="D49" s="618"/>
      <c r="E49" s="617">
        <f>R49</f>
        <v>2021</v>
      </c>
      <c r="F49" s="619"/>
      <c r="G49" s="620">
        <f>T49</f>
        <v>1629</v>
      </c>
      <c r="H49" s="618"/>
      <c r="I49" s="617">
        <f>V49</f>
        <v>2443</v>
      </c>
      <c r="J49" s="618"/>
      <c r="K49" s="1337"/>
      <c r="L49" s="2130"/>
      <c r="M49" s="2118"/>
      <c r="N49" s="2118"/>
      <c r="O49" s="2131"/>
      <c r="P49" s="3400" t="str">
        <f>A49</f>
        <v>比较价格（元/平方米）</v>
      </c>
      <c r="Q49" s="3400"/>
      <c r="R49" s="3425">
        <f>ROUND(PRODUCT(R48,AA9:AA47),0)</f>
        <v>2021</v>
      </c>
      <c r="S49" s="3425"/>
      <c r="T49" s="3425">
        <f>ROUND(PRODUCT(T48,AB9:AB47),0)</f>
        <v>1629</v>
      </c>
      <c r="U49" s="3425"/>
      <c r="V49" s="3425">
        <f>ROUND(PRODUCT(V48,AC9:AC47),0)</f>
        <v>2443</v>
      </c>
      <c r="W49" s="3425"/>
      <c r="X49" s="1546"/>
      <c r="Y49" s="1546"/>
      <c r="Z49" s="1546"/>
      <c r="AA49" s="1546"/>
      <c r="AB49" s="1546"/>
      <c r="AC49" s="1546"/>
    </row>
    <row r="50" spans="1:29" ht="21" thickBot="1">
      <c r="A50" s="621" t="s">
        <v>2926</v>
      </c>
      <c r="B50" s="622"/>
      <c r="C50" s="623">
        <f>R50</f>
        <v>2031</v>
      </c>
      <c r="D50" s="623"/>
      <c r="E50" s="623"/>
      <c r="F50" s="623"/>
      <c r="G50" s="623"/>
      <c r="H50" s="623"/>
      <c r="I50" s="623"/>
      <c r="J50" s="623"/>
      <c r="K50" s="1338"/>
      <c r="L50" s="2130"/>
      <c r="M50" s="2118"/>
      <c r="N50" s="2118"/>
      <c r="O50" s="2131"/>
      <c r="P50" s="3422" t="str">
        <f>A50</f>
        <v>估价对象XX用房的比较价格（楼面单价，元/平方米）</v>
      </c>
      <c r="Q50" s="3423"/>
      <c r="R50" s="3424">
        <f>ROUND(AVERAGE(R49:V49),0)</f>
        <v>2031</v>
      </c>
      <c r="S50" s="3424"/>
      <c r="T50" s="3424"/>
      <c r="U50" s="3424"/>
      <c r="V50" s="3424"/>
      <c r="W50" s="342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7.9168728352301265E-3</v>
      </c>
      <c r="F53" s="627" t="str">
        <f>IF(OR(E53&gt;=0.3,E53&lt;=-0.3),"超过30%","")</f>
        <v/>
      </c>
      <c r="G53" s="626">
        <f>IF(G48&lt;G49,G49/G48-1,G48/G49-1)</f>
        <v>1.7802332719459857E-2</v>
      </c>
      <c r="H53" s="627" t="str">
        <f>IF(OR(G53&gt;=0.3,G53&lt;=-0.3),"超过30%","")</f>
        <v/>
      </c>
      <c r="I53" s="626">
        <f>IF(I48&lt;I49,I49/I48-1,I48/I49-1)</f>
        <v>5.9762586983217458E-2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0.2406384284837324</v>
      </c>
      <c r="F54" s="627" t="str">
        <f>IF(OR(E54&gt;=0.2,E54&lt;=-0.2),"超过20%","")</f>
        <v>超过20%</v>
      </c>
      <c r="G54" s="626">
        <f>IF(G49&lt;I49,I49/G49-1,G49/I49-1)</f>
        <v>0.49969306322897489</v>
      </c>
      <c r="H54" s="627" t="str">
        <f>IF(OR(G54&gt;=0.2,G54&lt;=-0.2),"超过20%","")</f>
        <v>超过20%</v>
      </c>
      <c r="I54" s="626">
        <f>IF(I49&lt;E49,E49/I49-1,I49/E49-1)</f>
        <v>0.20880752102919353</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0.22858866103739439</v>
      </c>
      <c r="F55" s="627" t="str">
        <f>IF(OR(E55&gt;=0.3,E55&lt;=-0.3),"超过30%","")</f>
        <v/>
      </c>
      <c r="G55" s="626">
        <f>IF(G48&lt;I48,I48/G48-1,G48/I48-1)</f>
        <v>0.56151990349819059</v>
      </c>
      <c r="H55" s="627" t="str">
        <f>IF(OR(G55&gt;=0.3,G55&lt;=-0.3),"超过30%","")</f>
        <v>超过30%</v>
      </c>
      <c r="I55" s="626">
        <f>IF(I48&lt;E48,E48/I48-1,I48/E48-1)</f>
        <v>0.27098674521354926</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384" t="s">
        <v>2278</v>
      </c>
      <c r="H57" s="3385"/>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2031</v>
      </c>
      <c r="C58" s="635">
        <v>1</v>
      </c>
      <c r="D58" s="2214">
        <v>1</v>
      </c>
      <c r="E58" s="635">
        <f>'数据-汇总表'!E8+'数据-汇总表'!E9</f>
        <v>76249.05</v>
      </c>
      <c r="F58" s="636">
        <f t="shared" ref="F58:F67" si="15">ROUND(B58*E58/10000,0)</f>
        <v>15486</v>
      </c>
      <c r="G58" s="3386"/>
      <c r="H58" s="338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8"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76249.05</v>
      </c>
      <c r="F68" s="644">
        <f>IF(B48="楼面地价",SUM(F58:F67),ROUND(C50*E68/10000,0))</f>
        <v>15486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688">
        <v>0</v>
      </c>
      <c r="D86" s="688" t="s">
        <v>3222</v>
      </c>
      <c r="E86" s="688" t="s">
        <v>3223</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110</v>
      </c>
      <c r="E87" s="692">
        <v>120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0" t="s">
        <v>3219</v>
      </c>
      <c r="D108" s="3210" t="s">
        <v>3220</v>
      </c>
      <c r="E108" s="3210" t="s">
        <v>3218</v>
      </c>
      <c r="F108" s="3210" t="s">
        <v>3217</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18122</v>
      </c>
      <c r="C2" s="2090"/>
      <c r="D2" s="2090"/>
      <c r="E2" s="2090"/>
      <c r="F2" s="2090"/>
      <c r="G2" s="2090"/>
      <c r="H2" s="2090"/>
      <c r="I2" s="2090"/>
      <c r="J2" s="2090"/>
      <c r="K2" s="2090"/>
    </row>
    <row r="3" spans="1:31" s="2027" customFormat="1" ht="18" customHeight="1">
      <c r="A3" s="2092" t="s">
        <v>1683</v>
      </c>
      <c r="B3" s="2093">
        <f ca="1">ROUND(B2*10000/IF(B1="",'数据-汇总表'!E3,INDIRECT("'数据-取费表'!K"&amp;$K$1)),0)</f>
        <v>2301</v>
      </c>
      <c r="C3" s="2090"/>
      <c r="D3" s="2090"/>
      <c r="E3" s="2090"/>
      <c r="F3" s="2090"/>
      <c r="G3" s="2090"/>
      <c r="H3" s="2090"/>
      <c r="I3" s="2090"/>
      <c r="J3" s="2090"/>
      <c r="K3" s="2090"/>
    </row>
    <row r="4" spans="1:31" s="2027" customFormat="1" ht="18" customHeight="1">
      <c r="A4" s="426" t="s">
        <v>468</v>
      </c>
      <c r="B4" s="427">
        <f ca="1">ROUND(B2*10000/IF(B1="",'数据-汇总表'!D3,INDIRECT("'数据-取费表'!R"&amp;$K$1)),0)</f>
        <v>2531</v>
      </c>
      <c r="C4" s="428"/>
      <c r="D4" s="422"/>
      <c r="E4" s="422"/>
      <c r="F4" s="422"/>
      <c r="G4" s="422"/>
      <c r="H4" s="422"/>
      <c r="I4" s="422"/>
      <c r="J4" s="422"/>
      <c r="K4" s="422"/>
    </row>
    <row r="5" spans="1:31" s="2027" customFormat="1" ht="18" customHeight="1" thickBot="1">
      <c r="A5" s="429"/>
      <c r="B5" s="430">
        <f ca="1">ROUND(B2/(IF(B1="",'数据-汇总表'!D3,INDIRECT("'数据-取费表'!R"&amp;$K$1))/666.67),0)</f>
        <v>169</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23429</v>
      </c>
      <c r="D13" s="2800"/>
      <c r="E13" s="2801"/>
      <c r="F13" s="2802"/>
      <c r="G13" s="2768"/>
      <c r="H13" s="2769"/>
      <c r="I13" s="2769"/>
      <c r="J13" s="2769"/>
      <c r="K13" s="2770"/>
    </row>
    <row r="14" spans="1:31" s="2102" customFormat="1" ht="13.5" customHeight="1">
      <c r="A14" s="2798" t="s">
        <v>1848</v>
      </c>
      <c r="B14" s="2799" t="s">
        <v>480</v>
      </c>
      <c r="C14" s="53">
        <f ca="1">ROUND(C13*F14,0)</f>
        <v>703</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1144</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351</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27202</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573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1452</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1452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35605</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35605</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7643</v>
      </c>
      <c r="D33" s="467">
        <f ca="1">C34</f>
        <v>0.25729999999999997</v>
      </c>
      <c r="E33" s="469" t="s">
        <v>495</v>
      </c>
      <c r="F33" s="479">
        <f ca="1">IF(B1="",'数据-取费表'!Q16,INDIRECT("'数据-取费表'!q"&amp;$K$1))</f>
        <v>0.25</v>
      </c>
      <c r="G33" s="2772"/>
      <c r="H33" s="2773"/>
      <c r="I33" s="2773"/>
      <c r="J33" s="2773"/>
      <c r="K33" s="2774"/>
    </row>
    <row r="34" spans="1:11" s="2109" customFormat="1" ht="13.5" customHeight="1">
      <c r="A34" s="375" t="s">
        <v>1855</v>
      </c>
      <c r="B34" s="2819" t="s">
        <v>501</v>
      </c>
      <c r="C34" s="472">
        <f ca="1">ROUND((1+C25)*F33,4)</f>
        <v>0.25729999999999997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7643</v>
      </c>
      <c r="D35" s="1615"/>
      <c r="E35" s="2820"/>
      <c r="F35" s="1616"/>
      <c r="G35" s="2778"/>
      <c r="H35" s="2779"/>
      <c r="I35" s="2779"/>
      <c r="J35" s="2779"/>
      <c r="K35" s="2780"/>
    </row>
    <row r="36" spans="1:11" s="2071" customFormat="1" ht="13.5" customHeight="1" thickBot="1">
      <c r="A36" s="284" t="s">
        <v>1843</v>
      </c>
      <c r="B36" s="2782"/>
      <c r="C36" s="2821">
        <f ca="1">ROUND((C6-C30-C33)/(1+D30+D33),0)</f>
        <v>18122</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9" t="str">
        <f>项目基本情况!B1</f>
        <v>出让国有建设用地使用权抵押价格预评估</v>
      </c>
      <c r="C37" s="3219"/>
      <c r="D37" s="3219"/>
      <c r="E37" s="3219"/>
      <c r="F37" s="3219"/>
      <c r="G37" s="3219"/>
      <c r="H37" s="3219"/>
      <c r="I37" s="3219"/>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23429</v>
      </c>
      <c r="D13" s="451"/>
      <c r="E13" s="365"/>
      <c r="F13" s="452"/>
      <c r="G13" s="444"/>
      <c r="H13" s="447"/>
      <c r="I13" s="447"/>
      <c r="J13" s="447"/>
      <c r="K13" s="448"/>
    </row>
    <row r="14" spans="1:41" s="2102" customFormat="1" ht="13.5" customHeight="1">
      <c r="A14" s="1619" t="s">
        <v>1848</v>
      </c>
      <c r="B14" s="449" t="s">
        <v>480</v>
      </c>
      <c r="C14" s="53">
        <f ca="1">ROUND(C13*F14,0)</f>
        <v>703</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1144</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351</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27202</v>
      </c>
      <c r="D18" s="461"/>
      <c r="E18" s="462"/>
      <c r="F18" s="462"/>
      <c r="G18" s="1323" t="s">
        <v>2429</v>
      </c>
      <c r="H18" s="447"/>
      <c r="I18" s="447"/>
      <c r="J18" s="447"/>
      <c r="K18" s="448"/>
    </row>
    <row r="19" spans="1:14" s="2105" customFormat="1" ht="13.5" customHeight="1">
      <c r="A19" s="1620" t="s">
        <v>1853</v>
      </c>
      <c r="B19" s="459" t="s">
        <v>493</v>
      </c>
      <c r="C19" s="460">
        <f ca="1">ROUND(C18*F19,0)</f>
        <v>544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1318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1318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6937</v>
      </c>
      <c r="D24" s="489">
        <f ca="1">C26</f>
        <v>5.0000000000000001E-3</v>
      </c>
      <c r="E24" s="469" t="s">
        <v>507</v>
      </c>
      <c r="F24" s="479">
        <f ca="1">IF(B1="",'数据-取费表'!Q16,INDIRECT("'数据-取费表'!q"&amp;$K$1))</f>
        <v>0.25</v>
      </c>
      <c r="G24" s="444"/>
      <c r="H24" s="447"/>
      <c r="I24" s="447"/>
      <c r="J24" s="447"/>
      <c r="K24" s="448"/>
    </row>
    <row r="25" spans="1:14" s="2106" customFormat="1" ht="13.5" customHeight="1">
      <c r="A25" s="1619" t="s">
        <v>1847</v>
      </c>
      <c r="B25" s="1324" t="s">
        <v>2433</v>
      </c>
      <c r="C25" s="490">
        <f ca="1">ROUND((C18+C19)*F24,0)</f>
        <v>6937</v>
      </c>
      <c r="D25" s="472"/>
      <c r="E25" s="473"/>
      <c r="F25" s="480"/>
      <c r="G25" s="1322" t="s">
        <v>2430</v>
      </c>
      <c r="H25" s="457"/>
      <c r="I25" s="457"/>
      <c r="J25" s="457"/>
      <c r="K25" s="458"/>
    </row>
    <row r="26" spans="1:14" s="2106" customFormat="1" ht="13.5" customHeight="1">
      <c r="A26" s="1619" t="s">
        <v>1848</v>
      </c>
      <c r="B26" s="1324" t="s">
        <v>509</v>
      </c>
      <c r="C26" s="491">
        <f ca="1">ROUND(F20*F24,4)</f>
        <v>5.0000000000000001E-3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39064</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6" t="s">
        <v>522</v>
      </c>
      <c r="D6" s="3407"/>
      <c r="E6" s="3431" t="s">
        <v>523</v>
      </c>
      <c r="F6" s="3432"/>
      <c r="G6" s="3406" t="s">
        <v>524</v>
      </c>
      <c r="H6" s="3407"/>
      <c r="I6" s="3406" t="s">
        <v>525</v>
      </c>
      <c r="J6" s="3407"/>
      <c r="K6" s="514" t="s">
        <v>526</v>
      </c>
      <c r="L6" s="2119"/>
      <c r="M6" s="2120"/>
      <c r="N6" s="2120"/>
      <c r="O6" s="2120"/>
      <c r="P6" s="3408" t="s">
        <v>527</v>
      </c>
      <c r="Q6" s="3409"/>
      <c r="R6" s="3394" t="s">
        <v>523</v>
      </c>
      <c r="S6" s="3395"/>
      <c r="T6" s="3394" t="s">
        <v>524</v>
      </c>
      <c r="U6" s="3395"/>
      <c r="V6" s="3414" t="s">
        <v>525</v>
      </c>
      <c r="W6" s="3414"/>
      <c r="X6" s="1554"/>
      <c r="Y6" s="3394" t="s">
        <v>527</v>
      </c>
      <c r="Z6" s="3395"/>
      <c r="AA6" s="3389" t="s">
        <v>523</v>
      </c>
      <c r="AB6" s="3390" t="s">
        <v>524</v>
      </c>
      <c r="AC6" s="3389" t="s">
        <v>525</v>
      </c>
    </row>
    <row r="7" spans="1:29" ht="15">
      <c r="A7" s="515"/>
      <c r="B7" s="516"/>
      <c r="C7" s="3417" t="s">
        <v>2920</v>
      </c>
      <c r="D7" s="3418"/>
      <c r="E7" s="3433" t="s">
        <v>2921</v>
      </c>
      <c r="F7" s="3434"/>
      <c r="G7" s="3417" t="s">
        <v>2922</v>
      </c>
      <c r="H7" s="3418"/>
      <c r="I7" s="3417" t="s">
        <v>2923</v>
      </c>
      <c r="J7" s="3418"/>
      <c r="K7" s="514"/>
      <c r="L7" s="2119"/>
      <c r="M7" s="2120"/>
      <c r="N7" s="2120"/>
      <c r="O7" s="2120"/>
      <c r="P7" s="3410"/>
      <c r="Q7" s="3411"/>
      <c r="R7" s="3396"/>
      <c r="S7" s="3397"/>
      <c r="T7" s="3396"/>
      <c r="U7" s="3397"/>
      <c r="V7" s="3414"/>
      <c r="W7" s="3414"/>
      <c r="X7" s="1554"/>
      <c r="Y7" s="3396"/>
      <c r="Z7" s="3397"/>
      <c r="AA7" s="3390"/>
      <c r="AB7" s="3390"/>
      <c r="AC7" s="3390"/>
    </row>
    <row r="8" spans="1:29" ht="15.75" thickBot="1">
      <c r="A8" s="517"/>
      <c r="B8" s="518"/>
      <c r="C8" s="3415" t="s">
        <v>2924</v>
      </c>
      <c r="D8" s="3416"/>
      <c r="E8" s="3435" t="s">
        <v>2924</v>
      </c>
      <c r="F8" s="3436"/>
      <c r="G8" s="3415" t="s">
        <v>2924</v>
      </c>
      <c r="H8" s="3416"/>
      <c r="I8" s="3415" t="s">
        <v>2924</v>
      </c>
      <c r="J8" s="3416"/>
      <c r="K8" s="514" t="s">
        <v>528</v>
      </c>
      <c r="L8" s="2119"/>
      <c r="M8" s="2120"/>
      <c r="N8" s="2120"/>
      <c r="O8" s="2120"/>
      <c r="P8" s="3412"/>
      <c r="Q8" s="3413"/>
      <c r="R8" s="3396"/>
      <c r="S8" s="3397"/>
      <c r="T8" s="3398"/>
      <c r="U8" s="3399"/>
      <c r="V8" s="3414"/>
      <c r="W8" s="3414"/>
      <c r="X8" s="1554"/>
      <c r="Y8" s="3398"/>
      <c r="Z8" s="3399"/>
      <c r="AA8" s="3391"/>
      <c r="AB8" s="3391"/>
      <c r="AC8" s="3391"/>
    </row>
    <row r="9" spans="1:29" s="1216" customFormat="1" ht="15.7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2" t="s">
        <v>530</v>
      </c>
      <c r="Q9" s="3401"/>
      <c r="R9" s="1555" t="s">
        <v>8</v>
      </c>
      <c r="S9" s="1556">
        <f t="shared" ref="S9:S17" si="0">F9</f>
        <v>0</v>
      </c>
      <c r="T9" s="1555" t="s">
        <v>8</v>
      </c>
      <c r="U9" s="1556">
        <f t="shared" ref="U9:U17" si="1">H9</f>
        <v>0</v>
      </c>
      <c r="V9" s="1555" t="s">
        <v>8</v>
      </c>
      <c r="W9" s="1556">
        <f t="shared" ref="W9:W17" si="2">J9</f>
        <v>0</v>
      </c>
      <c r="X9" s="1557"/>
      <c r="Y9" s="3392" t="s">
        <v>530</v>
      </c>
      <c r="Z9" s="339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2" t="s">
        <v>533</v>
      </c>
      <c r="Q10" s="3393"/>
      <c r="R10" s="1555" t="s">
        <v>8</v>
      </c>
      <c r="S10" s="1556">
        <f t="shared" si="0"/>
        <v>0</v>
      </c>
      <c r="T10" s="1555" t="s">
        <v>8</v>
      </c>
      <c r="U10" s="1556">
        <f t="shared" si="1"/>
        <v>0</v>
      </c>
      <c r="V10" s="1555" t="s">
        <v>8</v>
      </c>
      <c r="W10" s="1556">
        <f t="shared" si="2"/>
        <v>0</v>
      </c>
      <c r="X10" s="1557"/>
      <c r="Y10" s="3392" t="s">
        <v>533</v>
      </c>
      <c r="Z10" s="3393"/>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0"/>
      <c r="Q12" s="1147" t="str">
        <f t="shared" si="6"/>
        <v>土地使用年限（年）</v>
      </c>
      <c r="R12" s="1555" t="s">
        <v>8</v>
      </c>
      <c r="S12" s="1556">
        <f t="shared" si="0"/>
        <v>100</v>
      </c>
      <c r="T12" s="1555" t="s">
        <v>8</v>
      </c>
      <c r="U12" s="1556">
        <f t="shared" si="1"/>
        <v>100</v>
      </c>
      <c r="V12" s="1555" t="s">
        <v>8</v>
      </c>
      <c r="W12" s="1556">
        <f t="shared" si="2"/>
        <v>100</v>
      </c>
      <c r="X12" s="1557"/>
      <c r="Y12" s="3357"/>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5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2" t="s">
        <v>540</v>
      </c>
      <c r="Q17" s="1559" t="str">
        <f t="shared" si="6"/>
        <v>产业集聚程度</v>
      </c>
      <c r="R17" s="1560" t="s">
        <v>8</v>
      </c>
      <c r="S17" s="1561">
        <f t="shared" si="0"/>
        <v>100</v>
      </c>
      <c r="T17" s="1560" t="s">
        <v>8</v>
      </c>
      <c r="U17" s="1561">
        <f t="shared" si="1"/>
        <v>100</v>
      </c>
      <c r="V17" s="1560" t="s">
        <v>8</v>
      </c>
      <c r="W17" s="1561">
        <f t="shared" si="2"/>
        <v>100</v>
      </c>
      <c r="X17" s="1554"/>
      <c r="Y17" s="3402"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3"/>
      <c r="Q18" s="1559"/>
      <c r="R18" s="1560"/>
      <c r="S18" s="1561"/>
      <c r="T18" s="1560"/>
      <c r="U18" s="1561"/>
      <c r="V18" s="1560"/>
      <c r="W18" s="1561"/>
      <c r="X18" s="1554"/>
      <c r="Y18" s="3403"/>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3"/>
      <c r="Q19" s="1559" t="str">
        <f>B19</f>
        <v>交通便捷度</v>
      </c>
      <c r="R19" s="1560" t="s">
        <v>8</v>
      </c>
      <c r="S19" s="1561">
        <f>F19</f>
        <v>100</v>
      </c>
      <c r="T19" s="1560" t="s">
        <v>8</v>
      </c>
      <c r="U19" s="1561">
        <f>H19</f>
        <v>100</v>
      </c>
      <c r="V19" s="1560" t="s">
        <v>8</v>
      </c>
      <c r="W19" s="1561">
        <f>J19</f>
        <v>100</v>
      </c>
      <c r="X19" s="1554"/>
      <c r="Y19" s="340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3"/>
      <c r="Q20" s="1559"/>
      <c r="R20" s="1560"/>
      <c r="S20" s="1561"/>
      <c r="T20" s="1560"/>
      <c r="U20" s="1561"/>
      <c r="V20" s="1560"/>
      <c r="W20" s="1561"/>
      <c r="X20" s="1554"/>
      <c r="Y20" s="3403"/>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3"/>
      <c r="Q21" s="1559" t="str">
        <f t="shared" ref="Q21:Q35" si="8">B21</f>
        <v>区域土地利用方向</v>
      </c>
      <c r="R21" s="1560" t="s">
        <v>8</v>
      </c>
      <c r="S21" s="1561">
        <f>F21</f>
        <v>100</v>
      </c>
      <c r="T21" s="1560" t="s">
        <v>8</v>
      </c>
      <c r="U21" s="1561">
        <f>H21</f>
        <v>100</v>
      </c>
      <c r="V21" s="1560" t="s">
        <v>8</v>
      </c>
      <c r="W21" s="1561">
        <f>J21</f>
        <v>100</v>
      </c>
      <c r="X21" s="1554"/>
      <c r="Y21" s="340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3"/>
      <c r="Q22" s="1559"/>
      <c r="R22" s="1560"/>
      <c r="S22" s="1561"/>
      <c r="T22" s="1560"/>
      <c r="U22" s="1561"/>
      <c r="V22" s="1560"/>
      <c r="W22" s="1561"/>
      <c r="X22" s="1554"/>
      <c r="Y22" s="3403"/>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3"/>
      <c r="Q23" s="1559" t="str">
        <f t="shared" si="8"/>
        <v>环境状况</v>
      </c>
      <c r="R23" s="1560" t="s">
        <v>8</v>
      </c>
      <c r="S23" s="1561">
        <f>F23</f>
        <v>100</v>
      </c>
      <c r="T23" s="1560" t="s">
        <v>8</v>
      </c>
      <c r="U23" s="1561">
        <f>H23</f>
        <v>100</v>
      </c>
      <c r="V23" s="1560" t="s">
        <v>8</v>
      </c>
      <c r="W23" s="1561">
        <f>J23</f>
        <v>100</v>
      </c>
      <c r="X23" s="1554"/>
      <c r="Y23" s="340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3"/>
      <c r="Q24" s="1559"/>
      <c r="R24" s="1560"/>
      <c r="S24" s="1561"/>
      <c r="T24" s="1560"/>
      <c r="U24" s="1561"/>
      <c r="V24" s="1560"/>
      <c r="W24" s="1561"/>
      <c r="X24" s="1554"/>
      <c r="Y24" s="3403"/>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3"/>
      <c r="Q25" s="1147" t="str">
        <f t="shared" si="8"/>
        <v>公共配套设施</v>
      </c>
      <c r="R25" s="1555" t="s">
        <v>8</v>
      </c>
      <c r="S25" s="1556">
        <f>F25</f>
        <v>100</v>
      </c>
      <c r="T25" s="1555" t="s">
        <v>8</v>
      </c>
      <c r="U25" s="1556">
        <f>H25</f>
        <v>100</v>
      </c>
      <c r="V25" s="1555" t="s">
        <v>8</v>
      </c>
      <c r="W25" s="1556">
        <f>J25</f>
        <v>100</v>
      </c>
      <c r="X25" s="1557"/>
      <c r="Y25" s="340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3"/>
      <c r="Q26" s="1147"/>
      <c r="R26" s="1555"/>
      <c r="S26" s="1556"/>
      <c r="T26" s="1555"/>
      <c r="U26" s="1556"/>
      <c r="V26" s="1555"/>
      <c r="W26" s="1556"/>
      <c r="X26" s="1557"/>
      <c r="Y26" s="3403"/>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3"/>
      <c r="Q27" s="2543" t="str">
        <f t="shared" ref="Q27" si="9">B27</f>
        <v>基础设施水平</v>
      </c>
      <c r="R27" s="1555" t="s">
        <v>8</v>
      </c>
      <c r="S27" s="1556">
        <f>F27</f>
        <v>100</v>
      </c>
      <c r="T27" s="1555" t="s">
        <v>8</v>
      </c>
      <c r="U27" s="1556">
        <f>H27</f>
        <v>100</v>
      </c>
      <c r="V27" s="1555" t="s">
        <v>8</v>
      </c>
      <c r="W27" s="1556">
        <f>J27</f>
        <v>100</v>
      </c>
      <c r="X27" s="1557"/>
      <c r="Y27" s="340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3"/>
      <c r="Q28" s="2543"/>
      <c r="R28" s="1555"/>
      <c r="S28" s="1556"/>
      <c r="T28" s="1555"/>
      <c r="U28" s="1556"/>
      <c r="V28" s="1555"/>
      <c r="W28" s="1556"/>
      <c r="X28" s="1557"/>
      <c r="Y28" s="3403"/>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3"/>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3"/>
      <c r="Q30" s="1559" t="str">
        <f t="shared" si="8"/>
        <v>毗邻道路的类型与等级</v>
      </c>
      <c r="R30" s="1560" t="s">
        <v>8</v>
      </c>
      <c r="S30" s="1561">
        <f t="shared" si="10"/>
        <v>100</v>
      </c>
      <c r="T30" s="1560" t="s">
        <v>8</v>
      </c>
      <c r="U30" s="1561">
        <f t="shared" si="11"/>
        <v>100</v>
      </c>
      <c r="V30" s="1560" t="s">
        <v>8</v>
      </c>
      <c r="W30" s="1561">
        <f t="shared" si="12"/>
        <v>100</v>
      </c>
      <c r="X30" s="1554"/>
      <c r="Y30" s="340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3"/>
      <c r="Q31" s="1559"/>
      <c r="R31" s="1560"/>
      <c r="S31" s="1561"/>
      <c r="T31" s="1560"/>
      <c r="U31" s="1561"/>
      <c r="V31" s="1560"/>
      <c r="W31" s="1561"/>
      <c r="X31" s="1554"/>
      <c r="Y31" s="3403"/>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3"/>
      <c r="Q32" s="1559" t="str">
        <f t="shared" si="8"/>
        <v>土地级别</v>
      </c>
      <c r="R32" s="1560" t="s">
        <v>8</v>
      </c>
      <c r="S32" s="1561">
        <f t="shared" si="10"/>
        <v>100</v>
      </c>
      <c r="T32" s="1560" t="s">
        <v>8</v>
      </c>
      <c r="U32" s="1561">
        <f t="shared" si="11"/>
        <v>100</v>
      </c>
      <c r="V32" s="1560" t="s">
        <v>8</v>
      </c>
      <c r="W32" s="1561">
        <f t="shared" si="12"/>
        <v>100</v>
      </c>
      <c r="X32" s="1554"/>
      <c r="Y32" s="340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3"/>
      <c r="Q33" s="1559">
        <f t="shared" si="8"/>
        <v>111</v>
      </c>
      <c r="R33" s="1560" t="s">
        <v>8</v>
      </c>
      <c r="S33" s="1561">
        <f t="shared" si="10"/>
        <v>100</v>
      </c>
      <c r="T33" s="1560" t="s">
        <v>8</v>
      </c>
      <c r="U33" s="1561">
        <f t="shared" si="11"/>
        <v>100</v>
      </c>
      <c r="V33" s="1560" t="s">
        <v>8</v>
      </c>
      <c r="W33" s="1561">
        <f t="shared" si="12"/>
        <v>100</v>
      </c>
      <c r="X33" s="1554"/>
      <c r="Y33" s="340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4" t="s">
        <v>550</v>
      </c>
      <c r="Q34" s="1559">
        <f t="shared" si="8"/>
        <v>111</v>
      </c>
      <c r="R34" s="1560" t="s">
        <v>8</v>
      </c>
      <c r="S34" s="1561">
        <f t="shared" si="10"/>
        <v>100</v>
      </c>
      <c r="T34" s="1560" t="s">
        <v>8</v>
      </c>
      <c r="U34" s="1561">
        <f t="shared" si="11"/>
        <v>100</v>
      </c>
      <c r="V34" s="1560" t="s">
        <v>8</v>
      </c>
      <c r="W34" s="1561">
        <f t="shared" si="12"/>
        <v>100</v>
      </c>
      <c r="X34" s="1554"/>
      <c r="Y34" s="3405"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5"/>
      <c r="Q35" s="1559">
        <f t="shared" si="8"/>
        <v>111</v>
      </c>
      <c r="R35" s="1564" t="s">
        <v>8</v>
      </c>
      <c r="S35" s="1565">
        <f t="shared" si="10"/>
        <v>100</v>
      </c>
      <c r="T35" s="1564" t="s">
        <v>8</v>
      </c>
      <c r="U35" s="1565">
        <f t="shared" si="11"/>
        <v>100</v>
      </c>
      <c r="V35" s="1564" t="s">
        <v>8</v>
      </c>
      <c r="W35" s="1565">
        <f t="shared" si="12"/>
        <v>100</v>
      </c>
      <c r="X35" s="1566"/>
      <c r="Y35" s="3405"/>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5"/>
      <c r="Q36" s="1559" t="str">
        <f>B36</f>
        <v>宗地面积</v>
      </c>
      <c r="R36" s="1560" t="s">
        <v>8</v>
      </c>
      <c r="S36" s="1561" t="e">
        <f t="shared" si="10"/>
        <v>#N/A</v>
      </c>
      <c r="T36" s="1560" t="s">
        <v>8</v>
      </c>
      <c r="U36" s="1561" t="e">
        <f t="shared" si="11"/>
        <v>#N/A</v>
      </c>
      <c r="V36" s="1560" t="s">
        <v>8</v>
      </c>
      <c r="W36" s="1561" t="e">
        <f t="shared" si="12"/>
        <v>#N/A</v>
      </c>
      <c r="X36" s="1554"/>
      <c r="Y36" s="3405"/>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5"/>
      <c r="Q37" s="1559" t="str">
        <f t="shared" ref="Q37:Q42" si="14">B37</f>
        <v>宗地形状</v>
      </c>
      <c r="R37" s="1560" t="s">
        <v>8</v>
      </c>
      <c r="S37" s="1561">
        <f t="shared" si="10"/>
        <v>100</v>
      </c>
      <c r="T37" s="1560" t="s">
        <v>8</v>
      </c>
      <c r="U37" s="1561">
        <f t="shared" si="11"/>
        <v>100</v>
      </c>
      <c r="V37" s="1560" t="s">
        <v>8</v>
      </c>
      <c r="W37" s="1561">
        <f t="shared" si="12"/>
        <v>100</v>
      </c>
      <c r="X37" s="1554"/>
      <c r="Y37" s="3405"/>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5"/>
      <c r="Q38" s="1559" t="str">
        <f t="shared" si="14"/>
        <v>宗地开发程度</v>
      </c>
      <c r="R38" s="1555" t="s">
        <v>8</v>
      </c>
      <c r="S38" s="1556">
        <f t="shared" si="10"/>
        <v>100</v>
      </c>
      <c r="T38" s="1555" t="s">
        <v>8</v>
      </c>
      <c r="U38" s="1556">
        <f t="shared" si="11"/>
        <v>100</v>
      </c>
      <c r="V38" s="1555" t="s">
        <v>8</v>
      </c>
      <c r="W38" s="1556">
        <f t="shared" si="12"/>
        <v>100</v>
      </c>
      <c r="X38" s="1557"/>
      <c r="Y38" s="3405"/>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5" t="s">
        <v>601</v>
      </c>
      <c r="Q39" s="1559" t="str">
        <f t="shared" si="14"/>
        <v>工程地质条件</v>
      </c>
      <c r="R39" s="1560" t="s">
        <v>8</v>
      </c>
      <c r="S39" s="1561">
        <f t="shared" si="10"/>
        <v>100</v>
      </c>
      <c r="T39" s="1560" t="s">
        <v>8</v>
      </c>
      <c r="U39" s="1561">
        <f t="shared" si="11"/>
        <v>100</v>
      </c>
      <c r="V39" s="1560" t="s">
        <v>8</v>
      </c>
      <c r="W39" s="1561">
        <f t="shared" si="12"/>
        <v>100</v>
      </c>
      <c r="X39" s="1554"/>
      <c r="Y39" s="3405"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5"/>
      <c r="Q40" s="1559">
        <f t="shared" si="14"/>
        <v>111</v>
      </c>
      <c r="R40" s="1560" t="s">
        <v>8</v>
      </c>
      <c r="S40" s="1561">
        <f t="shared" si="10"/>
        <v>100</v>
      </c>
      <c r="T40" s="1560" t="s">
        <v>8</v>
      </c>
      <c r="U40" s="1561">
        <f t="shared" si="11"/>
        <v>100</v>
      </c>
      <c r="V40" s="1560" t="s">
        <v>8</v>
      </c>
      <c r="W40" s="1561">
        <f t="shared" si="12"/>
        <v>100</v>
      </c>
      <c r="X40" s="1554"/>
      <c r="Y40" s="340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5"/>
      <c r="Q41" s="1559">
        <f t="shared" si="14"/>
        <v>111</v>
      </c>
      <c r="R41" s="1560" t="s">
        <v>8</v>
      </c>
      <c r="S41" s="1561">
        <f t="shared" si="10"/>
        <v>100</v>
      </c>
      <c r="T41" s="1560" t="s">
        <v>8</v>
      </c>
      <c r="U41" s="1561">
        <f t="shared" si="11"/>
        <v>100</v>
      </c>
      <c r="V41" s="1560" t="s">
        <v>8</v>
      </c>
      <c r="W41" s="1561">
        <f t="shared" si="12"/>
        <v>100</v>
      </c>
      <c r="X41" s="1554"/>
      <c r="Y41" s="340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5"/>
      <c r="Q42" s="1559">
        <f t="shared" si="14"/>
        <v>111</v>
      </c>
      <c r="R42" s="1564" t="s">
        <v>8</v>
      </c>
      <c r="S42" s="1565">
        <f t="shared" si="10"/>
        <v>100</v>
      </c>
      <c r="T42" s="1564" t="s">
        <v>8</v>
      </c>
      <c r="U42" s="1565">
        <f t="shared" si="11"/>
        <v>100</v>
      </c>
      <c r="V42" s="1564" t="s">
        <v>8</v>
      </c>
      <c r="W42" s="1565">
        <f t="shared" si="12"/>
        <v>100</v>
      </c>
      <c r="X42" s="1566"/>
      <c r="Y42" s="3405"/>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400" t="str">
        <f>A43</f>
        <v>成交单价</v>
      </c>
      <c r="Q43" s="3400"/>
      <c r="R43" s="3414">
        <f>E43</f>
        <v>0</v>
      </c>
      <c r="S43" s="3414"/>
      <c r="T43" s="3414">
        <f>G43</f>
        <v>0</v>
      </c>
      <c r="U43" s="3414"/>
      <c r="V43" s="3414">
        <f>I43</f>
        <v>0</v>
      </c>
      <c r="W43" s="3414"/>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25" t="e">
        <f>ROUND(PRODUCT(R43,AA9:AA42),0)</f>
        <v>#DIV/0!</v>
      </c>
      <c r="S44" s="3425"/>
      <c r="T44" s="3425" t="e">
        <f>ROUND(PRODUCT(T43,AB9:AB42),0)</f>
        <v>#DIV/0!</v>
      </c>
      <c r="U44" s="3425"/>
      <c r="V44" s="3425" t="e">
        <f>ROUND(PRODUCT(V43,AC9:AC42),0)</f>
        <v>#DIV/0!</v>
      </c>
      <c r="W44" s="3425"/>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422" t="str">
        <f>A45</f>
        <v>估价对象XX用房的比较价格（楼面单价，元/平方米）</v>
      </c>
      <c r="Q45" s="3423"/>
      <c r="R45" s="3424" t="e">
        <f>ROUND(AVERAGE(R44:V44),0)</f>
        <v>#DIV/0!</v>
      </c>
      <c r="S45" s="3424"/>
      <c r="T45" s="3424"/>
      <c r="U45" s="3424"/>
      <c r="V45" s="3424"/>
      <c r="W45" s="342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2290</v>
      </c>
      <c r="E52" s="631" t="s">
        <v>562</v>
      </c>
      <c r="F52" s="1937" t="s">
        <v>563</v>
      </c>
      <c r="G52" s="3426" t="s">
        <v>2281</v>
      </c>
      <c r="H52" s="3427"/>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76249.05</v>
      </c>
      <c r="F53" s="1936" t="e">
        <f t="shared" ref="F53:F62" si="15">ROUND(B53*E53/10000,0)</f>
        <v>#DIV/0!</v>
      </c>
      <c r="G53" s="3428"/>
      <c r="H53" s="342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0"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8"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39"/>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9" t="s">
        <v>2779</v>
      </c>
      <c r="X8" s="3450"/>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39"/>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8"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9"/>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9"/>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8"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8"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8"/>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0"/>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4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0"/>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1"/>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8" t="s">
        <v>1837</v>
      </c>
      <c r="B16" s="1424" t="s">
        <v>949</v>
      </c>
      <c r="C16" s="1052" t="e">
        <f>ROUND(IF(F17="与级别开发程度一致",0,(G17-E17)/C17),0)</f>
        <v>#DIV/0!</v>
      </c>
      <c r="D16" s="3456" t="s">
        <v>953</v>
      </c>
      <c r="E16" s="3457"/>
      <c r="F16" s="3456" t="s">
        <v>950</v>
      </c>
      <c r="G16" s="3457"/>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2"/>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5"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6"/>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6"/>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7"/>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3" t="s">
        <v>1632</v>
      </c>
      <c r="B90" s="3443"/>
      <c r="C90" s="3443"/>
      <c r="D90" s="3443"/>
      <c r="E90" s="3443"/>
      <c r="F90" s="3443"/>
      <c r="G90" s="3443"/>
      <c r="H90" s="3443"/>
      <c r="I90" s="3443"/>
      <c r="J90" s="3443"/>
      <c r="K90" s="2415"/>
      <c r="L90" s="2415"/>
      <c r="M90" s="2415"/>
      <c r="N90" s="2415"/>
    </row>
    <row r="91" spans="1:40">
      <c r="A91" s="3444" t="s">
        <v>1442</v>
      </c>
      <c r="B91" s="3444" t="s">
        <v>1633</v>
      </c>
      <c r="C91" s="1136" t="s">
        <v>1634</v>
      </c>
      <c r="D91" s="1137"/>
      <c r="E91" s="1137"/>
      <c r="F91" s="1137"/>
      <c r="G91" s="1137"/>
      <c r="H91" s="1137"/>
      <c r="I91" s="1137"/>
      <c r="J91" s="1138"/>
      <c r="K91" s="1130"/>
      <c r="L91" s="1130"/>
      <c r="M91" s="1130"/>
      <c r="N91" s="1130"/>
    </row>
    <row r="92" spans="1:40">
      <c r="A92" s="3444"/>
      <c r="B92" s="3444"/>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1"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2"/>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1"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2"/>
      <c r="B108" s="3454"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3"/>
      <c r="B109" s="345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7" t="s">
        <v>1638</v>
      </c>
      <c r="B110" s="3437"/>
      <c r="C110" s="3437"/>
      <c r="D110" s="3437"/>
      <c r="E110" s="3437"/>
      <c r="F110" s="3437"/>
      <c r="G110" s="3437"/>
      <c r="H110" s="3437"/>
      <c r="I110" s="3437"/>
      <c r="J110" s="3437"/>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4" t="s">
        <v>1006</v>
      </c>
      <c r="B18" s="1150" t="s">
        <v>1445</v>
      </c>
      <c r="C18" s="1127" t="s">
        <v>1446</v>
      </c>
      <c r="D18" s="1128"/>
      <c r="E18" s="1150">
        <v>1</v>
      </c>
      <c r="F18" s="1129" t="s">
        <v>1447</v>
      </c>
      <c r="G18" s="1130"/>
      <c r="H18" s="1101"/>
      <c r="I18" s="1101"/>
    </row>
    <row r="19" spans="1:9" s="1585" customFormat="1" ht="19.5" customHeight="1">
      <c r="A19" s="3444"/>
      <c r="B19" s="3444" t="s">
        <v>1448</v>
      </c>
      <c r="C19" s="1127" t="s">
        <v>1449</v>
      </c>
      <c r="D19" s="1128"/>
      <c r="E19" s="1150">
        <v>0.9</v>
      </c>
      <c r="F19" s="1129" t="s">
        <v>1450</v>
      </c>
      <c r="G19" s="1130"/>
      <c r="H19" s="1101"/>
      <c r="I19" s="1101"/>
    </row>
    <row r="20" spans="1:9" s="1585" customFormat="1" ht="19.5" customHeight="1">
      <c r="A20" s="3444"/>
      <c r="B20" s="3444"/>
      <c r="C20" s="1127" t="s">
        <v>1451</v>
      </c>
      <c r="D20" s="1128"/>
      <c r="E20" s="1150">
        <v>1.1000000000000001</v>
      </c>
      <c r="F20" s="1129" t="s">
        <v>1452</v>
      </c>
      <c r="G20" s="1130"/>
      <c r="H20" s="1101"/>
      <c r="I20" s="1101"/>
    </row>
    <row r="21" spans="1:9" s="1585" customFormat="1" ht="19.5" customHeight="1">
      <c r="A21" s="3444"/>
      <c r="B21" s="3444"/>
      <c r="C21" s="1127" t="s">
        <v>1453</v>
      </c>
      <c r="D21" s="1128"/>
      <c r="E21" s="1150">
        <v>0.8</v>
      </c>
      <c r="F21" s="1129" t="s">
        <v>1454</v>
      </c>
      <c r="G21" s="1130"/>
      <c r="H21" s="1101"/>
      <c r="I21" s="1101"/>
    </row>
    <row r="22" spans="1:9" s="1585" customFormat="1" ht="19.5" customHeight="1">
      <c r="A22" s="3444"/>
      <c r="B22" s="3444"/>
      <c r="C22" s="1127" t="s">
        <v>1455</v>
      </c>
      <c r="D22" s="1128"/>
      <c r="E22" s="1150">
        <v>0.5</v>
      </c>
      <c r="F22" s="1129"/>
      <c r="G22" s="1130"/>
      <c r="H22" s="1101"/>
      <c r="I22" s="1101"/>
    </row>
    <row r="23" spans="1:9" s="1585" customFormat="1" ht="19.5" customHeight="1">
      <c r="A23" s="3444" t="s">
        <v>1028</v>
      </c>
      <c r="B23" s="1150" t="s">
        <v>1445</v>
      </c>
      <c r="C23" s="1127" t="s">
        <v>1456</v>
      </c>
      <c r="D23" s="1128"/>
      <c r="E23" s="1150">
        <v>1</v>
      </c>
      <c r="F23" s="1129" t="s">
        <v>1457</v>
      </c>
      <c r="G23" s="1130"/>
      <c r="H23" s="1101"/>
      <c r="I23" s="1101"/>
    </row>
    <row r="24" spans="1:9" s="1585" customFormat="1" ht="19.5" customHeight="1">
      <c r="A24" s="3444"/>
      <c r="B24" s="3444" t="s">
        <v>1448</v>
      </c>
      <c r="C24" s="1127" t="s">
        <v>1458</v>
      </c>
      <c r="D24" s="1128"/>
      <c r="E24" s="1150">
        <v>0.5</v>
      </c>
      <c r="F24" s="1129"/>
      <c r="G24" s="1130"/>
      <c r="H24" s="1101"/>
      <c r="I24" s="1101"/>
    </row>
    <row r="25" spans="1:9" s="1585" customFormat="1" ht="19.5" customHeight="1">
      <c r="A25" s="3444"/>
      <c r="B25" s="3444"/>
      <c r="C25" s="1127" t="s">
        <v>1459</v>
      </c>
      <c r="D25" s="1128"/>
      <c r="E25" s="1150">
        <v>1.1000000000000001</v>
      </c>
      <c r="F25" s="1129"/>
      <c r="G25" s="1130"/>
      <c r="H25" s="1101"/>
      <c r="I25" s="1101"/>
    </row>
    <row r="26" spans="1:9" s="1585" customFormat="1" ht="19.5" customHeight="1">
      <c r="A26" s="3444"/>
      <c r="B26" s="3444"/>
      <c r="C26" s="1127" t="s">
        <v>1460</v>
      </c>
      <c r="D26" s="1128"/>
      <c r="E26" s="1150">
        <v>1.1000000000000001</v>
      </c>
      <c r="F26" s="1129"/>
      <c r="G26" s="1130"/>
      <c r="H26" s="1101"/>
      <c r="I26" s="1101"/>
    </row>
    <row r="27" spans="1:9" s="1585" customFormat="1" ht="19.5" customHeight="1">
      <c r="A27" s="3444"/>
      <c r="B27" s="3444"/>
      <c r="C27" s="1127" t="s">
        <v>1461</v>
      </c>
      <c r="D27" s="1128"/>
      <c r="E27" s="1150">
        <v>0.9</v>
      </c>
      <c r="F27" s="1129" t="s">
        <v>1462</v>
      </c>
      <c r="G27" s="1130"/>
      <c r="H27" s="1101"/>
      <c r="I27" s="1101"/>
    </row>
    <row r="28" spans="1:9" s="1585" customFormat="1" ht="19.5" customHeight="1">
      <c r="A28" s="3444"/>
      <c r="B28" s="3444"/>
      <c r="C28" s="1127" t="s">
        <v>1463</v>
      </c>
      <c r="D28" s="1128"/>
      <c r="E28" s="1150">
        <v>0.9</v>
      </c>
      <c r="F28" s="1129" t="s">
        <v>1464</v>
      </c>
      <c r="G28" s="1130"/>
      <c r="H28" s="1101"/>
      <c r="I28" s="1101"/>
    </row>
    <row r="29" spans="1:9" s="1585" customFormat="1" ht="19.5" customHeight="1">
      <c r="A29" s="3444"/>
      <c r="B29" s="3444"/>
      <c r="C29" s="1127" t="s">
        <v>1465</v>
      </c>
      <c r="D29" s="1128"/>
      <c r="E29" s="1150">
        <v>0.9</v>
      </c>
      <c r="F29" s="1129" t="s">
        <v>1466</v>
      </c>
      <c r="G29" s="1130"/>
      <c r="H29" s="1101"/>
      <c r="I29" s="1101"/>
    </row>
    <row r="30" spans="1:9" s="1585" customFormat="1" ht="19.5" customHeight="1">
      <c r="A30" s="3444"/>
      <c r="B30" s="3444"/>
      <c r="C30" s="1127" t="s">
        <v>1467</v>
      </c>
      <c r="D30" s="1128"/>
      <c r="E30" s="1150">
        <v>0.9</v>
      </c>
      <c r="F30" s="1129" t="s">
        <v>1468</v>
      </c>
      <c r="G30" s="1130"/>
      <c r="H30" s="1101"/>
      <c r="I30" s="1101"/>
    </row>
    <row r="31" spans="1:9" s="1585" customFormat="1" ht="19.5" customHeight="1">
      <c r="A31" s="3444"/>
      <c r="B31" s="3444"/>
      <c r="C31" s="1127" t="s">
        <v>1469</v>
      </c>
      <c r="D31" s="1128"/>
      <c r="E31" s="1150">
        <v>0.8</v>
      </c>
      <c r="F31" s="1129" t="s">
        <v>1470</v>
      </c>
      <c r="G31" s="1130"/>
      <c r="H31" s="1101"/>
      <c r="I31" s="1101"/>
    </row>
    <row r="32" spans="1:9" s="1585" customFormat="1" ht="19.5" customHeight="1">
      <c r="A32" s="3444"/>
      <c r="B32" s="3444"/>
      <c r="C32" s="1127" t="s">
        <v>1471</v>
      </c>
      <c r="D32" s="1128"/>
      <c r="E32" s="1150">
        <v>0.8</v>
      </c>
      <c r="F32" s="1129" t="s">
        <v>1472</v>
      </c>
      <c r="G32" s="1130"/>
      <c r="H32" s="1101"/>
      <c r="I32" s="1101"/>
    </row>
    <row r="33" spans="1:9" s="1585" customFormat="1" ht="19.5" customHeight="1">
      <c r="A33" s="3444" t="s">
        <v>1473</v>
      </c>
      <c r="B33" s="1150" t="s">
        <v>1445</v>
      </c>
      <c r="C33" s="1127" t="s">
        <v>1474</v>
      </c>
      <c r="D33" s="1128"/>
      <c r="E33" s="1150">
        <v>1</v>
      </c>
      <c r="F33" s="1129" t="s">
        <v>1475</v>
      </c>
      <c r="G33" s="1130"/>
      <c r="H33" s="1101"/>
      <c r="I33" s="1101"/>
    </row>
    <row r="34" spans="1:9" s="1585" customFormat="1" ht="19.5" customHeight="1">
      <c r="A34" s="3444"/>
      <c r="B34" s="1150" t="s">
        <v>1448</v>
      </c>
      <c r="C34" s="1127" t="s">
        <v>1476</v>
      </c>
      <c r="D34" s="1128"/>
      <c r="E34" s="1150">
        <v>1.5</v>
      </c>
      <c r="F34" s="1129" t="s">
        <v>1477</v>
      </c>
      <c r="G34" s="1130"/>
      <c r="H34" s="1101"/>
      <c r="I34" s="1101"/>
    </row>
    <row r="35" spans="1:9" s="1585" customFormat="1" ht="19.5" customHeight="1">
      <c r="A35" s="3444" t="s">
        <v>1431</v>
      </c>
      <c r="B35" s="1150" t="s">
        <v>1445</v>
      </c>
      <c r="C35" s="1127" t="s">
        <v>1478</v>
      </c>
      <c r="D35" s="1128"/>
      <c r="E35" s="1150">
        <v>1</v>
      </c>
      <c r="F35" s="1129" t="s">
        <v>1479</v>
      </c>
      <c r="G35" s="1130"/>
      <c r="H35" s="1101"/>
      <c r="I35" s="1101"/>
    </row>
    <row r="36" spans="1:9" s="1585" customFormat="1" ht="19.5" customHeight="1">
      <c r="A36" s="3444"/>
      <c r="B36" s="3444" t="s">
        <v>1448</v>
      </c>
      <c r="C36" s="1127" t="s">
        <v>1480</v>
      </c>
      <c r="D36" s="1128"/>
      <c r="E36" s="1150">
        <v>1</v>
      </c>
      <c r="F36" s="1129" t="s">
        <v>1481</v>
      </c>
      <c r="G36" s="1130"/>
      <c r="H36" s="1101"/>
      <c r="I36" s="1101"/>
    </row>
    <row r="37" spans="1:9" s="1585" customFormat="1" ht="19.5" customHeight="1">
      <c r="A37" s="3444"/>
      <c r="B37" s="3444"/>
      <c r="C37" s="1127" t="s">
        <v>1482</v>
      </c>
      <c r="D37" s="1128"/>
      <c r="E37" s="1150">
        <v>1.5</v>
      </c>
      <c r="F37" s="1129" t="s">
        <v>1483</v>
      </c>
      <c r="G37" s="1130"/>
      <c r="H37" s="1101"/>
      <c r="I37" s="1101"/>
    </row>
    <row r="38" spans="1:9" s="1585" customFormat="1" ht="19.5" customHeight="1">
      <c r="A38" s="3444"/>
      <c r="B38" s="3444"/>
      <c r="C38" s="1127" t="s">
        <v>1484</v>
      </c>
      <c r="D38" s="1128"/>
      <c r="E38" s="1150">
        <v>1</v>
      </c>
      <c r="F38" s="1129" t="s">
        <v>1485</v>
      </c>
      <c r="G38" s="1130"/>
      <c r="H38" s="1101"/>
      <c r="I38" s="1101"/>
    </row>
    <row r="39" spans="1:9" s="1585" customFormat="1" ht="19.5" customHeight="1">
      <c r="A39" s="3444"/>
      <c r="B39" s="3444"/>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4" t="s">
        <v>1500</v>
      </c>
      <c r="C61" s="1064" t="s">
        <v>1501</v>
      </c>
      <c r="D61" s="1064" t="s">
        <v>1502</v>
      </c>
      <c r="E61" s="1135">
        <v>0.5</v>
      </c>
      <c r="F61" s="1150">
        <v>80</v>
      </c>
      <c r="H61" s="1101">
        <f>SUMIF(C59:C119,基准地价!C8,E59:E119)</f>
        <v>0</v>
      </c>
    </row>
    <row r="62" spans="1:8" s="1101" customFormat="1" ht="24">
      <c r="A62" s="1150">
        <v>2</v>
      </c>
      <c r="B62" s="3444"/>
      <c r="C62" s="1064" t="s">
        <v>1503</v>
      </c>
      <c r="D62" s="1064" t="s">
        <v>1504</v>
      </c>
      <c r="E62" s="1135">
        <v>0.5</v>
      </c>
      <c r="F62" s="1150">
        <v>80</v>
      </c>
    </row>
    <row r="63" spans="1:8" s="1101" customFormat="1" ht="36">
      <c r="A63" s="1150">
        <v>3</v>
      </c>
      <c r="B63" s="3444"/>
      <c r="C63" s="1064" t="s">
        <v>1505</v>
      </c>
      <c r="D63" s="1064" t="s">
        <v>1506</v>
      </c>
      <c r="E63" s="1135">
        <v>0.5</v>
      </c>
      <c r="F63" s="1150">
        <v>80</v>
      </c>
    </row>
    <row r="64" spans="1:8" s="1101" customFormat="1" ht="36">
      <c r="A64" s="1150">
        <v>4</v>
      </c>
      <c r="B64" s="3444"/>
      <c r="C64" s="1064" t="s">
        <v>1507</v>
      </c>
      <c r="D64" s="1064" t="s">
        <v>1508</v>
      </c>
      <c r="E64" s="1135">
        <v>0.4</v>
      </c>
      <c r="F64" s="1150">
        <v>60</v>
      </c>
    </row>
    <row r="65" spans="1:6" s="1101" customFormat="1" ht="36">
      <c r="A65" s="1150">
        <v>5</v>
      </c>
      <c r="B65" s="3444"/>
      <c r="C65" s="1064" t="s">
        <v>1509</v>
      </c>
      <c r="D65" s="1064" t="s">
        <v>1510</v>
      </c>
      <c r="E65" s="1135">
        <v>0.2</v>
      </c>
      <c r="F65" s="1150">
        <v>30</v>
      </c>
    </row>
    <row r="66" spans="1:6" s="1101" customFormat="1" ht="36">
      <c r="A66" s="1150">
        <v>6</v>
      </c>
      <c r="B66" s="3444"/>
      <c r="C66" s="1064" t="s">
        <v>1511</v>
      </c>
      <c r="D66" s="1064" t="s">
        <v>1512</v>
      </c>
      <c r="E66" s="1135">
        <v>0.3</v>
      </c>
      <c r="F66" s="1150">
        <v>50</v>
      </c>
    </row>
    <row r="67" spans="1:6" s="1101" customFormat="1" ht="36">
      <c r="A67" s="1150">
        <v>7</v>
      </c>
      <c r="B67" s="3444"/>
      <c r="C67" s="1064" t="s">
        <v>1513</v>
      </c>
      <c r="D67" s="1064" t="s">
        <v>1514</v>
      </c>
      <c r="E67" s="1135">
        <v>0.2</v>
      </c>
      <c r="F67" s="1150">
        <v>30</v>
      </c>
    </row>
    <row r="68" spans="1:6" s="1101" customFormat="1" ht="36">
      <c r="A68" s="1150">
        <v>8</v>
      </c>
      <c r="B68" s="3444"/>
      <c r="C68" s="1064" t="s">
        <v>1515</v>
      </c>
      <c r="D68" s="1064" t="s">
        <v>1516</v>
      </c>
      <c r="E68" s="1135">
        <v>0.2</v>
      </c>
      <c r="F68" s="1150">
        <v>30</v>
      </c>
    </row>
    <row r="69" spans="1:6" s="1101" customFormat="1" ht="36">
      <c r="A69" s="1150">
        <v>9</v>
      </c>
      <c r="B69" s="3444"/>
      <c r="C69" s="1064" t="s">
        <v>1517</v>
      </c>
      <c r="D69" s="1064" t="s">
        <v>1518</v>
      </c>
      <c r="E69" s="1135">
        <v>0.2</v>
      </c>
      <c r="F69" s="1150">
        <v>30</v>
      </c>
    </row>
    <row r="70" spans="1:6" s="1101" customFormat="1" ht="48">
      <c r="A70" s="1150">
        <v>10</v>
      </c>
      <c r="B70" s="3444"/>
      <c r="C70" s="1064" t="s">
        <v>1519</v>
      </c>
      <c r="D70" s="1064" t="s">
        <v>1520</v>
      </c>
      <c r="E70" s="1135">
        <v>0.2</v>
      </c>
      <c r="F70" s="1150">
        <v>30</v>
      </c>
    </row>
    <row r="71" spans="1:6" s="1101" customFormat="1" ht="48">
      <c r="A71" s="1150">
        <v>11</v>
      </c>
      <c r="B71" s="3444"/>
      <c r="C71" s="1064" t="s">
        <v>1521</v>
      </c>
      <c r="D71" s="1064" t="s">
        <v>1522</v>
      </c>
      <c r="E71" s="1135">
        <v>0.2</v>
      </c>
      <c r="F71" s="1150">
        <v>30</v>
      </c>
    </row>
    <row r="72" spans="1:6" s="1101" customFormat="1" ht="36">
      <c r="A72" s="1150">
        <v>12</v>
      </c>
      <c r="B72" s="3444"/>
      <c r="C72" s="1064" t="s">
        <v>1523</v>
      </c>
      <c r="D72" s="1064" t="s">
        <v>1524</v>
      </c>
      <c r="E72" s="1135">
        <v>0.5</v>
      </c>
      <c r="F72" s="1150">
        <v>80</v>
      </c>
    </row>
    <row r="73" spans="1:6" s="1101" customFormat="1" ht="24">
      <c r="A73" s="1150">
        <v>13</v>
      </c>
      <c r="B73" s="3444"/>
      <c r="C73" s="1064" t="s">
        <v>1525</v>
      </c>
      <c r="D73" s="1064" t="s">
        <v>1526</v>
      </c>
      <c r="E73" s="1135">
        <v>0.4</v>
      </c>
      <c r="F73" s="1150">
        <v>60</v>
      </c>
    </row>
    <row r="74" spans="1:6" s="1101" customFormat="1" ht="24">
      <c r="A74" s="1150">
        <v>14</v>
      </c>
      <c r="B74" s="3444"/>
      <c r="C74" s="1064" t="s">
        <v>1527</v>
      </c>
      <c r="D74" s="1064" t="s">
        <v>1528</v>
      </c>
      <c r="E74" s="1135">
        <v>0.2</v>
      </c>
      <c r="F74" s="1150">
        <v>30</v>
      </c>
    </row>
    <row r="75" spans="1:6" s="1101" customFormat="1" ht="24">
      <c r="A75" s="1150">
        <v>15</v>
      </c>
      <c r="B75" s="3444"/>
      <c r="C75" s="1064" t="s">
        <v>1529</v>
      </c>
      <c r="D75" s="1064" t="s">
        <v>1530</v>
      </c>
      <c r="E75" s="1135">
        <v>0.2</v>
      </c>
      <c r="F75" s="1150">
        <v>30</v>
      </c>
    </row>
    <row r="76" spans="1:6" s="1101" customFormat="1" ht="24">
      <c r="A76" s="1150">
        <v>16</v>
      </c>
      <c r="B76" s="3444" t="s">
        <v>1531</v>
      </c>
      <c r="C76" s="1064" t="s">
        <v>1532</v>
      </c>
      <c r="D76" s="1064" t="s">
        <v>1533</v>
      </c>
      <c r="E76" s="1135">
        <v>0.5</v>
      </c>
      <c r="F76" s="1150">
        <v>80</v>
      </c>
    </row>
    <row r="77" spans="1:6" s="1101" customFormat="1" ht="24">
      <c r="A77" s="1150">
        <v>17</v>
      </c>
      <c r="B77" s="3444"/>
      <c r="C77" s="1064" t="s">
        <v>1534</v>
      </c>
      <c r="D77" s="1064" t="s">
        <v>1535</v>
      </c>
      <c r="E77" s="1135">
        <v>0.5</v>
      </c>
      <c r="F77" s="1150">
        <v>80</v>
      </c>
    </row>
    <row r="78" spans="1:6" s="1101" customFormat="1" ht="24">
      <c r="A78" s="1150">
        <v>18</v>
      </c>
      <c r="B78" s="3444"/>
      <c r="C78" s="1064" t="s">
        <v>1536</v>
      </c>
      <c r="D78" s="1064" t="s">
        <v>1537</v>
      </c>
      <c r="E78" s="1135">
        <v>0.2</v>
      </c>
      <c r="F78" s="1150">
        <v>30</v>
      </c>
    </row>
    <row r="79" spans="1:6" s="1101" customFormat="1" ht="24">
      <c r="A79" s="1150">
        <v>19</v>
      </c>
      <c r="B79" s="3444"/>
      <c r="C79" s="1064" t="s">
        <v>1538</v>
      </c>
      <c r="D79" s="1064" t="s">
        <v>1539</v>
      </c>
      <c r="E79" s="1135">
        <v>0.5</v>
      </c>
      <c r="F79" s="1150">
        <v>80</v>
      </c>
    </row>
    <row r="80" spans="1:6" s="1101" customFormat="1" ht="36">
      <c r="A80" s="1150">
        <v>20</v>
      </c>
      <c r="B80" s="3444"/>
      <c r="C80" s="1064" t="s">
        <v>1540</v>
      </c>
      <c r="D80" s="1064" t="s">
        <v>1541</v>
      </c>
      <c r="E80" s="1135">
        <v>0.2</v>
      </c>
      <c r="F80" s="1150">
        <v>30</v>
      </c>
    </row>
    <row r="81" spans="1:6" s="1101" customFormat="1" ht="36">
      <c r="A81" s="1150">
        <v>21</v>
      </c>
      <c r="B81" s="3444"/>
      <c r="C81" s="1064" t="s">
        <v>1542</v>
      </c>
      <c r="D81" s="1064" t="s">
        <v>1543</v>
      </c>
      <c r="E81" s="1135">
        <v>0.2</v>
      </c>
      <c r="F81" s="1150">
        <v>30</v>
      </c>
    </row>
    <row r="82" spans="1:6" s="1101" customFormat="1" ht="48">
      <c r="A82" s="1150">
        <v>22</v>
      </c>
      <c r="B82" s="3444"/>
      <c r="C82" s="1064" t="s">
        <v>1544</v>
      </c>
      <c r="D82" s="1064" t="s">
        <v>1545</v>
      </c>
      <c r="E82" s="1135">
        <v>0.2</v>
      </c>
      <c r="F82" s="1150">
        <v>30</v>
      </c>
    </row>
    <row r="83" spans="1:6" s="1101" customFormat="1" ht="48">
      <c r="A83" s="1150">
        <v>23</v>
      </c>
      <c r="B83" s="3444"/>
      <c r="C83" s="1064" t="s">
        <v>1546</v>
      </c>
      <c r="D83" s="1064" t="s">
        <v>1547</v>
      </c>
      <c r="E83" s="1135">
        <v>0.2</v>
      </c>
      <c r="F83" s="1150">
        <v>30</v>
      </c>
    </row>
    <row r="84" spans="1:6" s="1101" customFormat="1" ht="36">
      <c r="A84" s="1150">
        <v>24</v>
      </c>
      <c r="B84" s="3444"/>
      <c r="C84" s="1064" t="s">
        <v>1548</v>
      </c>
      <c r="D84" s="1064" t="s">
        <v>1549</v>
      </c>
      <c r="E84" s="1135">
        <v>0.2</v>
      </c>
      <c r="F84" s="1150">
        <v>30</v>
      </c>
    </row>
    <row r="85" spans="1:6" s="1101" customFormat="1" ht="36">
      <c r="A85" s="1150">
        <v>25</v>
      </c>
      <c r="B85" s="3444"/>
      <c r="C85" s="1064" t="s">
        <v>1550</v>
      </c>
      <c r="D85" s="1064" t="s">
        <v>1551</v>
      </c>
      <c r="E85" s="1135">
        <v>0.5</v>
      </c>
      <c r="F85" s="1150">
        <v>80</v>
      </c>
    </row>
    <row r="86" spans="1:6" s="1101" customFormat="1" ht="36">
      <c r="A86" s="1150">
        <v>26</v>
      </c>
      <c r="B86" s="3444"/>
      <c r="C86" s="1064" t="s">
        <v>1552</v>
      </c>
      <c r="D86" s="1064" t="s">
        <v>1553</v>
      </c>
      <c r="E86" s="1135">
        <v>0.2</v>
      </c>
      <c r="F86" s="1150">
        <v>30</v>
      </c>
    </row>
    <row r="87" spans="1:6" s="1101" customFormat="1" ht="36">
      <c r="A87" s="1150">
        <v>27</v>
      </c>
      <c r="B87" s="3444"/>
      <c r="C87" s="1064" t="s">
        <v>1554</v>
      </c>
      <c r="D87" s="1064" t="s">
        <v>1555</v>
      </c>
      <c r="E87" s="1135">
        <v>0.2</v>
      </c>
      <c r="F87" s="1150">
        <v>30</v>
      </c>
    </row>
    <row r="88" spans="1:6" s="1101" customFormat="1" ht="36">
      <c r="A88" s="1150">
        <v>28</v>
      </c>
      <c r="B88" s="3444"/>
      <c r="C88" s="1064" t="s">
        <v>1556</v>
      </c>
      <c r="D88" s="1064" t="s">
        <v>1557</v>
      </c>
      <c r="E88" s="1135">
        <v>0.2</v>
      </c>
      <c r="F88" s="1150">
        <v>30</v>
      </c>
    </row>
    <row r="89" spans="1:6" s="1101" customFormat="1" ht="24">
      <c r="A89" s="1150">
        <v>29</v>
      </c>
      <c r="B89" s="3444"/>
      <c r="C89" s="1064" t="s">
        <v>1558</v>
      </c>
      <c r="D89" s="1064" t="s">
        <v>1559</v>
      </c>
      <c r="E89" s="1135">
        <v>0.2</v>
      </c>
      <c r="F89" s="1150">
        <v>30</v>
      </c>
    </row>
    <row r="90" spans="1:6" s="1101" customFormat="1" ht="24">
      <c r="A90" s="1150">
        <v>30</v>
      </c>
      <c r="B90" s="3444"/>
      <c r="C90" s="1064" t="s">
        <v>1560</v>
      </c>
      <c r="D90" s="1064" t="s">
        <v>1561</v>
      </c>
      <c r="E90" s="1135">
        <v>0.2</v>
      </c>
      <c r="F90" s="1150">
        <v>30</v>
      </c>
    </row>
    <row r="91" spans="1:6" s="1101" customFormat="1" ht="36">
      <c r="A91" s="1150">
        <v>31</v>
      </c>
      <c r="B91" s="3444"/>
      <c r="C91" s="1064" t="s">
        <v>1562</v>
      </c>
      <c r="D91" s="1064" t="s">
        <v>1563</v>
      </c>
      <c r="E91" s="1135">
        <v>0.2</v>
      </c>
      <c r="F91" s="1150">
        <v>30</v>
      </c>
    </row>
    <row r="92" spans="1:6" s="1101" customFormat="1" ht="24">
      <c r="A92" s="1150">
        <v>32</v>
      </c>
      <c r="B92" s="3444" t="s">
        <v>1564</v>
      </c>
      <c r="C92" s="1150" t="s">
        <v>1565</v>
      </c>
      <c r="D92" s="1064" t="s">
        <v>1566</v>
      </c>
      <c r="E92" s="1135">
        <v>0.2</v>
      </c>
      <c r="F92" s="1150">
        <v>30</v>
      </c>
    </row>
    <row r="93" spans="1:6" s="1101" customFormat="1" ht="36">
      <c r="A93" s="1150">
        <v>33</v>
      </c>
      <c r="B93" s="3444"/>
      <c r="C93" s="1150" t="s">
        <v>1567</v>
      </c>
      <c r="D93" s="1064" t="s">
        <v>1568</v>
      </c>
      <c r="E93" s="1135">
        <v>0.2</v>
      </c>
      <c r="F93" s="1150">
        <v>30</v>
      </c>
    </row>
    <row r="94" spans="1:6" s="1101" customFormat="1" ht="48">
      <c r="A94" s="1150">
        <v>34</v>
      </c>
      <c r="B94" s="3444"/>
      <c r="C94" s="1150" t="s">
        <v>1569</v>
      </c>
      <c r="D94" s="1064" t="s">
        <v>1570</v>
      </c>
      <c r="E94" s="1135">
        <v>0.2</v>
      </c>
      <c r="F94" s="1150">
        <v>30</v>
      </c>
    </row>
    <row r="95" spans="1:6" s="1101" customFormat="1" ht="36">
      <c r="A95" s="1150">
        <v>35</v>
      </c>
      <c r="B95" s="3444"/>
      <c r="C95" s="1150" t="s">
        <v>1571</v>
      </c>
      <c r="D95" s="1064" t="s">
        <v>1572</v>
      </c>
      <c r="E95" s="1135">
        <v>0.2</v>
      </c>
      <c r="F95" s="1150">
        <v>30</v>
      </c>
    </row>
    <row r="96" spans="1:6" s="1101" customFormat="1" ht="48">
      <c r="A96" s="1150">
        <v>36</v>
      </c>
      <c r="B96" s="3444"/>
      <c r="C96" s="1064" t="s">
        <v>1573</v>
      </c>
      <c r="D96" s="1064" t="s">
        <v>1574</v>
      </c>
      <c r="E96" s="1135">
        <v>0.2</v>
      </c>
      <c r="F96" s="1150">
        <v>30</v>
      </c>
    </row>
    <row r="97" spans="1:6" s="1101" customFormat="1" ht="36">
      <c r="A97" s="1150">
        <v>37</v>
      </c>
      <c r="B97" s="3444"/>
      <c r="C97" s="1150" t="s">
        <v>1575</v>
      </c>
      <c r="D97" s="1064" t="s">
        <v>1576</v>
      </c>
      <c r="E97" s="1135">
        <v>0.2</v>
      </c>
      <c r="F97" s="1150">
        <v>30</v>
      </c>
    </row>
    <row r="98" spans="1:6" s="1101" customFormat="1" ht="36">
      <c r="A98" s="1150">
        <v>38</v>
      </c>
      <c r="B98" s="3444"/>
      <c r="C98" s="1150" t="s">
        <v>1577</v>
      </c>
      <c r="D98" s="1064" t="s">
        <v>1578</v>
      </c>
      <c r="E98" s="1135">
        <v>0.2</v>
      </c>
      <c r="F98" s="1150">
        <v>30</v>
      </c>
    </row>
    <row r="99" spans="1:6" s="1101" customFormat="1" ht="36">
      <c r="A99" s="1150">
        <v>39</v>
      </c>
      <c r="B99" s="3444" t="s">
        <v>1579</v>
      </c>
      <c r="C99" s="1150" t="s">
        <v>1580</v>
      </c>
      <c r="D99" s="1064" t="s">
        <v>1581</v>
      </c>
      <c r="E99" s="1135">
        <v>0.3</v>
      </c>
      <c r="F99" s="1150">
        <v>50</v>
      </c>
    </row>
    <row r="100" spans="1:6" s="1101" customFormat="1" ht="24">
      <c r="A100" s="1150">
        <v>40</v>
      </c>
      <c r="B100" s="3444"/>
      <c r="C100" s="1150" t="s">
        <v>1582</v>
      </c>
      <c r="D100" s="1064" t="s">
        <v>1583</v>
      </c>
      <c r="E100" s="1135">
        <v>0.2</v>
      </c>
      <c r="F100" s="1150">
        <v>30</v>
      </c>
    </row>
    <row r="101" spans="1:6" s="1101" customFormat="1" ht="36">
      <c r="A101" s="1150">
        <v>41</v>
      </c>
      <c r="B101" s="3444"/>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4" t="s">
        <v>1594</v>
      </c>
      <c r="C105" s="1150" t="s">
        <v>1595</v>
      </c>
      <c r="D105" s="1064" t="s">
        <v>1596</v>
      </c>
      <c r="E105" s="1135">
        <v>0.2</v>
      </c>
      <c r="F105" s="1150">
        <v>30</v>
      </c>
    </row>
    <row r="106" spans="1:6" s="1101" customFormat="1" ht="36">
      <c r="A106" s="1150">
        <v>46</v>
      </c>
      <c r="B106" s="3444"/>
      <c r="C106" s="1150" t="s">
        <v>1597</v>
      </c>
      <c r="D106" s="1064" t="s">
        <v>1598</v>
      </c>
      <c r="E106" s="1135">
        <v>0.2</v>
      </c>
      <c r="F106" s="1150">
        <v>30</v>
      </c>
    </row>
    <row r="107" spans="1:6" s="1101" customFormat="1" ht="36">
      <c r="A107" s="1150">
        <v>47</v>
      </c>
      <c r="B107" s="3444" t="s">
        <v>1599</v>
      </c>
      <c r="C107" s="1150" t="s">
        <v>1600</v>
      </c>
      <c r="D107" s="1064" t="s">
        <v>1601</v>
      </c>
      <c r="E107" s="1135">
        <v>0.3</v>
      </c>
      <c r="F107" s="1150">
        <v>50</v>
      </c>
    </row>
    <row r="108" spans="1:6" s="1101" customFormat="1" ht="36">
      <c r="A108" s="1150">
        <v>48</v>
      </c>
      <c r="B108" s="3444"/>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4" t="s">
        <v>1610</v>
      </c>
      <c r="C111" s="1150" t="s">
        <v>1611</v>
      </c>
      <c r="D111" s="1064" t="s">
        <v>1612</v>
      </c>
      <c r="E111" s="1135">
        <v>0.2</v>
      </c>
      <c r="F111" s="1150">
        <v>30</v>
      </c>
    </row>
    <row r="112" spans="1:6" s="1101" customFormat="1" ht="24">
      <c r="A112" s="1150">
        <v>52</v>
      </c>
      <c r="B112" s="3444"/>
      <c r="C112" s="1150" t="s">
        <v>1613</v>
      </c>
      <c r="D112" s="1064" t="s">
        <v>1614</v>
      </c>
      <c r="E112" s="1135">
        <v>0.2</v>
      </c>
      <c r="F112" s="1150">
        <v>30</v>
      </c>
    </row>
    <row r="113" spans="1:14" s="1101" customFormat="1" ht="24">
      <c r="A113" s="1150">
        <v>53</v>
      </c>
      <c r="B113" s="3444"/>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4" t="s">
        <v>1623</v>
      </c>
      <c r="C116" s="1150" t="s">
        <v>1624</v>
      </c>
      <c r="D116" s="1064" t="s">
        <v>1625</v>
      </c>
      <c r="E116" s="1135">
        <v>0.2</v>
      </c>
      <c r="F116" s="1150">
        <v>30</v>
      </c>
    </row>
    <row r="117" spans="1:14" ht="36">
      <c r="A117" s="1150">
        <v>57</v>
      </c>
      <c r="B117" s="3444"/>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3" t="s">
        <v>1632</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8" t="s">
        <v>1038</v>
      </c>
      <c r="B1" s="3458"/>
      <c r="C1" s="3458"/>
      <c r="D1" s="3458"/>
      <c r="E1" s="3458"/>
      <c r="F1" s="3458"/>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9" t="s">
        <v>1051</v>
      </c>
      <c r="B2" s="3459"/>
      <c r="C2" s="3459"/>
      <c r="D2" s="3459"/>
      <c r="E2" s="3459"/>
      <c r="F2" s="3459"/>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60"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61"/>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2" t="s">
        <v>2076</v>
      </c>
      <c r="B1" s="3462"/>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1095</v>
      </c>
      <c r="B6" s="1845" t="s">
        <v>2085</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2086</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2087</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2088</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2089</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2090</v>
      </c>
      <c r="C72" s="1855"/>
      <c r="D72" s="1855"/>
      <c r="E72" s="1855"/>
      <c r="F72" s="1847">
        <v>0.05</v>
      </c>
    </row>
    <row r="73" spans="1:6" ht="14.25" thickBot="1">
      <c r="A73" s="1841" t="s">
        <v>924</v>
      </c>
      <c r="B73" s="1845" t="s">
        <v>2091</v>
      </c>
      <c r="C73" s="1855"/>
      <c r="D73" s="1855"/>
      <c r="E73" s="1855"/>
      <c r="F73" s="1847">
        <v>0.05</v>
      </c>
    </row>
    <row r="74" spans="1:6" ht="14.25" thickBot="1">
      <c r="A74" s="1841" t="s">
        <v>924</v>
      </c>
      <c r="B74" s="1845" t="s">
        <v>2092</v>
      </c>
      <c r="C74" s="1855"/>
      <c r="D74" s="1855"/>
      <c r="E74" s="1855"/>
      <c r="F74" s="1847">
        <v>0.05</v>
      </c>
    </row>
    <row r="75" spans="1:6" ht="14.25" thickBot="1">
      <c r="A75" s="1849" t="s">
        <v>924</v>
      </c>
      <c r="B75" s="1856" t="s">
        <v>2093</v>
      </c>
      <c r="C75" s="1852"/>
      <c r="D75" s="1852"/>
      <c r="E75" s="1852"/>
      <c r="F75" s="1857">
        <v>0.05</v>
      </c>
    </row>
    <row r="76" spans="1:6" ht="14.25" thickBot="1">
      <c r="A76" s="1841" t="s">
        <v>1406</v>
      </c>
      <c r="B76" s="1842" t="s">
        <v>2094</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2095</v>
      </c>
      <c r="C102" s="1855"/>
      <c r="D102" s="1855"/>
      <c r="E102" s="1855"/>
      <c r="F102" s="1847">
        <v>0.05</v>
      </c>
    </row>
    <row r="103" spans="1:6" ht="24.75" thickBot="1">
      <c r="A103" s="1841" t="s">
        <v>1406</v>
      </c>
      <c r="B103" s="1845" t="s">
        <v>2096</v>
      </c>
      <c r="C103" s="1855"/>
      <c r="D103" s="1855"/>
      <c r="E103" s="1855"/>
      <c r="F103" s="1847">
        <v>0.05</v>
      </c>
    </row>
    <row r="104" spans="1:6" ht="14.25" thickBot="1">
      <c r="A104" s="1841" t="s">
        <v>1406</v>
      </c>
      <c r="B104" s="1845" t="s">
        <v>2097</v>
      </c>
      <c r="C104" s="1855"/>
      <c r="D104" s="1855"/>
      <c r="E104" s="1855"/>
      <c r="F104" s="1847">
        <v>0.05</v>
      </c>
    </row>
    <row r="105" spans="1:6" ht="14.25" thickBot="1">
      <c r="A105" s="1841" t="s">
        <v>1406</v>
      </c>
      <c r="B105" s="1845" t="s">
        <v>2098</v>
      </c>
      <c r="C105" s="1855"/>
      <c r="D105" s="1855"/>
      <c r="E105" s="1855"/>
      <c r="F105" s="1847">
        <v>0.05</v>
      </c>
    </row>
    <row r="106" spans="1:6" ht="14.25" thickBot="1">
      <c r="A106" s="1841" t="s">
        <v>1406</v>
      </c>
      <c r="B106" s="1845" t="s">
        <v>2099</v>
      </c>
      <c r="C106" s="1855"/>
      <c r="D106" s="1855"/>
      <c r="E106" s="1855"/>
      <c r="F106" s="1847">
        <v>0.05</v>
      </c>
    </row>
    <row r="107" spans="1:6" ht="24.75" thickBot="1">
      <c r="A107" s="1841" t="s">
        <v>1406</v>
      </c>
      <c r="B107" s="1845" t="s">
        <v>2100</v>
      </c>
      <c r="C107" s="1855"/>
      <c r="D107" s="1855"/>
      <c r="E107" s="1855"/>
      <c r="F107" s="1847">
        <v>0.05</v>
      </c>
    </row>
    <row r="108" spans="1:6" ht="24.75" thickBot="1">
      <c r="A108" s="1841" t="s">
        <v>1406</v>
      </c>
      <c r="B108" s="1845" t="s">
        <v>2101</v>
      </c>
      <c r="C108" s="1855"/>
      <c r="D108" s="1855"/>
      <c r="E108" s="1855"/>
      <c r="F108" s="1847">
        <v>0.05</v>
      </c>
    </row>
    <row r="109" spans="1:6" ht="24.75" thickBot="1">
      <c r="A109" s="1849" t="s">
        <v>1406</v>
      </c>
      <c r="B109" s="1856" t="s">
        <v>2102</v>
      </c>
      <c r="C109" s="1852"/>
      <c r="D109" s="1852"/>
      <c r="E109" s="1852"/>
      <c r="F109" s="1857">
        <v>0.05</v>
      </c>
    </row>
    <row r="110" spans="1:6" ht="14.25" thickBot="1">
      <c r="A110" s="1841" t="s">
        <v>1408</v>
      </c>
      <c r="B110" s="1842" t="s">
        <v>2103</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2104</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2105</v>
      </c>
      <c r="C138" s="1846">
        <v>0.105</v>
      </c>
      <c r="D138" s="1846">
        <v>0.125</v>
      </c>
      <c r="E138" s="1846">
        <v>0.112</v>
      </c>
      <c r="F138" s="1854"/>
    </row>
    <row r="139" spans="1:6" ht="14.25" thickBot="1">
      <c r="A139" s="1841" t="s">
        <v>1408</v>
      </c>
      <c r="B139" s="1845" t="s">
        <v>2106</v>
      </c>
      <c r="C139" s="1846">
        <v>0.127</v>
      </c>
      <c r="D139" s="1846">
        <v>0.127</v>
      </c>
      <c r="E139" s="1846">
        <v>0.122</v>
      </c>
      <c r="F139" s="1847">
        <v>0.13</v>
      </c>
    </row>
    <row r="140" spans="1:6" ht="14.25" thickBot="1">
      <c r="A140" s="1841" t="s">
        <v>1408</v>
      </c>
      <c r="B140" s="1845" t="s">
        <v>2107</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2108</v>
      </c>
      <c r="C144" s="1859">
        <v>0.126</v>
      </c>
      <c r="D144" s="1859">
        <v>0.126</v>
      </c>
      <c r="E144" s="1859">
        <v>0.121</v>
      </c>
      <c r="F144" s="1854"/>
    </row>
    <row r="145" spans="1:6" ht="14.25" thickBot="1">
      <c r="A145" s="1849" t="s">
        <v>1408</v>
      </c>
      <c r="B145" s="1860" t="s">
        <v>2109</v>
      </c>
      <c r="C145" s="1861"/>
      <c r="D145" s="1861"/>
      <c r="E145" s="1861"/>
      <c r="F145" s="1862">
        <v>0.05</v>
      </c>
    </row>
    <row r="146" spans="1:6" ht="24.75" thickBot="1">
      <c r="A146" s="1863" t="s">
        <v>1408</v>
      </c>
      <c r="B146" s="1848" t="s">
        <v>2110</v>
      </c>
      <c r="C146" s="1855"/>
      <c r="D146" s="1855"/>
      <c r="E146" s="1855"/>
      <c r="F146" s="1864">
        <v>0.05</v>
      </c>
    </row>
    <row r="147" spans="1:6" ht="24.75" thickBot="1">
      <c r="A147" s="1841" t="s">
        <v>1408</v>
      </c>
      <c r="B147" s="1845" t="s">
        <v>2111</v>
      </c>
      <c r="C147" s="1855"/>
      <c r="D147" s="1855"/>
      <c r="E147" s="1855"/>
      <c r="F147" s="1847">
        <v>0.05</v>
      </c>
    </row>
    <row r="148" spans="1:6" ht="24.75" thickBot="1">
      <c r="A148" s="1841" t="s">
        <v>1408</v>
      </c>
      <c r="B148" s="1845" t="s">
        <v>2112</v>
      </c>
      <c r="C148" s="1855"/>
      <c r="D148" s="1855"/>
      <c r="E148" s="1855"/>
      <c r="F148" s="1847">
        <v>0.05</v>
      </c>
    </row>
    <row r="149" spans="1:6" ht="24.75" thickBot="1">
      <c r="A149" s="1841" t="s">
        <v>1408</v>
      </c>
      <c r="B149" s="1845" t="s">
        <v>2113</v>
      </c>
      <c r="C149" s="1855"/>
      <c r="D149" s="1855"/>
      <c r="E149" s="1855"/>
      <c r="F149" s="1847">
        <v>0.05</v>
      </c>
    </row>
    <row r="150" spans="1:6" ht="24.75" thickBot="1">
      <c r="A150" s="1841" t="s">
        <v>1408</v>
      </c>
      <c r="B150" s="1845" t="s">
        <v>2114</v>
      </c>
      <c r="C150" s="1855"/>
      <c r="D150" s="1855"/>
      <c r="E150" s="1855"/>
      <c r="F150" s="1847">
        <v>0.05</v>
      </c>
    </row>
    <row r="151" spans="1:6" ht="24.75" thickBot="1">
      <c r="A151" s="1841" t="s">
        <v>1408</v>
      </c>
      <c r="B151" s="1845" t="s">
        <v>2115</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2116</v>
      </c>
      <c r="C153" s="1855"/>
      <c r="D153" s="1855"/>
      <c r="E153" s="1855"/>
      <c r="F153" s="1847">
        <v>0.05</v>
      </c>
    </row>
    <row r="154" spans="1:6" ht="14.25" thickBot="1">
      <c r="A154" s="1841" t="s">
        <v>1408</v>
      </c>
      <c r="B154" s="1845" t="s">
        <v>2117</v>
      </c>
      <c r="C154" s="1855"/>
      <c r="D154" s="1855"/>
      <c r="E154" s="1855"/>
      <c r="F154" s="1847">
        <v>0.05</v>
      </c>
    </row>
    <row r="155" spans="1:6" ht="24.75" thickBot="1">
      <c r="A155" s="1841" t="s">
        <v>1408</v>
      </c>
      <c r="B155" s="1845" t="s">
        <v>2118</v>
      </c>
      <c r="C155" s="1855"/>
      <c r="D155" s="1855"/>
      <c r="E155" s="1855"/>
      <c r="F155" s="1847">
        <v>0.05</v>
      </c>
    </row>
    <row r="156" spans="1:6" ht="24.75" thickBot="1">
      <c r="A156" s="1841" t="s">
        <v>1408</v>
      </c>
      <c r="B156" s="1845" t="s">
        <v>2119</v>
      </c>
      <c r="C156" s="1855"/>
      <c r="D156" s="1855"/>
      <c r="E156" s="1855"/>
      <c r="F156" s="1847">
        <v>0.05</v>
      </c>
    </row>
    <row r="157" spans="1:6" ht="14.25" thickBot="1">
      <c r="A157" s="1849" t="s">
        <v>1408</v>
      </c>
      <c r="B157" s="1856" t="s">
        <v>2120</v>
      </c>
      <c r="C157" s="1852"/>
      <c r="D157" s="1852"/>
      <c r="E157" s="1852"/>
      <c r="F157" s="1857">
        <v>0.05</v>
      </c>
    </row>
    <row r="158" spans="1:6" ht="14.25" thickBot="1">
      <c r="A158" s="1841" t="s">
        <v>1410</v>
      </c>
      <c r="B158" s="1842" t="s">
        <v>2121</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2122</v>
      </c>
      <c r="C171" s="1846">
        <v>0.127</v>
      </c>
      <c r="D171" s="1846">
        <v>0.126</v>
      </c>
      <c r="E171" s="1846">
        <v>0.126</v>
      </c>
      <c r="F171" s="1847">
        <v>0.11799999999999999</v>
      </c>
    </row>
    <row r="172" spans="1:6" ht="14.25" thickBot="1">
      <c r="A172" s="1841" t="s">
        <v>1410</v>
      </c>
      <c r="B172" s="1845" t="s">
        <v>2123</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2124</v>
      </c>
      <c r="C174" s="1846">
        <v>0.13</v>
      </c>
      <c r="D174" s="1846">
        <v>0.13</v>
      </c>
      <c r="E174" s="1846">
        <v>0.13</v>
      </c>
      <c r="F174" s="1847">
        <v>0.13</v>
      </c>
    </row>
    <row r="175" spans="1:6" ht="14.25" thickBot="1">
      <c r="A175" s="1841" t="s">
        <v>1410</v>
      </c>
      <c r="B175" s="1845" t="s">
        <v>2125</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2126</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2127</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2128</v>
      </c>
      <c r="C185" s="1846">
        <v>0.127</v>
      </c>
      <c r="D185" s="1846">
        <v>0.127</v>
      </c>
      <c r="E185" s="1846">
        <v>0.128</v>
      </c>
      <c r="F185" s="1847">
        <v>0.13</v>
      </c>
    </row>
    <row r="186" spans="1:6" ht="24.75" thickBot="1">
      <c r="A186" s="1841" t="s">
        <v>1410</v>
      </c>
      <c r="B186" s="1845" t="s">
        <v>2129</v>
      </c>
      <c r="C186" s="1855"/>
      <c r="D186" s="1855"/>
      <c r="E186" s="1855"/>
      <c r="F186" s="1847">
        <v>0.05</v>
      </c>
    </row>
    <row r="187" spans="1:6" ht="14.25" thickBot="1">
      <c r="A187" s="1841" t="s">
        <v>1410</v>
      </c>
      <c r="B187" s="1845" t="s">
        <v>2130</v>
      </c>
      <c r="C187" s="1855"/>
      <c r="D187" s="1855"/>
      <c r="E187" s="1855"/>
      <c r="F187" s="1847">
        <v>0.05</v>
      </c>
    </row>
    <row r="188" spans="1:6" ht="14.25" thickBot="1">
      <c r="A188" s="1841" t="s">
        <v>1410</v>
      </c>
      <c r="B188" s="1845" t="s">
        <v>2131</v>
      </c>
      <c r="C188" s="1855"/>
      <c r="D188" s="1855"/>
      <c r="E188" s="1855"/>
      <c r="F188" s="1847">
        <v>0.05</v>
      </c>
    </row>
    <row r="189" spans="1:6" ht="24.75" thickBot="1">
      <c r="A189" s="1841" t="s">
        <v>1410</v>
      </c>
      <c r="B189" s="1845" t="s">
        <v>2132</v>
      </c>
      <c r="C189" s="1855"/>
      <c r="D189" s="1855"/>
      <c r="E189" s="1855"/>
      <c r="F189" s="1847">
        <v>0.05</v>
      </c>
    </row>
    <row r="190" spans="1:6" ht="24.75" thickBot="1">
      <c r="A190" s="1841" t="s">
        <v>1410</v>
      </c>
      <c r="B190" s="1845" t="s">
        <v>2133</v>
      </c>
      <c r="C190" s="1855"/>
      <c r="D190" s="1855"/>
      <c r="E190" s="1855"/>
      <c r="F190" s="1847">
        <v>0.05</v>
      </c>
    </row>
    <row r="191" spans="1:6" ht="24.75" thickBot="1">
      <c r="A191" s="1841" t="s">
        <v>1410</v>
      </c>
      <c r="B191" s="1845" t="s">
        <v>2134</v>
      </c>
      <c r="C191" s="1855"/>
      <c r="D191" s="1855"/>
      <c r="E191" s="1855"/>
      <c r="F191" s="1847">
        <v>0.05</v>
      </c>
    </row>
    <row r="192" spans="1:6" ht="24.75" thickBot="1">
      <c r="A192" s="1841" t="s">
        <v>1410</v>
      </c>
      <c r="B192" s="1845" t="s">
        <v>2135</v>
      </c>
      <c r="C192" s="1855"/>
      <c r="D192" s="1855"/>
      <c r="E192" s="1855"/>
      <c r="F192" s="1847">
        <v>0.05</v>
      </c>
    </row>
    <row r="193" spans="1:6" ht="24.75" thickBot="1">
      <c r="A193" s="1841" t="s">
        <v>1410</v>
      </c>
      <c r="B193" s="1845" t="s">
        <v>2136</v>
      </c>
      <c r="C193" s="1855"/>
      <c r="D193" s="1855"/>
      <c r="E193" s="1855"/>
      <c r="F193" s="1847">
        <v>0.05</v>
      </c>
    </row>
    <row r="194" spans="1:6" ht="24.75" thickBot="1">
      <c r="A194" s="1841" t="s">
        <v>1410</v>
      </c>
      <c r="B194" s="1845" t="s">
        <v>2137</v>
      </c>
      <c r="C194" s="1855"/>
      <c r="D194" s="1855"/>
      <c r="E194" s="1855"/>
      <c r="F194" s="1847">
        <v>0.05</v>
      </c>
    </row>
    <row r="195" spans="1:6" ht="14.25" thickBot="1">
      <c r="A195" s="1841" t="s">
        <v>1410</v>
      </c>
      <c r="B195" s="1845" t="s">
        <v>2138</v>
      </c>
      <c r="C195" s="1855"/>
      <c r="D195" s="1855"/>
      <c r="E195" s="1855"/>
      <c r="F195" s="1847">
        <v>0.05</v>
      </c>
    </row>
    <row r="196" spans="1:6" ht="24.75" thickBot="1">
      <c r="A196" s="1841" t="s">
        <v>1410</v>
      </c>
      <c r="B196" s="1845" t="s">
        <v>2139</v>
      </c>
      <c r="C196" s="1855"/>
      <c r="D196" s="1855"/>
      <c r="E196" s="1855"/>
      <c r="F196" s="1847">
        <v>0.05</v>
      </c>
    </row>
    <row r="197" spans="1:6" ht="24.75" thickBot="1">
      <c r="A197" s="1841" t="s">
        <v>1410</v>
      </c>
      <c r="B197" s="1845" t="s">
        <v>2140</v>
      </c>
      <c r="C197" s="1855"/>
      <c r="D197" s="1855"/>
      <c r="E197" s="1855"/>
      <c r="F197" s="1847">
        <v>0.05</v>
      </c>
    </row>
    <row r="198" spans="1:6" ht="24.75" thickBot="1">
      <c r="A198" s="1841" t="s">
        <v>1410</v>
      </c>
      <c r="B198" s="1845" t="s">
        <v>2141</v>
      </c>
      <c r="C198" s="1855"/>
      <c r="D198" s="1855"/>
      <c r="E198" s="1855"/>
      <c r="F198" s="1847">
        <v>0.05</v>
      </c>
    </row>
    <row r="199" spans="1:6" ht="24.75" thickBot="1">
      <c r="A199" s="1841" t="s">
        <v>1410</v>
      </c>
      <c r="B199" s="1845" t="s">
        <v>2142</v>
      </c>
      <c r="C199" s="1855"/>
      <c r="D199" s="1855"/>
      <c r="E199" s="1855"/>
      <c r="F199" s="1847">
        <v>0.05</v>
      </c>
    </row>
    <row r="200" spans="1:6" ht="24.75" thickBot="1">
      <c r="A200" s="1841" t="s">
        <v>1410</v>
      </c>
      <c r="B200" s="1845" t="s">
        <v>2143</v>
      </c>
      <c r="C200" s="1855"/>
      <c r="D200" s="1855"/>
      <c r="E200" s="1855"/>
      <c r="F200" s="1847">
        <v>0.05</v>
      </c>
    </row>
    <row r="201" spans="1:6" ht="24.75" thickBot="1">
      <c r="A201" s="1841" t="s">
        <v>1410</v>
      </c>
      <c r="B201" s="1845" t="s">
        <v>2144</v>
      </c>
      <c r="C201" s="1855"/>
      <c r="D201" s="1855"/>
      <c r="E201" s="1855"/>
      <c r="F201" s="1847">
        <v>0.05</v>
      </c>
    </row>
    <row r="202" spans="1:6" ht="24.75" thickBot="1">
      <c r="A202" s="1841" t="s">
        <v>1410</v>
      </c>
      <c r="B202" s="1845" t="s">
        <v>2145</v>
      </c>
      <c r="C202" s="1855"/>
      <c r="D202" s="1855"/>
      <c r="E202" s="1855"/>
      <c r="F202" s="1847">
        <v>0.05</v>
      </c>
    </row>
    <row r="203" spans="1:6" ht="24.75" thickBot="1">
      <c r="A203" s="1841" t="s">
        <v>1410</v>
      </c>
      <c r="B203" s="1845" t="s">
        <v>2146</v>
      </c>
      <c r="C203" s="1855"/>
      <c r="D203" s="1855"/>
      <c r="E203" s="1855"/>
      <c r="F203" s="1847">
        <v>0.05</v>
      </c>
    </row>
    <row r="204" spans="1:6" ht="14.25" thickBot="1">
      <c r="A204" s="1841" t="s">
        <v>1410</v>
      </c>
      <c r="B204" s="1845" t="s">
        <v>2147</v>
      </c>
      <c r="C204" s="1855"/>
      <c r="D204" s="1855"/>
      <c r="E204" s="1855"/>
      <c r="F204" s="1847">
        <v>0.05</v>
      </c>
    </row>
    <row r="205" spans="1:6" ht="14.25" thickBot="1">
      <c r="A205" s="1849" t="s">
        <v>1410</v>
      </c>
      <c r="B205" s="1856" t="s">
        <v>2148</v>
      </c>
      <c r="C205" s="1852"/>
      <c r="D205" s="1852"/>
      <c r="E205" s="1852"/>
      <c r="F205" s="1857">
        <v>0.05</v>
      </c>
    </row>
    <row r="206" spans="1:6" ht="14.25" thickBot="1">
      <c r="A206" s="1841" t="s">
        <v>1412</v>
      </c>
      <c r="B206" s="1842" t="s">
        <v>2149</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2150</v>
      </c>
      <c r="C210" s="1846">
        <v>0.15</v>
      </c>
      <c r="D210" s="1846">
        <v>0.15</v>
      </c>
      <c r="E210" s="1846">
        <v>0.15</v>
      </c>
      <c r="F210" s="1847">
        <v>0.13800000000000001</v>
      </c>
    </row>
    <row r="211" spans="1:6" ht="14.25" thickBot="1">
      <c r="A211" s="1841" t="s">
        <v>1412</v>
      </c>
      <c r="B211" s="1845" t="s">
        <v>2151</v>
      </c>
      <c r="C211" s="1846">
        <v>0.13700000000000001</v>
      </c>
      <c r="D211" s="1846">
        <v>0.13500000000000001</v>
      </c>
      <c r="E211" s="1846">
        <v>0.13600000000000001</v>
      </c>
      <c r="F211" s="1847">
        <v>0.1</v>
      </c>
    </row>
    <row r="212" spans="1:6" ht="14.25" thickBot="1">
      <c r="A212" s="1841" t="s">
        <v>1412</v>
      </c>
      <c r="B212" s="1845" t="s">
        <v>2152</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2153</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2154</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2155</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2156</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2157</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2158</v>
      </c>
      <c r="C231" s="1846">
        <v>0.128</v>
      </c>
      <c r="D231" s="1846">
        <v>0.125</v>
      </c>
      <c r="E231" s="1846">
        <v>0.13200000000000001</v>
      </c>
      <c r="F231" s="1854"/>
    </row>
    <row r="232" spans="1:6" ht="14.25" thickBot="1">
      <c r="A232" s="1841" t="s">
        <v>1412</v>
      </c>
      <c r="B232" s="1845" t="s">
        <v>2159</v>
      </c>
      <c r="C232" s="1846">
        <v>0.14499999999999999</v>
      </c>
      <c r="D232" s="1846">
        <v>0.14399999999999999</v>
      </c>
      <c r="E232" s="1846">
        <v>0.14599999999999999</v>
      </c>
      <c r="F232" s="1847">
        <v>0.13800000000000001</v>
      </c>
    </row>
    <row r="233" spans="1:6" ht="14.25" thickBot="1">
      <c r="A233" s="1841" t="s">
        <v>1412</v>
      </c>
      <c r="B233" s="1845" t="s">
        <v>2160</v>
      </c>
      <c r="C233" s="1846">
        <v>0.14499999999999999</v>
      </c>
      <c r="D233" s="1846">
        <v>0.14299999999999999</v>
      </c>
      <c r="E233" s="1846">
        <v>0.14199999999999999</v>
      </c>
      <c r="F233" s="1854"/>
    </row>
    <row r="234" spans="1:6" ht="14.25" thickBot="1">
      <c r="A234" s="1841" t="s">
        <v>1412</v>
      </c>
      <c r="B234" s="1845" t="s">
        <v>2161</v>
      </c>
      <c r="C234" s="1846">
        <v>0.14000000000000001</v>
      </c>
      <c r="D234" s="1846">
        <v>0.14000000000000001</v>
      </c>
      <c r="E234" s="1846">
        <v>0.14399999999999999</v>
      </c>
      <c r="F234" s="1854"/>
    </row>
    <row r="235" spans="1:6" ht="14.25" thickBot="1">
      <c r="A235" s="1841" t="s">
        <v>1412</v>
      </c>
      <c r="B235" s="1845" t="s">
        <v>2162</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2163</v>
      </c>
      <c r="C237" s="1855"/>
      <c r="D237" s="1855"/>
      <c r="E237" s="1855"/>
      <c r="F237" s="1847">
        <v>0.05</v>
      </c>
    </row>
    <row r="238" spans="1:6" ht="24.75" thickBot="1">
      <c r="A238" s="1841" t="s">
        <v>1412</v>
      </c>
      <c r="B238" s="1845" t="s">
        <v>2164</v>
      </c>
      <c r="C238" s="1855"/>
      <c r="D238" s="1855"/>
      <c r="E238" s="1855"/>
      <c r="F238" s="1847">
        <v>0.05</v>
      </c>
    </row>
    <row r="239" spans="1:6" ht="24.75" thickBot="1">
      <c r="A239" s="1841" t="s">
        <v>1412</v>
      </c>
      <c r="B239" s="1845" t="s">
        <v>2165</v>
      </c>
      <c r="C239" s="1855"/>
      <c r="D239" s="1855"/>
      <c r="E239" s="1855"/>
      <c r="F239" s="1847">
        <v>0.05</v>
      </c>
    </row>
    <row r="240" spans="1:6" ht="24.75" thickBot="1">
      <c r="A240" s="1841" t="s">
        <v>1412</v>
      </c>
      <c r="B240" s="1845" t="s">
        <v>2166</v>
      </c>
      <c r="C240" s="1855"/>
      <c r="D240" s="1855"/>
      <c r="E240" s="1855"/>
      <c r="F240" s="1847">
        <v>0.05</v>
      </c>
    </row>
    <row r="241" spans="1:6" ht="24.75" thickBot="1">
      <c r="A241" s="1841" t="s">
        <v>1412</v>
      </c>
      <c r="B241" s="1845" t="s">
        <v>2167</v>
      </c>
      <c r="C241" s="1855"/>
      <c r="D241" s="1855"/>
      <c r="E241" s="1855"/>
      <c r="F241" s="1847">
        <v>0.05</v>
      </c>
    </row>
    <row r="242" spans="1:6" ht="24.75" thickBot="1">
      <c r="A242" s="1841" t="s">
        <v>1412</v>
      </c>
      <c r="B242" s="1845" t="s">
        <v>2168</v>
      </c>
      <c r="C242" s="1855"/>
      <c r="D242" s="1855"/>
      <c r="E242" s="1855"/>
      <c r="F242" s="1847">
        <v>0.05</v>
      </c>
    </row>
    <row r="243" spans="1:6" ht="24.75" thickBot="1">
      <c r="A243" s="1841" t="s">
        <v>1412</v>
      </c>
      <c r="B243" s="1845" t="s">
        <v>2169</v>
      </c>
      <c r="C243" s="1855"/>
      <c r="D243" s="1855"/>
      <c r="E243" s="1855"/>
      <c r="F243" s="1847">
        <v>0.05</v>
      </c>
    </row>
    <row r="244" spans="1:6" ht="24.75" thickBot="1">
      <c r="A244" s="1849" t="s">
        <v>1412</v>
      </c>
      <c r="B244" s="1856" t="s">
        <v>2170</v>
      </c>
      <c r="C244" s="1852"/>
      <c r="D244" s="1852"/>
      <c r="E244" s="1852"/>
      <c r="F244" s="1857">
        <v>0.05</v>
      </c>
    </row>
    <row r="245" spans="1:6" ht="14.25" thickBot="1">
      <c r="A245" s="1841" t="s">
        <v>1414</v>
      </c>
      <c r="B245" s="1842" t="s">
        <v>2171</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2172</v>
      </c>
      <c r="C247" s="1846">
        <v>0.15</v>
      </c>
      <c r="D247" s="1846">
        <v>0.15</v>
      </c>
      <c r="E247" s="1846">
        <v>0.15</v>
      </c>
      <c r="F247" s="1847">
        <v>0.15</v>
      </c>
    </row>
    <row r="248" spans="1:6" ht="14.25" thickBot="1">
      <c r="A248" s="1841" t="s">
        <v>1414</v>
      </c>
      <c r="B248" s="1845" t="s">
        <v>2173</v>
      </c>
      <c r="C248" s="1846">
        <v>0.15</v>
      </c>
      <c r="D248" s="1846">
        <v>0.15</v>
      </c>
      <c r="E248" s="1846">
        <v>0.15</v>
      </c>
      <c r="F248" s="1847">
        <v>0.14000000000000001</v>
      </c>
    </row>
    <row r="249" spans="1:6" ht="14.25" thickBot="1">
      <c r="A249" s="1841" t="s">
        <v>1414</v>
      </c>
      <c r="B249" s="1845" t="s">
        <v>2174</v>
      </c>
      <c r="C249" s="1846">
        <v>0.15</v>
      </c>
      <c r="D249" s="1846">
        <v>0.14899999999999999</v>
      </c>
      <c r="E249" s="1846">
        <v>0.15</v>
      </c>
      <c r="F249" s="1847">
        <v>0.1</v>
      </c>
    </row>
    <row r="250" spans="1:6" ht="14.25" thickBot="1">
      <c r="A250" s="1841" t="s">
        <v>1414</v>
      </c>
      <c r="B250" s="1845" t="s">
        <v>2175</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2176</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2177</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2178</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2179</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2180</v>
      </c>
      <c r="C273" s="1846">
        <v>0.14199999999999999</v>
      </c>
      <c r="D273" s="1846">
        <v>0.14299999999999999</v>
      </c>
      <c r="E273" s="1846">
        <v>0.15</v>
      </c>
      <c r="F273" s="1847">
        <v>0.1</v>
      </c>
    </row>
    <row r="274" spans="1:6" ht="14.25" thickBot="1">
      <c r="A274" s="1841" t="s">
        <v>1414</v>
      </c>
      <c r="B274" s="1845" t="s">
        <v>2181</v>
      </c>
      <c r="C274" s="1846">
        <v>0.14799999999999999</v>
      </c>
      <c r="D274" s="1846">
        <v>0.14799999999999999</v>
      </c>
      <c r="E274" s="1846">
        <v>0.15</v>
      </c>
      <c r="F274" s="1847">
        <v>6.7000000000000004E-2</v>
      </c>
    </row>
    <row r="275" spans="1:6" ht="14.25" thickBot="1">
      <c r="A275" s="1841" t="s">
        <v>1414</v>
      </c>
      <c r="B275" s="1845" t="s">
        <v>2182</v>
      </c>
      <c r="C275" s="1846">
        <v>0.15</v>
      </c>
      <c r="D275" s="1846">
        <v>0.15</v>
      </c>
      <c r="E275" s="1846">
        <v>0.15</v>
      </c>
      <c r="F275" s="1847">
        <v>0.15</v>
      </c>
    </row>
    <row r="276" spans="1:6" ht="14.25" thickBot="1">
      <c r="A276" s="1841" t="s">
        <v>1414</v>
      </c>
      <c r="B276" s="1845" t="s">
        <v>2183</v>
      </c>
      <c r="C276" s="1846">
        <v>0.14499999999999999</v>
      </c>
      <c r="D276" s="1846">
        <v>0.14299999999999999</v>
      </c>
      <c r="E276" s="1846">
        <v>0.15</v>
      </c>
      <c r="F276" s="1847">
        <v>5.8999999999999997E-2</v>
      </c>
    </row>
    <row r="277" spans="1:6" ht="14.25" thickBot="1">
      <c r="A277" s="1841" t="s">
        <v>1414</v>
      </c>
      <c r="B277" s="1845" t="s">
        <v>2184</v>
      </c>
      <c r="C277" s="1846">
        <v>0.15</v>
      </c>
      <c r="D277" s="1846">
        <v>0.15</v>
      </c>
      <c r="E277" s="1846">
        <v>0.15</v>
      </c>
      <c r="F277" s="1847">
        <v>0.121</v>
      </c>
    </row>
    <row r="278" spans="1:6" ht="14.25" thickBot="1">
      <c r="A278" s="1841" t="s">
        <v>1414</v>
      </c>
      <c r="B278" s="1845" t="s">
        <v>2185</v>
      </c>
      <c r="C278" s="1846">
        <v>0.15</v>
      </c>
      <c r="D278" s="1846">
        <v>0.15</v>
      </c>
      <c r="E278" s="1846">
        <v>0.15</v>
      </c>
      <c r="F278" s="1847">
        <v>0.13800000000000001</v>
      </c>
    </row>
    <row r="279" spans="1:6" ht="24.75" thickBot="1">
      <c r="A279" s="1841" t="s">
        <v>1414</v>
      </c>
      <c r="B279" s="1845" t="s">
        <v>2186</v>
      </c>
      <c r="C279" s="1855"/>
      <c r="D279" s="1855"/>
      <c r="E279" s="1855"/>
      <c r="F279" s="1847">
        <v>0.05</v>
      </c>
    </row>
    <row r="280" spans="1:6" ht="24.75" thickBot="1">
      <c r="A280" s="1841" t="s">
        <v>1414</v>
      </c>
      <c r="B280" s="1845" t="s">
        <v>2187</v>
      </c>
      <c r="C280" s="1855"/>
      <c r="D280" s="1855"/>
      <c r="E280" s="1855"/>
      <c r="F280" s="1847">
        <v>0.05</v>
      </c>
    </row>
    <row r="281" spans="1:6" ht="24.75" thickBot="1">
      <c r="A281" s="1841" t="s">
        <v>1414</v>
      </c>
      <c r="B281" s="1845" t="s">
        <v>2188</v>
      </c>
      <c r="C281" s="1855"/>
      <c r="D281" s="1855"/>
      <c r="E281" s="1855"/>
      <c r="F281" s="1847">
        <v>0.05</v>
      </c>
    </row>
    <row r="282" spans="1:6" ht="24.75" thickBot="1">
      <c r="A282" s="1841" t="s">
        <v>1414</v>
      </c>
      <c r="B282" s="1845" t="s">
        <v>2189</v>
      </c>
      <c r="C282" s="1855"/>
      <c r="D282" s="1855"/>
      <c r="E282" s="1855"/>
      <c r="F282" s="1847">
        <v>0.05</v>
      </c>
    </row>
    <row r="283" spans="1:6" ht="24.75" thickBot="1">
      <c r="A283" s="1841" t="s">
        <v>1414</v>
      </c>
      <c r="B283" s="1845" t="s">
        <v>2190</v>
      </c>
      <c r="C283" s="1855"/>
      <c r="D283" s="1855"/>
      <c r="E283" s="1855"/>
      <c r="F283" s="1847">
        <v>0.05</v>
      </c>
    </row>
    <row r="284" spans="1:6" ht="24.75" thickBot="1">
      <c r="A284" s="1841" t="s">
        <v>1414</v>
      </c>
      <c r="B284" s="1845" t="s">
        <v>2191</v>
      </c>
      <c r="C284" s="1855"/>
      <c r="D284" s="1855"/>
      <c r="E284" s="1855"/>
      <c r="F284" s="1847">
        <v>0.05</v>
      </c>
    </row>
    <row r="285" spans="1:6" ht="24.75" thickBot="1">
      <c r="A285" s="1841" t="s">
        <v>1414</v>
      </c>
      <c r="B285" s="1845" t="s">
        <v>2192</v>
      </c>
      <c r="C285" s="1855"/>
      <c r="D285" s="1855"/>
      <c r="E285" s="1855"/>
      <c r="F285" s="1847">
        <v>0.05</v>
      </c>
    </row>
    <row r="286" spans="1:6" ht="24.75" thickBot="1">
      <c r="A286" s="1841" t="s">
        <v>1414</v>
      </c>
      <c r="B286" s="1845" t="s">
        <v>2193</v>
      </c>
      <c r="C286" s="1855"/>
      <c r="D286" s="1855"/>
      <c r="E286" s="1855"/>
      <c r="F286" s="1847">
        <v>0.05</v>
      </c>
    </row>
    <row r="287" spans="1:6" ht="24.75" thickBot="1">
      <c r="A287" s="1841" t="s">
        <v>1414</v>
      </c>
      <c r="B287" s="1845" t="s">
        <v>2194</v>
      </c>
      <c r="C287" s="1855"/>
      <c r="D287" s="1855"/>
      <c r="E287" s="1855"/>
      <c r="F287" s="1847">
        <v>0.05</v>
      </c>
    </row>
    <row r="288" spans="1:6" ht="24.75" thickBot="1">
      <c r="A288" s="1841" t="s">
        <v>1414</v>
      </c>
      <c r="B288" s="1845" t="s">
        <v>2195</v>
      </c>
      <c r="C288" s="1855"/>
      <c r="D288" s="1855"/>
      <c r="E288" s="1855"/>
      <c r="F288" s="1847">
        <v>0.05</v>
      </c>
    </row>
    <row r="289" spans="1:6" ht="24.75" thickBot="1">
      <c r="A289" s="1849" t="s">
        <v>1414</v>
      </c>
      <c r="B289" s="1856" t="s">
        <v>2196</v>
      </c>
      <c r="C289" s="1852"/>
      <c r="D289" s="1852"/>
      <c r="E289" s="1852"/>
      <c r="F289" s="1857">
        <v>0.05</v>
      </c>
    </row>
    <row r="290" spans="1:6" ht="14.25" thickBot="1">
      <c r="A290" s="1841" t="s">
        <v>1418</v>
      </c>
      <c r="B290" s="1842" t="s">
        <v>2197</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2198</v>
      </c>
      <c r="C292" s="1846">
        <v>0.15</v>
      </c>
      <c r="D292" s="1846">
        <v>0.15</v>
      </c>
      <c r="E292" s="1846">
        <v>0.15</v>
      </c>
      <c r="F292" s="1847">
        <v>0.14699999999999999</v>
      </c>
    </row>
    <row r="293" spans="1:6" ht="14.25" thickBot="1">
      <c r="A293" s="1841" t="s">
        <v>1418</v>
      </c>
      <c r="B293" s="1845" t="s">
        <v>2199</v>
      </c>
      <c r="C293" s="1855"/>
      <c r="D293" s="1855"/>
      <c r="E293" s="1855"/>
      <c r="F293" s="1847">
        <v>0.1</v>
      </c>
    </row>
    <row r="294" spans="1:6" ht="14.25" thickBot="1">
      <c r="A294" s="1841" t="s">
        <v>1418</v>
      </c>
      <c r="B294" s="1845" t="s">
        <v>2200</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2201</v>
      </c>
      <c r="C296" s="1846">
        <v>0.15</v>
      </c>
      <c r="D296" s="1846">
        <v>0.15</v>
      </c>
      <c r="E296" s="1846">
        <v>0.15</v>
      </c>
      <c r="F296" s="1847">
        <v>0.15</v>
      </c>
    </row>
    <row r="297" spans="1:6" ht="14.25" thickBot="1">
      <c r="A297" s="1841" t="s">
        <v>1418</v>
      </c>
      <c r="B297" s="1845" t="s">
        <v>2202</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2203</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2204</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2205</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2206</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2207</v>
      </c>
      <c r="C310" s="1846">
        <v>0.15</v>
      </c>
      <c r="D310" s="1846">
        <v>0.15</v>
      </c>
      <c r="E310" s="1846">
        <v>0.15</v>
      </c>
      <c r="F310" s="1847">
        <v>0.13700000000000001</v>
      </c>
    </row>
    <row r="311" spans="1:6" ht="14.25" thickBot="1">
      <c r="A311" s="1841" t="s">
        <v>1418</v>
      </c>
      <c r="B311" s="1845" t="s">
        <v>2208</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2209</v>
      </c>
      <c r="C313" s="1846">
        <v>0.15</v>
      </c>
      <c r="D313" s="1846">
        <v>0.15</v>
      </c>
      <c r="E313" s="1846">
        <v>0.15</v>
      </c>
      <c r="F313" s="1847">
        <v>0.15</v>
      </c>
    </row>
    <row r="314" spans="1:6" ht="24.75" thickBot="1">
      <c r="A314" s="1841" t="s">
        <v>1418</v>
      </c>
      <c r="B314" s="1845" t="s">
        <v>2210</v>
      </c>
      <c r="C314" s="1855"/>
      <c r="D314" s="1855"/>
      <c r="E314" s="1855"/>
      <c r="F314" s="1847">
        <v>0.05</v>
      </c>
    </row>
    <row r="315" spans="1:6" ht="24.75" thickBot="1">
      <c r="A315" s="1841" t="s">
        <v>1418</v>
      </c>
      <c r="B315" s="1845" t="s">
        <v>2211</v>
      </c>
      <c r="C315" s="1855"/>
      <c r="D315" s="1855"/>
      <c r="E315" s="1855"/>
      <c r="F315" s="1847">
        <v>0.05</v>
      </c>
    </row>
    <row r="316" spans="1:6" ht="24.75" thickBot="1">
      <c r="A316" s="1849" t="s">
        <v>1418</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1106</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1175</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1195</v>
      </c>
      <c r="C328" s="1846">
        <v>0.15</v>
      </c>
      <c r="D328" s="1846">
        <v>0.15</v>
      </c>
      <c r="E328" s="1846">
        <v>0.15</v>
      </c>
      <c r="F328" s="1847">
        <v>0.14099999999999999</v>
      </c>
    </row>
    <row r="329" spans="1:6" ht="14.25" thickBot="1">
      <c r="A329" s="1841" t="s">
        <v>2213</v>
      </c>
      <c r="B329" s="1845" t="s">
        <v>1205</v>
      </c>
      <c r="C329" s="1846">
        <v>0.15</v>
      </c>
      <c r="D329" s="1846">
        <v>0.15</v>
      </c>
      <c r="E329" s="1846">
        <v>0.15</v>
      </c>
      <c r="F329" s="1847">
        <v>0.15</v>
      </c>
    </row>
    <row r="330" spans="1:6" ht="14.25" thickBot="1">
      <c r="A330" s="1841" t="s">
        <v>2213</v>
      </c>
      <c r="B330" s="1845" t="s">
        <v>1215</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1235</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1255</v>
      </c>
      <c r="C334" s="1846">
        <v>0.15</v>
      </c>
      <c r="D334" s="1846">
        <v>0.15</v>
      </c>
      <c r="E334" s="1846">
        <v>0.15</v>
      </c>
      <c r="F334" s="1847">
        <v>0.15</v>
      </c>
    </row>
    <row r="335" spans="1:6" ht="14.25" thickBot="1">
      <c r="A335" s="1841" t="s">
        <v>2213</v>
      </c>
      <c r="B335" s="1845" t="s">
        <v>1265</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1283</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5" t="s">
        <v>2573</v>
      </c>
      <c r="C1" s="3465"/>
      <c r="D1" s="3465"/>
      <c r="E1" s="3465"/>
      <c r="F1" s="3465"/>
      <c r="G1" s="3464" t="s">
        <v>2574</v>
      </c>
      <c r="H1" s="3464"/>
      <c r="I1" s="3464"/>
      <c r="J1" s="3464"/>
      <c r="K1" s="3464"/>
      <c r="L1" s="3464"/>
      <c r="N1" s="3464" t="s">
        <v>2575</v>
      </c>
      <c r="O1" s="3464"/>
      <c r="P1" s="3464"/>
      <c r="Q1" s="3464"/>
      <c r="R1" s="2619"/>
      <c r="S1" s="3464" t="s">
        <v>2576</v>
      </c>
      <c r="T1" s="3464"/>
      <c r="U1" s="3464"/>
      <c r="V1" s="3464"/>
      <c r="X1" s="3463" t="s">
        <v>2636</v>
      </c>
      <c r="Y1" s="3464"/>
      <c r="Z1" s="3464"/>
      <c r="AA1" s="3464"/>
      <c r="AB1" s="3464"/>
      <c r="AD1" s="3463" t="s">
        <v>2640</v>
      </c>
      <c r="AE1" s="3464"/>
      <c r="AF1" s="3464"/>
      <c r="AG1" s="3464"/>
      <c r="AH1" s="3464"/>
    </row>
    <row r="2" spans="1:34" s="2720" customFormat="1" ht="14.2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25">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3"/>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72">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6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73"/>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72">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6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68"/>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66">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6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68"/>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66">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6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68"/>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69">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0"/>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70"/>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71"/>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66">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6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6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68"/>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66">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6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68">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66">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6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68">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66">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6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68">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66">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6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68">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66">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6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68">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66">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6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68">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66">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6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68">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66">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6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68">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66">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67">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67">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68">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66">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67">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67">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68">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2075</v>
      </c>
      <c r="D3" s="3057" t="s">
        <v>2936</v>
      </c>
      <c r="E3" s="3058">
        <f ca="1">SUMIF(E7:E14,"&lt;&gt;#ref!",E7:E14)</f>
        <v>0</v>
      </c>
      <c r="F3" s="3056"/>
    </row>
    <row r="4" spans="1:6" ht="14.25">
      <c r="A4" s="3057" t="s">
        <v>2943</v>
      </c>
      <c r="B4" s="3058" t="e">
        <f ca="1">ROUND(B2*10000/E4,0)</f>
        <v>#DIV/0!</v>
      </c>
      <c r="C4" s="3057" t="s">
        <v>2075</v>
      </c>
      <c r="D4" s="3057" t="s">
        <v>2944</v>
      </c>
      <c r="E4" s="3058">
        <f ca="1">SUMIF(F7:F14,"&lt;&gt;#ref!",F7:F14)</f>
        <v>0</v>
      </c>
      <c r="F4" s="3056"/>
    </row>
    <row r="5" spans="1:6" ht="14.25">
      <c r="A5" s="3059"/>
      <c r="B5" s="1867"/>
      <c r="C5" s="1867"/>
      <c r="D5" s="1867"/>
      <c r="E5" s="1867"/>
      <c r="F5" s="3056"/>
    </row>
    <row r="6" spans="1:6" ht="28.5">
      <c r="A6" s="3060" t="s">
        <v>2940</v>
      </c>
      <c r="B6" s="3057" t="s">
        <v>2937</v>
      </c>
      <c r="C6" s="3058"/>
      <c r="D6" s="1867"/>
      <c r="E6" s="3057" t="s">
        <v>2938</v>
      </c>
      <c r="F6" s="3057" t="s">
        <v>2942</v>
      </c>
    </row>
    <row r="7" spans="1:6" ht="14.25">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7"/>
      <c r="E9" s="3062" t="e">
        <f t="shared" ca="1" si="1"/>
        <v>#REF!</v>
      </c>
      <c r="F9" s="3062" t="e">
        <f t="shared" ca="1" si="2"/>
        <v>#REF!</v>
      </c>
    </row>
    <row r="10" spans="1:6" ht="14.25">
      <c r="A10" s="260"/>
      <c r="B10" s="3061" t="e">
        <f t="shared" ca="1" si="0"/>
        <v>#REF!</v>
      </c>
      <c r="C10" s="3057" t="s">
        <v>2935</v>
      </c>
      <c r="D10" s="1867"/>
      <c r="E10" s="3062" t="e">
        <f t="shared" ca="1" si="1"/>
        <v>#REF!</v>
      </c>
      <c r="F10" s="3062" t="e">
        <f t="shared" ca="1" si="2"/>
        <v>#REF!</v>
      </c>
    </row>
    <row r="11" spans="1:6" ht="14.25">
      <c r="A11" s="260"/>
      <c r="B11" s="3061" t="e">
        <f t="shared" ca="1" si="0"/>
        <v>#REF!</v>
      </c>
      <c r="C11" s="3057" t="s">
        <v>2935</v>
      </c>
      <c r="D11" s="1867"/>
      <c r="E11" s="3062" t="e">
        <f t="shared" ca="1" si="1"/>
        <v>#REF!</v>
      </c>
      <c r="F11" s="3062" t="e">
        <f t="shared" ca="1" si="2"/>
        <v>#REF!</v>
      </c>
    </row>
    <row r="12" spans="1:6" ht="14.25">
      <c r="A12" s="260"/>
      <c r="B12" s="3061" t="e">
        <f t="shared" ca="1" si="0"/>
        <v>#REF!</v>
      </c>
      <c r="C12" s="3057" t="s">
        <v>2935</v>
      </c>
      <c r="D12" s="1867"/>
      <c r="E12" s="3062" t="e">
        <f t="shared" ca="1" si="1"/>
        <v>#REF!</v>
      </c>
      <c r="F12" s="3062" t="e">
        <f t="shared" ca="1" si="2"/>
        <v>#REF!</v>
      </c>
    </row>
    <row r="13" spans="1:6" ht="14.25">
      <c r="A13" s="260"/>
      <c r="B13" s="3061" t="e">
        <f t="shared" ca="1" si="0"/>
        <v>#REF!</v>
      </c>
      <c r="C13" s="3057" t="s">
        <v>2935</v>
      </c>
      <c r="D13" s="1867"/>
      <c r="E13" s="3062" t="e">
        <f t="shared" ca="1" si="1"/>
        <v>#REF!</v>
      </c>
      <c r="F13" s="3062" t="e">
        <f t="shared" ca="1" si="2"/>
        <v>#REF!</v>
      </c>
    </row>
    <row r="14" spans="1:6" ht="14.25">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75" t="s">
        <v>2460</v>
      </c>
      <c r="C8" s="1811">
        <f ca="1">ROUND(F8*F10*F9*(1-F11)/10000,0)</f>
        <v>0</v>
      </c>
      <c r="D8" s="1808" t="s">
        <v>2531</v>
      </c>
      <c r="E8" s="61" t="s">
        <v>637</v>
      </c>
      <c r="F8" s="785">
        <f ca="1">INDIRECT("'数据-取费表'!u"&amp;$G$1)</f>
        <v>0</v>
      </c>
      <c r="G8" s="1579"/>
      <c r="H8" s="2469" t="s">
        <v>1823</v>
      </c>
      <c r="I8" s="3475" t="s">
        <v>2460</v>
      </c>
      <c r="J8" s="783">
        <f ca="1">ROUND(M8*M10*M9*(1-M11)/10000,0)</f>
        <v>0</v>
      </c>
      <c r="K8" s="341" t="s">
        <v>2531</v>
      </c>
      <c r="L8" s="784" t="s">
        <v>1737</v>
      </c>
      <c r="M8" s="785">
        <f ca="1">INDIRECT("'数据-取费表'!z"&amp;$G$1)</f>
        <v>0</v>
      </c>
    </row>
    <row r="9" spans="1:25" ht="18" customHeight="1">
      <c r="A9" s="2465"/>
      <c r="B9" s="3476"/>
      <c r="C9" s="1812"/>
      <c r="D9" s="1809"/>
      <c r="E9" s="61" t="s">
        <v>638</v>
      </c>
      <c r="F9" s="785">
        <f ca="1">IF(INDIRECT("'数据-取费表'!ah"&amp;$G$1)="",INDIRECT("'数据-取费表'!k"&amp;$G$1),INDIRECT("'数据-取费表'!ah"&amp;$G$1))</f>
        <v>0</v>
      </c>
      <c r="G9" s="1579"/>
      <c r="H9" s="2454"/>
      <c r="I9" s="3476"/>
      <c r="J9" s="788"/>
      <c r="K9" s="789"/>
      <c r="L9" s="784" t="s">
        <v>1738</v>
      </c>
      <c r="M9" s="785">
        <f ca="1">F9</f>
        <v>0</v>
      </c>
    </row>
    <row r="10" spans="1:25" ht="18" customHeight="1">
      <c r="A10" s="2458"/>
      <c r="B10" s="3477"/>
      <c r="C10" s="1812"/>
      <c r="D10" s="1809"/>
      <c r="E10" s="61" t="s">
        <v>639</v>
      </c>
      <c r="F10" s="785">
        <f ca="1">INDIRECT("'数据-取费表'!ai"&amp;$G$1)</f>
        <v>0</v>
      </c>
      <c r="G10" s="1579"/>
      <c r="H10" s="2454"/>
      <c r="I10" s="3477"/>
      <c r="J10" s="788"/>
      <c r="K10" s="789"/>
      <c r="L10" s="784" t="s">
        <v>1739</v>
      </c>
      <c r="M10" s="785">
        <f ca="1">INDIRECT("'数据-取费表'!ai"&amp;$G$1)</f>
        <v>0</v>
      </c>
    </row>
    <row r="11" spans="1:25" ht="18" customHeight="1">
      <c r="A11" s="786"/>
      <c r="B11" s="3478"/>
      <c r="C11" s="1812"/>
      <c r="D11" s="1809"/>
      <c r="E11" s="61" t="s">
        <v>640</v>
      </c>
      <c r="F11" s="794">
        <f ca="1">INDIRECT("'数据-取费表'!w"&amp;$G$1)</f>
        <v>0</v>
      </c>
      <c r="G11" s="1579"/>
      <c r="H11" s="2470"/>
      <c r="I11" s="3477"/>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74"/>
      <c r="J36" s="2065"/>
      <c r="K36" s="2066"/>
      <c r="L36" s="2065"/>
      <c r="M36" s="2065"/>
    </row>
    <row r="37" spans="1:18" ht="18" customHeight="1">
      <c r="A37" s="815"/>
      <c r="B37" s="793"/>
      <c r="C37" s="69"/>
      <c r="D37" s="816"/>
      <c r="E37" s="784" t="s">
        <v>674</v>
      </c>
      <c r="F37" s="785">
        <f ca="1">INDIRECT("'数据-取费表'!r"&amp;$G$1)</f>
        <v>0</v>
      </c>
      <c r="G37" s="2048"/>
      <c r="H37" s="2051"/>
      <c r="I37" s="3474"/>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29.25" thickBot="1">
      <c r="A54" s="2082"/>
      <c r="I54" s="3101" t="s">
        <v>2968</v>
      </c>
      <c r="J54" s="3180">
        <f ca="1">IF(M48="住宅",MAX(J52,L49-'数据-取费表'!B20),MIN(J52,L49-'数据-取费表'!B20))</f>
        <v>-2</v>
      </c>
      <c r="K54" s="3479"/>
      <c r="L54" s="3480"/>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5"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3.5"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29.25"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5.75"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5" thickBot="1">
      <c r="A65" s="2082"/>
      <c r="B65" s="2083"/>
      <c r="C65" s="2083"/>
      <c r="I65" s="3120" t="s">
        <v>2368</v>
      </c>
      <c r="J65" s="3121">
        <v>50</v>
      </c>
      <c r="K65" s="3121">
        <v>35</v>
      </c>
      <c r="L65" s="3121">
        <v>60</v>
      </c>
      <c r="M65" s="846">
        <v>0</v>
      </c>
      <c r="O65" s="2369" t="s">
        <v>2412</v>
      </c>
      <c r="P65" s="1579"/>
      <c r="Q65" s="1590"/>
      <c r="R65" s="1579"/>
    </row>
    <row r="66" spans="1:18" s="2045" customFormat="1" ht="15.75"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2932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8.75">
      <c r="A21" s="1777" t="s">
        <v>2071</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1" sqref="L4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3015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6" t="s">
        <v>522</v>
      </c>
      <c r="D4" s="3407"/>
      <c r="E4" s="3431" t="s">
        <v>523</v>
      </c>
      <c r="F4" s="3432"/>
      <c r="G4" s="3406" t="s">
        <v>524</v>
      </c>
      <c r="H4" s="3407"/>
      <c r="I4" s="3406" t="s">
        <v>525</v>
      </c>
      <c r="J4" s="3407"/>
      <c r="K4" s="853" t="s">
        <v>526</v>
      </c>
      <c r="L4" s="2119"/>
      <c r="M4" s="2120"/>
      <c r="N4" s="2120"/>
      <c r="O4" s="2120"/>
      <c r="P4" s="3408" t="s">
        <v>527</v>
      </c>
      <c r="Q4" s="3409"/>
      <c r="R4" s="3394" t="s">
        <v>523</v>
      </c>
      <c r="S4" s="3395"/>
      <c r="T4" s="3394" t="s">
        <v>524</v>
      </c>
      <c r="U4" s="3395"/>
      <c r="V4" s="3414" t="s">
        <v>525</v>
      </c>
      <c r="W4" s="3414"/>
      <c r="X4" s="1554"/>
      <c r="Y4" s="3394" t="s">
        <v>527</v>
      </c>
      <c r="Z4" s="3395"/>
      <c r="AA4" s="3389" t="s">
        <v>523</v>
      </c>
      <c r="AB4" s="3389" t="s">
        <v>524</v>
      </c>
      <c r="AC4" s="3389" t="s">
        <v>525</v>
      </c>
    </row>
    <row r="5" spans="1:29" ht="15">
      <c r="A5" s="515"/>
      <c r="B5" s="516"/>
      <c r="C5" s="3417" t="s">
        <v>2920</v>
      </c>
      <c r="D5" s="3418"/>
      <c r="E5" s="3481" t="s">
        <v>3018</v>
      </c>
      <c r="F5" s="3434"/>
      <c r="G5" s="3421" t="s">
        <v>3019</v>
      </c>
      <c r="H5" s="3418"/>
      <c r="I5" s="3421" t="s">
        <v>3216</v>
      </c>
      <c r="J5" s="3418"/>
      <c r="K5" s="854"/>
      <c r="L5" s="2119"/>
      <c r="M5" s="2120"/>
      <c r="N5" s="2120"/>
      <c r="O5" s="2120"/>
      <c r="P5" s="3410"/>
      <c r="Q5" s="3411"/>
      <c r="R5" s="3396"/>
      <c r="S5" s="3397"/>
      <c r="T5" s="3396"/>
      <c r="U5" s="3397"/>
      <c r="V5" s="3414"/>
      <c r="W5" s="3414"/>
      <c r="X5" s="1554"/>
      <c r="Y5" s="3396"/>
      <c r="Z5" s="3397"/>
      <c r="AA5" s="3390"/>
      <c r="AB5" s="3390"/>
      <c r="AC5" s="3390"/>
    </row>
    <row r="6" spans="1:29" ht="15.75" thickBot="1">
      <c r="A6" s="517"/>
      <c r="B6" s="518"/>
      <c r="C6" s="3415" t="s">
        <v>2924</v>
      </c>
      <c r="D6" s="3416"/>
      <c r="E6" s="3435" t="s">
        <v>2924</v>
      </c>
      <c r="F6" s="3436"/>
      <c r="G6" s="3415" t="s">
        <v>2924</v>
      </c>
      <c r="H6" s="3416"/>
      <c r="I6" s="3415" t="s">
        <v>2924</v>
      </c>
      <c r="J6" s="3416"/>
      <c r="K6" s="854" t="s">
        <v>528</v>
      </c>
      <c r="L6" s="2119"/>
      <c r="M6" s="2120"/>
      <c r="N6" s="2120"/>
      <c r="O6" s="2120"/>
      <c r="P6" s="3412"/>
      <c r="Q6" s="3413"/>
      <c r="R6" s="3396"/>
      <c r="S6" s="3397"/>
      <c r="T6" s="3398"/>
      <c r="U6" s="3399"/>
      <c r="V6" s="3414"/>
      <c r="W6" s="3414"/>
      <c r="X6" s="1554"/>
      <c r="Y6" s="3398"/>
      <c r="Z6" s="3399"/>
      <c r="AA6" s="3391"/>
      <c r="AB6" s="3391"/>
      <c r="AC6" s="3391"/>
    </row>
    <row r="7" spans="1:29" s="1216" customFormat="1" ht="15.7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392" t="s">
        <v>530</v>
      </c>
      <c r="Q7" s="3401"/>
      <c r="R7" s="1555" t="s">
        <v>13</v>
      </c>
      <c r="S7" s="1556">
        <f t="shared" ref="S7:S15" si="0">F7</f>
        <v>100</v>
      </c>
      <c r="T7" s="1555" t="s">
        <v>13</v>
      </c>
      <c r="U7" s="1556">
        <f t="shared" ref="U7:U15" si="1">H7</f>
        <v>100</v>
      </c>
      <c r="V7" s="1555" t="s">
        <v>13</v>
      </c>
      <c r="W7" s="1556">
        <f t="shared" ref="W7:W15" si="2">J7</f>
        <v>100</v>
      </c>
      <c r="X7" s="1557"/>
      <c r="Y7" s="3392" t="s">
        <v>530</v>
      </c>
      <c r="Z7" s="3393"/>
      <c r="AA7" s="1558">
        <f>D7/F7</f>
        <v>1</v>
      </c>
      <c r="AB7" s="1558">
        <f>D7/H7</f>
        <v>1</v>
      </c>
      <c r="AC7" s="1558">
        <f>D7/J7</f>
        <v>1</v>
      </c>
    </row>
    <row r="8" spans="1:29" s="1216" customFormat="1" ht="15.75" thickBot="1">
      <c r="A8" s="2869"/>
      <c r="B8" s="2876" t="s">
        <v>531</v>
      </c>
      <c r="C8" s="525" t="s">
        <v>576</v>
      </c>
      <c r="D8" s="520">
        <v>100</v>
      </c>
      <c r="E8" s="3187" t="s">
        <v>3016</v>
      </c>
      <c r="F8" s="522">
        <f>SUMIF(61:61,E8,62:62)-SUMIF(61:61,C8,62:62)+100</f>
        <v>100</v>
      </c>
      <c r="G8" s="3188" t="s">
        <v>3016</v>
      </c>
      <c r="H8" s="520">
        <f>SUMIF(61:61,G8,62:62)-SUMIF(61:61,C8,62:62)+100</f>
        <v>100</v>
      </c>
      <c r="I8" s="3187" t="s">
        <v>3016</v>
      </c>
      <c r="J8" s="520">
        <f>SUMIF(61:61,I8,62:62)-SUMIF(61:61,C8,62:62)+100</f>
        <v>100</v>
      </c>
      <c r="K8" s="855"/>
      <c r="L8" s="2121"/>
      <c r="M8" s="2122"/>
      <c r="N8" s="2122"/>
      <c r="O8" s="2122"/>
      <c r="P8" s="3392" t="s">
        <v>533</v>
      </c>
      <c r="Q8" s="3393"/>
      <c r="R8" s="1555" t="s">
        <v>13</v>
      </c>
      <c r="S8" s="1556">
        <f t="shared" si="0"/>
        <v>100</v>
      </c>
      <c r="T8" s="1555" t="s">
        <v>13</v>
      </c>
      <c r="U8" s="1556">
        <f t="shared" si="1"/>
        <v>100</v>
      </c>
      <c r="V8" s="1555" t="s">
        <v>13</v>
      </c>
      <c r="W8" s="1556">
        <f t="shared" si="2"/>
        <v>100</v>
      </c>
      <c r="X8" s="1557"/>
      <c r="Y8" s="3392" t="s">
        <v>533</v>
      </c>
      <c r="Z8" s="3393"/>
      <c r="AA8" s="1558">
        <f t="shared" ref="AA8:AA46" si="3">D8/F8</f>
        <v>1</v>
      </c>
      <c r="AB8" s="1558">
        <f t="shared" ref="AB8:AB46" si="4">D8/H8</f>
        <v>1</v>
      </c>
      <c r="AC8" s="1558">
        <f t="shared" ref="AC8:AC46" si="5">D8/J8</f>
        <v>1</v>
      </c>
    </row>
    <row r="9" spans="1:29" s="1216" customFormat="1" ht="15">
      <c r="A9" s="2870"/>
      <c r="B9" s="2877" t="s">
        <v>2752</v>
      </c>
      <c r="C9" s="3189" t="s">
        <v>3017</v>
      </c>
      <c r="D9" s="254">
        <v>100</v>
      </c>
      <c r="E9" s="3190" t="s">
        <v>3017</v>
      </c>
      <c r="F9" s="859">
        <f>SUMIF(63:63,E9,64:64)-SUMIF(63:63,C9,64:64)+100</f>
        <v>100</v>
      </c>
      <c r="G9" s="3191" t="s">
        <v>3017</v>
      </c>
      <c r="H9" s="254">
        <f>SUMIF(63:63,G9,64:64)-SUMIF(63:63,C9,64:64)+100</f>
        <v>100</v>
      </c>
      <c r="I9" s="3191" t="s">
        <v>3017</v>
      </c>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2753</v>
      </c>
      <c r="C10" s="861" t="s">
        <v>3215</v>
      </c>
      <c r="D10" s="255">
        <v>100</v>
      </c>
      <c r="E10" s="862" t="s">
        <v>3215</v>
      </c>
      <c r="F10" s="863">
        <f>SUMIF(65:65,E10,66:66)-SUMIF(65:65,C10,66:66)+100</f>
        <v>100</v>
      </c>
      <c r="G10" s="861" t="s">
        <v>3215</v>
      </c>
      <c r="H10" s="255">
        <f>SUMIF(65:65,G10,66:66)-SUMIF(65:65,C10,66:66)+100</f>
        <v>100</v>
      </c>
      <c r="I10" s="861" t="s">
        <v>3215</v>
      </c>
      <c r="J10" s="255">
        <f>SUMIF(65:65,I10,66:66)-SUMIF(65:65,C10,66:66)+100</f>
        <v>100</v>
      </c>
      <c r="K10" s="864">
        <v>2</v>
      </c>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400"/>
      <c r="Q11" s="1147" t="str">
        <f t="shared" si="6"/>
        <v>容积率</v>
      </c>
      <c r="R11" s="1555" t="s">
        <v>11</v>
      </c>
      <c r="S11" s="1556">
        <f t="shared" si="0"/>
        <v>100</v>
      </c>
      <c r="T11" s="1555" t="s">
        <v>11</v>
      </c>
      <c r="U11" s="1556">
        <f t="shared" si="1"/>
        <v>100</v>
      </c>
      <c r="V11" s="1555" t="s">
        <v>11</v>
      </c>
      <c r="W11" s="1556">
        <f t="shared" si="2"/>
        <v>100</v>
      </c>
      <c r="X11" s="1557"/>
      <c r="Y11" s="3357"/>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57"/>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2" t="s">
        <v>540</v>
      </c>
      <c r="Q15" s="1559" t="str">
        <f t="shared" si="6"/>
        <v>居住社区成熟度</v>
      </c>
      <c r="R15" s="1560" t="s">
        <v>11</v>
      </c>
      <c r="S15" s="1561">
        <f t="shared" si="0"/>
        <v>100</v>
      </c>
      <c r="T15" s="1560" t="s">
        <v>11</v>
      </c>
      <c r="U15" s="1561">
        <f t="shared" si="1"/>
        <v>100</v>
      </c>
      <c r="V15" s="1560" t="s">
        <v>11</v>
      </c>
      <c r="W15" s="1561">
        <f t="shared" si="2"/>
        <v>100</v>
      </c>
      <c r="X15" s="1554"/>
      <c r="Y15" s="3402"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3"/>
      <c r="Q16" s="1559"/>
      <c r="R16" s="1560"/>
      <c r="S16" s="1561"/>
      <c r="T16" s="1560"/>
      <c r="U16" s="1561"/>
      <c r="V16" s="1560"/>
      <c r="W16" s="1561"/>
      <c r="X16" s="1554"/>
      <c r="Y16" s="3403"/>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3"/>
      <c r="Q17" s="1559" t="str">
        <f>B17</f>
        <v>交通便捷度</v>
      </c>
      <c r="R17" s="1560" t="s">
        <v>11</v>
      </c>
      <c r="S17" s="1561">
        <f>F17</f>
        <v>100</v>
      </c>
      <c r="T17" s="1560" t="s">
        <v>11</v>
      </c>
      <c r="U17" s="1561">
        <f>H17</f>
        <v>100</v>
      </c>
      <c r="V17" s="1560" t="s">
        <v>11</v>
      </c>
      <c r="W17" s="1561">
        <f>J17</f>
        <v>100</v>
      </c>
      <c r="X17" s="1554"/>
      <c r="Y17" s="340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3"/>
      <c r="Q18" s="1559"/>
      <c r="R18" s="1560"/>
      <c r="S18" s="1561"/>
      <c r="T18" s="1560"/>
      <c r="U18" s="1561"/>
      <c r="V18" s="1560"/>
      <c r="W18" s="1561"/>
      <c r="X18" s="1554"/>
      <c r="Y18" s="3403"/>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3"/>
      <c r="Q19" s="1559" t="str">
        <f>B19</f>
        <v>公共配套设施</v>
      </c>
      <c r="R19" s="1560" t="s">
        <v>11</v>
      </c>
      <c r="S19" s="1561">
        <f>F19</f>
        <v>100</v>
      </c>
      <c r="T19" s="1560" t="s">
        <v>11</v>
      </c>
      <c r="U19" s="1561">
        <f>H19</f>
        <v>100</v>
      </c>
      <c r="V19" s="1560" t="s">
        <v>11</v>
      </c>
      <c r="W19" s="1561">
        <f>J19</f>
        <v>100</v>
      </c>
      <c r="X19" s="1554"/>
      <c r="Y19" s="340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3"/>
      <c r="Q20" s="1559"/>
      <c r="R20" s="1560"/>
      <c r="S20" s="1561"/>
      <c r="T20" s="1560"/>
      <c r="U20" s="1561"/>
      <c r="V20" s="1560"/>
      <c r="W20" s="1561"/>
      <c r="X20" s="1554"/>
      <c r="Y20" s="3403"/>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3"/>
      <c r="Q21" s="2544" t="str">
        <f>B21</f>
        <v>基础设施水平</v>
      </c>
      <c r="R21" s="1560" t="s">
        <v>11</v>
      </c>
      <c r="S21" s="1561">
        <f>F21</f>
        <v>100</v>
      </c>
      <c r="T21" s="1560" t="s">
        <v>11</v>
      </c>
      <c r="U21" s="1561">
        <f>H21</f>
        <v>100</v>
      </c>
      <c r="V21" s="1560" t="s">
        <v>11</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3"/>
      <c r="Q22" s="2544"/>
      <c r="R22" s="1560"/>
      <c r="S22" s="1561"/>
      <c r="T22" s="1560"/>
      <c r="U22" s="1561"/>
      <c r="V22" s="1560"/>
      <c r="W22" s="1561"/>
      <c r="X22" s="2546"/>
      <c r="Y22" s="3403"/>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3"/>
      <c r="Q23" s="1559" t="str">
        <f>B23</f>
        <v>自然及人文环境</v>
      </c>
      <c r="R23" s="1560" t="s">
        <v>11</v>
      </c>
      <c r="S23" s="1561">
        <f>F23</f>
        <v>100</v>
      </c>
      <c r="T23" s="1560" t="s">
        <v>11</v>
      </c>
      <c r="U23" s="1561">
        <f>H23</f>
        <v>100</v>
      </c>
      <c r="V23" s="1560" t="s">
        <v>11</v>
      </c>
      <c r="W23" s="1561">
        <f>J23</f>
        <v>100</v>
      </c>
      <c r="X23" s="1554"/>
      <c r="Y23" s="340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3"/>
      <c r="Q24" s="1559"/>
      <c r="R24" s="1560"/>
      <c r="S24" s="1561"/>
      <c r="T24" s="1560"/>
      <c r="U24" s="1561"/>
      <c r="V24" s="1560"/>
      <c r="W24" s="1561"/>
      <c r="X24" s="1554"/>
      <c r="Y24" s="3403"/>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3"/>
      <c r="Q25" s="1559" t="str">
        <f t="shared" ref="Q25:Q46" si="11">B25</f>
        <v>楼层-1</v>
      </c>
      <c r="R25" s="1560" t="s">
        <v>11</v>
      </c>
      <c r="S25" s="1561">
        <f>F25</f>
        <v>100</v>
      </c>
      <c r="T25" s="1560" t="s">
        <v>11</v>
      </c>
      <c r="U25" s="1561">
        <f>H25</f>
        <v>100</v>
      </c>
      <c r="V25" s="1560" t="s">
        <v>11</v>
      </c>
      <c r="W25" s="1561">
        <f>J25</f>
        <v>100</v>
      </c>
      <c r="X25" s="1554"/>
      <c r="Y25" s="3403"/>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3"/>
      <c r="Q26" s="1559" t="str">
        <f t="shared" si="11"/>
        <v>朝向</v>
      </c>
      <c r="R26" s="1560" t="s">
        <v>11</v>
      </c>
      <c r="S26" s="1561">
        <f>F26</f>
        <v>100</v>
      </c>
      <c r="T26" s="1560" t="s">
        <v>11</v>
      </c>
      <c r="U26" s="1561">
        <f>H26</f>
        <v>100</v>
      </c>
      <c r="V26" s="1560" t="s">
        <v>11</v>
      </c>
      <c r="W26" s="1561">
        <f>J26</f>
        <v>100</v>
      </c>
      <c r="X26" s="1554"/>
      <c r="Y26" s="3403"/>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3"/>
      <c r="Q27" s="1147" t="str">
        <f t="shared" si="11"/>
        <v>道路级别</v>
      </c>
      <c r="R27" s="1555" t="s">
        <v>11</v>
      </c>
      <c r="S27" s="1556">
        <f>F27</f>
        <v>100</v>
      </c>
      <c r="T27" s="1555" t="s">
        <v>11</v>
      </c>
      <c r="U27" s="1556">
        <f>H27</f>
        <v>100</v>
      </c>
      <c r="V27" s="1555" t="s">
        <v>11</v>
      </c>
      <c r="W27" s="1556">
        <f>J27</f>
        <v>100</v>
      </c>
      <c r="X27" s="1557"/>
      <c r="Y27" s="340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3"/>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3"/>
      <c r="Q29" s="1559">
        <f t="shared" si="11"/>
        <v>111</v>
      </c>
      <c r="R29" s="1560" t="s">
        <v>11</v>
      </c>
      <c r="S29" s="1561">
        <f t="shared" si="12"/>
        <v>100</v>
      </c>
      <c r="T29" s="1560" t="s">
        <v>11</v>
      </c>
      <c r="U29" s="1561">
        <f t="shared" si="13"/>
        <v>100</v>
      </c>
      <c r="V29" s="1560" t="s">
        <v>11</v>
      </c>
      <c r="W29" s="1561">
        <f t="shared" si="14"/>
        <v>100</v>
      </c>
      <c r="X29" s="1554"/>
      <c r="Y29" s="340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3"/>
      <c r="Q30" s="1559">
        <f t="shared" si="11"/>
        <v>111</v>
      </c>
      <c r="R30" s="1560" t="s">
        <v>11</v>
      </c>
      <c r="S30" s="1561">
        <f t="shared" si="12"/>
        <v>100</v>
      </c>
      <c r="T30" s="1560" t="s">
        <v>11</v>
      </c>
      <c r="U30" s="1561">
        <f t="shared" si="13"/>
        <v>100</v>
      </c>
      <c r="V30" s="1560" t="s">
        <v>11</v>
      </c>
      <c r="W30" s="1561">
        <f t="shared" si="14"/>
        <v>100</v>
      </c>
      <c r="X30" s="1554"/>
      <c r="Y30" s="340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3"/>
      <c r="Q31" s="1559">
        <f t="shared" si="11"/>
        <v>111</v>
      </c>
      <c r="R31" s="1560" t="s">
        <v>11</v>
      </c>
      <c r="S31" s="1561">
        <f t="shared" si="12"/>
        <v>100</v>
      </c>
      <c r="T31" s="1560" t="s">
        <v>11</v>
      </c>
      <c r="U31" s="1561">
        <f t="shared" si="13"/>
        <v>100</v>
      </c>
      <c r="V31" s="1560" t="s">
        <v>11</v>
      </c>
      <c r="W31" s="1561">
        <f t="shared" si="14"/>
        <v>100</v>
      </c>
      <c r="X31" s="1554"/>
      <c r="Y31" s="3403"/>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4" t="s">
        <v>550</v>
      </c>
      <c r="Q32" s="1559" t="str">
        <f t="shared" si="11"/>
        <v>建筑类型</v>
      </c>
      <c r="R32" s="1560" t="s">
        <v>11</v>
      </c>
      <c r="S32" s="1561">
        <f t="shared" si="12"/>
        <v>100</v>
      </c>
      <c r="T32" s="1560" t="s">
        <v>11</v>
      </c>
      <c r="U32" s="1561">
        <f t="shared" si="13"/>
        <v>100</v>
      </c>
      <c r="V32" s="1560" t="s">
        <v>11</v>
      </c>
      <c r="W32" s="1561">
        <f t="shared" si="14"/>
        <v>100</v>
      </c>
      <c r="X32" s="1554"/>
      <c r="Y32" s="3405"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05"/>
      <c r="Q33" s="1591" t="str">
        <f t="shared" si="11"/>
        <v>项目建筑规模</v>
      </c>
      <c r="R33" s="1564" t="s">
        <v>11</v>
      </c>
      <c r="S33" s="1565">
        <f t="shared" si="12"/>
        <v>103</v>
      </c>
      <c r="T33" s="1564" t="s">
        <v>11</v>
      </c>
      <c r="U33" s="1565">
        <f t="shared" si="13"/>
        <v>99</v>
      </c>
      <c r="V33" s="1564" t="s">
        <v>11</v>
      </c>
      <c r="W33" s="1565">
        <f t="shared" si="14"/>
        <v>99</v>
      </c>
      <c r="X33" s="1566"/>
      <c r="Y33" s="3405"/>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5"/>
      <c r="Q34" s="1559" t="str">
        <f t="shared" si="11"/>
        <v>建筑结构</v>
      </c>
      <c r="R34" s="1560" t="s">
        <v>11</v>
      </c>
      <c r="S34" s="1561">
        <f t="shared" si="12"/>
        <v>100</v>
      </c>
      <c r="T34" s="1560" t="s">
        <v>11</v>
      </c>
      <c r="U34" s="1561">
        <f t="shared" si="13"/>
        <v>100</v>
      </c>
      <c r="V34" s="1560" t="s">
        <v>11</v>
      </c>
      <c r="W34" s="1561">
        <f t="shared" si="14"/>
        <v>100</v>
      </c>
      <c r="X34" s="1554"/>
      <c r="Y34" s="3405"/>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5"/>
      <c r="Q35" s="1559" t="str">
        <f t="shared" si="11"/>
        <v>建筑品质</v>
      </c>
      <c r="R35" s="1560" t="s">
        <v>11</v>
      </c>
      <c r="S35" s="1561">
        <f t="shared" si="12"/>
        <v>100</v>
      </c>
      <c r="T35" s="1560" t="s">
        <v>11</v>
      </c>
      <c r="U35" s="1561">
        <f t="shared" si="13"/>
        <v>100</v>
      </c>
      <c r="V35" s="1560" t="s">
        <v>11</v>
      </c>
      <c r="W35" s="1561">
        <f t="shared" si="14"/>
        <v>100</v>
      </c>
      <c r="X35" s="1554"/>
      <c r="Y35" s="3405"/>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5"/>
      <c r="Q36" s="1559" t="str">
        <f t="shared" si="11"/>
        <v>公共部分装修</v>
      </c>
      <c r="R36" s="1560" t="s">
        <v>11</v>
      </c>
      <c r="S36" s="1561">
        <f t="shared" si="12"/>
        <v>100</v>
      </c>
      <c r="T36" s="1560" t="s">
        <v>11</v>
      </c>
      <c r="U36" s="1561">
        <f t="shared" si="13"/>
        <v>100</v>
      </c>
      <c r="V36" s="1560" t="s">
        <v>11</v>
      </c>
      <c r="W36" s="1561">
        <f t="shared" si="14"/>
        <v>100</v>
      </c>
      <c r="X36" s="1554"/>
      <c r="Y36" s="3405"/>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05"/>
      <c r="Q37" s="1147" t="str">
        <f t="shared" si="11"/>
        <v>成新度</v>
      </c>
      <c r="R37" s="1555" t="s">
        <v>11</v>
      </c>
      <c r="S37" s="1556">
        <f t="shared" si="12"/>
        <v>100</v>
      </c>
      <c r="T37" s="1555" t="s">
        <v>11</v>
      </c>
      <c r="U37" s="1556">
        <f t="shared" si="13"/>
        <v>100</v>
      </c>
      <c r="V37" s="1555" t="s">
        <v>11</v>
      </c>
      <c r="W37" s="1556">
        <f t="shared" si="14"/>
        <v>100</v>
      </c>
      <c r="X37" s="1557"/>
      <c r="Y37" s="3405"/>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5" t="s">
        <v>550</v>
      </c>
      <c r="Q38" s="1559" t="str">
        <f t="shared" si="11"/>
        <v>物业管理</v>
      </c>
      <c r="R38" s="1560" t="s">
        <v>11</v>
      </c>
      <c r="S38" s="1561">
        <f t="shared" si="12"/>
        <v>100</v>
      </c>
      <c r="T38" s="1560" t="s">
        <v>11</v>
      </c>
      <c r="U38" s="1561">
        <f t="shared" si="13"/>
        <v>100</v>
      </c>
      <c r="V38" s="1560" t="s">
        <v>11</v>
      </c>
      <c r="W38" s="1561">
        <f t="shared" si="14"/>
        <v>100</v>
      </c>
      <c r="X38" s="1554"/>
      <c r="Y38" s="3405"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5"/>
      <c r="Q39" s="1559" t="str">
        <f t="shared" si="11"/>
        <v>市政基础设施</v>
      </c>
      <c r="R39" s="1560" t="s">
        <v>11</v>
      </c>
      <c r="S39" s="1561">
        <f t="shared" si="12"/>
        <v>100</v>
      </c>
      <c r="T39" s="1560" t="s">
        <v>11</v>
      </c>
      <c r="U39" s="1561">
        <f t="shared" si="13"/>
        <v>100</v>
      </c>
      <c r="V39" s="1560" t="s">
        <v>11</v>
      </c>
      <c r="W39" s="1561">
        <f t="shared" si="14"/>
        <v>100</v>
      </c>
      <c r="X39" s="1554"/>
      <c r="Y39" s="3405"/>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5"/>
      <c r="Q40" s="1559" t="str">
        <f t="shared" si="11"/>
        <v>房型</v>
      </c>
      <c r="R40" s="1560" t="s">
        <v>11</v>
      </c>
      <c r="S40" s="1561">
        <f t="shared" si="12"/>
        <v>100</v>
      </c>
      <c r="T40" s="1560" t="s">
        <v>11</v>
      </c>
      <c r="U40" s="1561">
        <f t="shared" si="13"/>
        <v>100</v>
      </c>
      <c r="V40" s="1560" t="s">
        <v>11</v>
      </c>
      <c r="W40" s="1561">
        <f t="shared" si="14"/>
        <v>100</v>
      </c>
      <c r="X40" s="1554"/>
      <c r="Y40" s="3405"/>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5"/>
      <c r="Q41" s="1591" t="str">
        <f t="shared" si="11"/>
        <v>单套/主力户型建筑面积</v>
      </c>
      <c r="R41" s="1564" t="s">
        <v>11</v>
      </c>
      <c r="S41" s="1565">
        <f t="shared" si="12"/>
        <v>100</v>
      </c>
      <c r="T41" s="1564" t="s">
        <v>11</v>
      </c>
      <c r="U41" s="1565">
        <f t="shared" si="13"/>
        <v>100</v>
      </c>
      <c r="V41" s="1564" t="s">
        <v>11</v>
      </c>
      <c r="W41" s="1565">
        <f t="shared" si="14"/>
        <v>100</v>
      </c>
      <c r="X41" s="1566"/>
      <c r="Y41" s="3405"/>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5"/>
      <c r="Q42" s="1559" t="str">
        <f t="shared" si="11"/>
        <v>内部装修</v>
      </c>
      <c r="R42" s="1560" t="s">
        <v>11</v>
      </c>
      <c r="S42" s="1561">
        <f t="shared" si="12"/>
        <v>100</v>
      </c>
      <c r="T42" s="1560" t="s">
        <v>11</v>
      </c>
      <c r="U42" s="1561">
        <f t="shared" si="13"/>
        <v>100</v>
      </c>
      <c r="V42" s="1560" t="s">
        <v>11</v>
      </c>
      <c r="W42" s="1561">
        <f t="shared" si="14"/>
        <v>100</v>
      </c>
      <c r="X42" s="1554"/>
      <c r="Y42" s="3405"/>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5"/>
      <c r="Q43" s="1559" t="str">
        <f t="shared" si="11"/>
        <v>内部装修维护情况</v>
      </c>
      <c r="R43" s="1560" t="s">
        <v>11</v>
      </c>
      <c r="S43" s="1561">
        <f t="shared" si="12"/>
        <v>100</v>
      </c>
      <c r="T43" s="1560" t="s">
        <v>11</v>
      </c>
      <c r="U43" s="1561">
        <f t="shared" si="13"/>
        <v>100</v>
      </c>
      <c r="V43" s="1560" t="s">
        <v>11</v>
      </c>
      <c r="W43" s="1561">
        <f t="shared" si="14"/>
        <v>100</v>
      </c>
      <c r="X43" s="1554"/>
      <c r="Y43" s="340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5"/>
      <c r="Q44" s="1147">
        <f t="shared" si="11"/>
        <v>111</v>
      </c>
      <c r="R44" s="1555" t="s">
        <v>11</v>
      </c>
      <c r="S44" s="1556">
        <f t="shared" si="12"/>
        <v>100</v>
      </c>
      <c r="T44" s="1555" t="s">
        <v>11</v>
      </c>
      <c r="U44" s="1556">
        <f t="shared" si="13"/>
        <v>100</v>
      </c>
      <c r="V44" s="1555" t="s">
        <v>11</v>
      </c>
      <c r="W44" s="1556">
        <f t="shared" si="14"/>
        <v>100</v>
      </c>
      <c r="X44" s="1557"/>
      <c r="Y44" s="340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5"/>
      <c r="Q45" s="1559">
        <f t="shared" si="11"/>
        <v>111</v>
      </c>
      <c r="R45" s="1560" t="s">
        <v>11</v>
      </c>
      <c r="S45" s="1561">
        <f t="shared" si="12"/>
        <v>100</v>
      </c>
      <c r="T45" s="1560" t="s">
        <v>11</v>
      </c>
      <c r="U45" s="1561">
        <f t="shared" si="13"/>
        <v>100</v>
      </c>
      <c r="V45" s="1560" t="s">
        <v>11</v>
      </c>
      <c r="W45" s="1561">
        <f t="shared" si="14"/>
        <v>100</v>
      </c>
      <c r="X45" s="1554"/>
      <c r="Y45" s="340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4"/>
      <c r="Q46" s="1559">
        <f t="shared" si="11"/>
        <v>111</v>
      </c>
      <c r="R46" s="1560" t="s">
        <v>10</v>
      </c>
      <c r="S46" s="1561">
        <f t="shared" si="12"/>
        <v>100</v>
      </c>
      <c r="T46" s="1560" t="s">
        <v>10</v>
      </c>
      <c r="U46" s="1561">
        <f t="shared" si="13"/>
        <v>100</v>
      </c>
      <c r="V46" s="1560" t="s">
        <v>10</v>
      </c>
      <c r="W46" s="1561">
        <f t="shared" si="14"/>
        <v>100</v>
      </c>
      <c r="X46" s="1554"/>
      <c r="Y46" s="3484"/>
      <c r="Z46" s="1562">
        <f t="shared" si="15"/>
        <v>111</v>
      </c>
      <c r="AA46" s="1563">
        <f t="shared" si="3"/>
        <v>1</v>
      </c>
      <c r="AB46" s="1563">
        <f t="shared" si="4"/>
        <v>1</v>
      </c>
      <c r="AC46" s="1563">
        <f t="shared" si="5"/>
        <v>1</v>
      </c>
    </row>
    <row r="47" spans="1:29" ht="15">
      <c r="A47" s="607" t="s">
        <v>736</v>
      </c>
      <c r="B47" s="887"/>
      <c r="C47" s="2592" t="s">
        <v>9</v>
      </c>
      <c r="D47" s="2593"/>
      <c r="E47" s="2594">
        <v>9500</v>
      </c>
      <c r="F47" s="2595"/>
      <c r="G47" s="2596">
        <v>9000</v>
      </c>
      <c r="H47" s="2597"/>
      <c r="I47" s="2594">
        <v>8500</v>
      </c>
      <c r="J47" s="2597"/>
      <c r="K47" s="1592"/>
      <c r="L47" s="2130"/>
      <c r="M47" s="2131"/>
      <c r="N47" s="2120"/>
      <c r="O47" s="2131"/>
      <c r="P47" s="3400" t="str">
        <f>A47</f>
        <v>成交单价（元/平方米）</v>
      </c>
      <c r="Q47" s="3400"/>
      <c r="R47" s="3483">
        <f>E47</f>
        <v>9500</v>
      </c>
      <c r="S47" s="3483"/>
      <c r="T47" s="3483">
        <f>G47</f>
        <v>9000</v>
      </c>
      <c r="U47" s="3483"/>
      <c r="V47" s="3483">
        <f>I47</f>
        <v>8500</v>
      </c>
      <c r="W47" s="3483"/>
      <c r="X47" s="1546"/>
      <c r="Y47" s="1568"/>
      <c r="Z47" s="1546"/>
      <c r="AA47" s="1546"/>
      <c r="AB47" s="1546"/>
      <c r="AC47" s="1546"/>
    </row>
    <row r="48" spans="1:29" ht="15.7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400" t="str">
        <f>A48</f>
        <v>比较价格（元/平方米）</v>
      </c>
      <c r="Q48" s="3400"/>
      <c r="R48" s="3483">
        <f>IF(F1="售价",ROUND(PRODUCT(R47,AA7:AA46),0),ROUND(PRODUCT(R47,AA7:AA46),1))</f>
        <v>9223</v>
      </c>
      <c r="S48" s="3483"/>
      <c r="T48" s="3483">
        <f>IF(F1="售价",ROUND(PRODUCT(T47,AB7:AB46),0),ROUND(PRODUCT(T47,AB7:AB46),1))</f>
        <v>9091</v>
      </c>
      <c r="U48" s="3483"/>
      <c r="V48" s="3483">
        <f>IF(F1="售价",ROUND(PRODUCT(V47,AC7:AC46),0),ROUND(PRODUCT(V47,AC7:AC46),1))</f>
        <v>8586</v>
      </c>
      <c r="W48" s="3483"/>
      <c r="X48" s="1546"/>
      <c r="Y48" s="1546"/>
      <c r="Z48" s="1546"/>
      <c r="AA48" s="1546"/>
      <c r="AB48" s="1546"/>
      <c r="AC48" s="1546"/>
    </row>
    <row r="49" spans="1:29" ht="15.75" thickBot="1">
      <c r="A49" s="621" t="s">
        <v>2926</v>
      </c>
      <c r="B49" s="622"/>
      <c r="C49" s="2601">
        <f>R49</f>
        <v>8967</v>
      </c>
      <c r="D49" s="2601"/>
      <c r="E49" s="2601"/>
      <c r="F49" s="2601"/>
      <c r="G49" s="2601"/>
      <c r="H49" s="2601"/>
      <c r="I49" s="2601"/>
      <c r="J49" s="2601"/>
      <c r="K49" s="1594"/>
      <c r="L49" s="2130"/>
      <c r="M49" s="2131"/>
      <c r="N49" s="2131"/>
      <c r="O49" s="2131"/>
      <c r="P49" s="3422" t="str">
        <f>A49</f>
        <v>估价对象XX用房的比较价格（楼面单价，元/平方米）</v>
      </c>
      <c r="Q49" s="3423"/>
      <c r="R49" s="3482">
        <f>IF(F1="售价",ROUND(AVERAGE(R48:V48),0),ROUND(AVERAGE(R48:V48),1))</f>
        <v>8967</v>
      </c>
      <c r="S49" s="3482"/>
      <c r="T49" s="3482"/>
      <c r="U49" s="3482"/>
      <c r="V49" s="3482"/>
      <c r="W49" s="348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4" sqref="S24:S27"/>
    </sheetView>
  </sheetViews>
  <sheetFormatPr defaultColWidth="9" defaultRowHeight="12.75"/>
  <cols>
    <col min="1" max="1" width="11.5" style="1246" customWidth="1"/>
    <col min="2" max="2" width="11.25" style="1214" customWidth="1"/>
    <col min="3" max="3" width="6.25" style="1214" customWidth="1"/>
    <col min="4" max="4" width="9" style="1214"/>
    <col min="5" max="5" width="7.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488" t="s">
        <v>2301</v>
      </c>
      <c r="D1" s="3489"/>
      <c r="E1" s="3489"/>
      <c r="F1" s="3489"/>
      <c r="G1" s="3489"/>
      <c r="H1" s="3489"/>
      <c r="I1" s="3489"/>
      <c r="J1" s="3489"/>
      <c r="K1" s="3489"/>
      <c r="L1" s="3489"/>
      <c r="M1" s="3489"/>
      <c r="N1" s="3489"/>
      <c r="O1" s="3489"/>
      <c r="P1" s="3489"/>
      <c r="Q1" s="3489"/>
      <c r="R1" s="3489"/>
      <c r="S1" s="3490"/>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3211</v>
      </c>
      <c r="C5" s="2238" t="s">
        <v>3212</v>
      </c>
      <c r="D5" s="3209" t="s">
        <v>3214</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3210</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68752</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2134</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485" t="s">
        <v>20</v>
      </c>
      <c r="D22" s="3486"/>
      <c r="E22" s="3486"/>
      <c r="F22" s="3486"/>
      <c r="G22" s="3486"/>
      <c r="H22" s="3486"/>
      <c r="I22" s="3486"/>
      <c r="J22" s="3486"/>
      <c r="K22" s="3486"/>
      <c r="L22" s="3486"/>
      <c r="M22" s="3486"/>
      <c r="N22" s="3486"/>
      <c r="O22" s="3486"/>
      <c r="P22" s="3486"/>
      <c r="Q22" s="3487"/>
      <c r="R22" s="490">
        <f ca="1">ROUND(S22*10000/B22,0)</f>
        <v>2134</v>
      </c>
      <c r="S22" s="53">
        <f ca="1">SUM(S24:S10000)</f>
        <v>68752</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c r="B24" s="961">
        <f>Sheet1!E2</f>
        <v>78769.05</v>
      </c>
      <c r="C24" s="962">
        <v>1</v>
      </c>
      <c r="D24" s="963" t="s">
        <v>3213</v>
      </c>
      <c r="E24" s="962">
        <v>1</v>
      </c>
      <c r="F24" s="963"/>
      <c r="G24" s="962">
        <v>1</v>
      </c>
      <c r="H24" s="963"/>
      <c r="I24" s="962">
        <v>1</v>
      </c>
      <c r="J24" s="963"/>
      <c r="K24" s="962">
        <v>1</v>
      </c>
      <c r="L24" s="963"/>
      <c r="M24" s="962">
        <v>1</v>
      </c>
      <c r="N24" s="963"/>
      <c r="O24" s="962">
        <v>1</v>
      </c>
      <c r="P24" s="963"/>
      <c r="Q24" s="962">
        <v>1</v>
      </c>
      <c r="R24" s="964">
        <f ca="1">结果表!G20</f>
        <v>2134</v>
      </c>
      <c r="S24" s="962">
        <f t="shared" ref="S24:S54" ca="1" si="11">ROUND(R24*B24/10000,0)</f>
        <v>16809</v>
      </c>
      <c r="T24" s="1959">
        <f ca="1">ROUND(S24/C13*10000,0)</f>
        <v>2347</v>
      </c>
      <c r="U24" s="1959"/>
      <c r="V24" s="1959"/>
      <c r="W24" s="1959"/>
      <c r="X24" s="1959"/>
      <c r="Y24" s="1959"/>
      <c r="Z24" s="1959"/>
      <c r="AA24" s="1959"/>
      <c r="AB24" s="1959"/>
      <c r="AC24" s="1959"/>
      <c r="AD24" s="1959"/>
      <c r="AE24" s="1959"/>
      <c r="AF24" s="1959"/>
      <c r="AG24" s="1959"/>
      <c r="AH24" s="1959"/>
      <c r="AI24" s="1959"/>
    </row>
    <row r="25" spans="1:45">
      <c r="A25" s="965"/>
      <c r="B25" s="137">
        <f>Sheet1!E3</f>
        <v>95719.48</v>
      </c>
      <c r="C25" s="53">
        <f>IF(B25="",1,(LOOKUP(B25,$3:$3,$4:$4)-LOOKUP($B$24,$3:$3,$4:$4)+100)/100)</f>
        <v>1</v>
      </c>
      <c r="D25" s="963" t="s">
        <v>3213</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2134</v>
      </c>
      <c r="S25" s="799">
        <f t="shared" ca="1" si="11"/>
        <v>20427</v>
      </c>
      <c r="T25" s="1959">
        <f ca="1">ROUND(S25/D13*10000,0)</f>
        <v>2774</v>
      </c>
    </row>
    <row r="26" spans="1:45">
      <c r="A26" s="965"/>
      <c r="B26" s="137">
        <f>Sheet1!E4</f>
        <v>66296.22</v>
      </c>
      <c r="C26" s="53">
        <f t="shared" ref="C26:C89" si="12">IF(B26="",1,(LOOKUP(B26,$3:$3,$4:$4)-LOOKUP($B$24,$3:$3,$4:$4)+100)/100)</f>
        <v>1</v>
      </c>
      <c r="D26" s="963" t="s">
        <v>3213</v>
      </c>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2134</v>
      </c>
      <c r="S26" s="799">
        <f t="shared" ca="1" si="11"/>
        <v>14148</v>
      </c>
      <c r="T26" s="1959">
        <f ca="1">ROUND(S26/E13*10000,0)</f>
        <v>2241</v>
      </c>
    </row>
    <row r="27" spans="1:45">
      <c r="A27" s="965"/>
      <c r="B27" s="137">
        <f>Sheet1!E5</f>
        <v>81389.22</v>
      </c>
      <c r="C27" s="53">
        <f t="shared" si="12"/>
        <v>1</v>
      </c>
      <c r="D27" s="963" t="s">
        <v>3213</v>
      </c>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2134</v>
      </c>
      <c r="S27" s="799">
        <f t="shared" ca="1" si="11"/>
        <v>17368</v>
      </c>
      <c r="T27" s="1959">
        <f ca="1">ROUND(S27/F13*10000,0)</f>
        <v>2561</v>
      </c>
    </row>
    <row r="28" spans="1:45">
      <c r="A28" s="965"/>
      <c r="B28" s="137"/>
      <c r="C28" s="53">
        <f t="shared" si="12"/>
        <v>1</v>
      </c>
      <c r="D28" s="963"/>
      <c r="E28" s="53">
        <f t="shared" si="13"/>
        <v>0</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75" t="s">
        <v>2460</v>
      </c>
      <c r="C6" s="783">
        <f ca="1">ROUND(F6*F8*F7*(1-F9)/10000,0)</f>
        <v>0</v>
      </c>
      <c r="D6" s="2462" t="s">
        <v>2459</v>
      </c>
      <c r="E6" s="784" t="s">
        <v>1737</v>
      </c>
      <c r="F6" s="785">
        <f ca="1">INDIRECT("'数据-取费表'!u"&amp;$G$1)</f>
        <v>0</v>
      </c>
      <c r="G6" s="1579"/>
      <c r="H6" s="2469" t="s">
        <v>2465</v>
      </c>
      <c r="I6" s="3475" t="s">
        <v>2460</v>
      </c>
      <c r="J6" s="783">
        <f ca="1">ROUND(M6*M8*M7*(1-M9)/10000,0)</f>
        <v>0</v>
      </c>
      <c r="K6" s="341" t="s">
        <v>1736</v>
      </c>
      <c r="L6" s="784" t="s">
        <v>1737</v>
      </c>
      <c r="M6" s="785">
        <f ca="1">INDIRECT("'数据-取费表'!z"&amp;$G$1)</f>
        <v>0</v>
      </c>
    </row>
    <row r="7" spans="1:33" ht="18" customHeight="1">
      <c r="A7" s="2465"/>
      <c r="B7" s="3476"/>
      <c r="C7" s="788"/>
      <c r="D7" s="789"/>
      <c r="E7" s="784" t="s">
        <v>1738</v>
      </c>
      <c r="F7" s="785">
        <f ca="1">IF(INDIRECT("'数据-取费表'!ah"&amp;$G$1)="",INDIRECT("'数据-取费表'!k"&amp;$G$1),INDIRECT("'数据-取费表'!ah"&amp;$G$1))</f>
        <v>0</v>
      </c>
      <c r="G7" s="1579"/>
      <c r="H7" s="2454"/>
      <c r="I7" s="3476"/>
      <c r="J7" s="788"/>
      <c r="K7" s="789"/>
      <c r="L7" s="784" t="s">
        <v>1738</v>
      </c>
      <c r="M7" s="785">
        <f ca="1">F7</f>
        <v>0</v>
      </c>
    </row>
    <row r="8" spans="1:33" ht="18" customHeight="1">
      <c r="A8" s="2458"/>
      <c r="B8" s="3477"/>
      <c r="C8" s="788"/>
      <c r="D8" s="789"/>
      <c r="E8" s="784" t="s">
        <v>1739</v>
      </c>
      <c r="F8" s="785">
        <f ca="1">INDIRECT("'数据-取费表'!ai"&amp;$G$1)</f>
        <v>0</v>
      </c>
      <c r="G8" s="1579"/>
      <c r="H8" s="2454"/>
      <c r="I8" s="3477"/>
      <c r="J8" s="788"/>
      <c r="K8" s="789"/>
      <c r="L8" s="784" t="s">
        <v>1739</v>
      </c>
      <c r="M8" s="785">
        <f ca="1">INDIRECT("'数据-取费表'!ai"&amp;$G$1)</f>
        <v>0</v>
      </c>
    </row>
    <row r="9" spans="1:33" ht="18" customHeight="1">
      <c r="A9" s="786"/>
      <c r="B9" s="3478"/>
      <c r="C9" s="788"/>
      <c r="D9" s="789"/>
      <c r="E9" s="784" t="s">
        <v>1740</v>
      </c>
      <c r="F9" s="794">
        <f ca="1">INDIRECT("'数据-取费表'!w"&amp;$G$1)</f>
        <v>0</v>
      </c>
      <c r="G9" s="1579"/>
      <c r="H9" s="2470"/>
      <c r="I9" s="3477"/>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491" t="s">
        <v>2956</v>
      </c>
      <c r="L53" s="3492"/>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5.75"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5"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75"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1807</v>
      </c>
      <c r="E68" s="784" t="s">
        <v>1783</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9" t="s">
        <v>2468</v>
      </c>
      <c r="B1" s="3510"/>
      <c r="C1" s="3511"/>
      <c r="D1" s="3512">
        <f>SUM(I10,I15,I20,I21,I23)</f>
        <v>0</v>
      </c>
      <c r="E1" s="3512"/>
      <c r="F1" s="3512"/>
      <c r="G1" s="3512"/>
      <c r="H1" s="3512"/>
      <c r="I1" s="3513"/>
    </row>
    <row r="2" spans="1:9">
      <c r="A2" s="3499" t="s">
        <v>2469</v>
      </c>
      <c r="B2" s="3500" t="s">
        <v>2470</v>
      </c>
      <c r="C2" s="3500"/>
      <c r="D2" s="2472" t="s">
        <v>2471</v>
      </c>
      <c r="E2" s="2472" t="s">
        <v>2472</v>
      </c>
      <c r="F2" s="2472" t="s">
        <v>2473</v>
      </c>
      <c r="G2" s="2472" t="s">
        <v>2474</v>
      </c>
      <c r="H2" s="2472" t="s">
        <v>2475</v>
      </c>
      <c r="I2" s="2473" t="s">
        <v>2476</v>
      </c>
    </row>
    <row r="3" spans="1:9">
      <c r="A3" s="3499"/>
      <c r="B3" s="3500" t="s">
        <v>2477</v>
      </c>
      <c r="C3" s="3500"/>
      <c r="D3" s="2474"/>
      <c r="E3" s="2472"/>
      <c r="F3" s="2475"/>
      <c r="G3" s="2475"/>
      <c r="H3" s="2476"/>
      <c r="I3" s="2477">
        <f>ROUND(D3*E3*F3*G3*H3/10000,0)</f>
        <v>0</v>
      </c>
    </row>
    <row r="4" spans="1:9">
      <c r="A4" s="3499"/>
      <c r="B4" s="3500" t="s">
        <v>2478</v>
      </c>
      <c r="C4" s="3500"/>
      <c r="D4" s="2474"/>
      <c r="E4" s="2472"/>
      <c r="F4" s="2475"/>
      <c r="G4" s="2475"/>
      <c r="H4" s="2476"/>
      <c r="I4" s="2477">
        <f t="shared" ref="I4:I9" si="0">ROUND(D4*E4*F4*G4*H4/10000,0)</f>
        <v>0</v>
      </c>
    </row>
    <row r="5" spans="1:9">
      <c r="A5" s="3499"/>
      <c r="B5" s="3500" t="s">
        <v>2479</v>
      </c>
      <c r="C5" s="3500"/>
      <c r="D5" s="2474"/>
      <c r="E5" s="2472"/>
      <c r="F5" s="2475"/>
      <c r="G5" s="2475"/>
      <c r="H5" s="2476"/>
      <c r="I5" s="2477">
        <f t="shared" si="0"/>
        <v>0</v>
      </c>
    </row>
    <row r="6" spans="1:9">
      <c r="A6" s="3499"/>
      <c r="B6" s="3500" t="s">
        <v>2480</v>
      </c>
      <c r="C6" s="3500"/>
      <c r="D6" s="2474"/>
      <c r="E6" s="2472"/>
      <c r="F6" s="2475"/>
      <c r="G6" s="2475"/>
      <c r="H6" s="2476"/>
      <c r="I6" s="2477">
        <f t="shared" si="0"/>
        <v>0</v>
      </c>
    </row>
    <row r="7" spans="1:9">
      <c r="A7" s="3499"/>
      <c r="B7" s="3500" t="s">
        <v>2481</v>
      </c>
      <c r="C7" s="3500"/>
      <c r="D7" s="2474"/>
      <c r="E7" s="2472"/>
      <c r="F7" s="2475"/>
      <c r="G7" s="2475"/>
      <c r="H7" s="2476"/>
      <c r="I7" s="2477">
        <f t="shared" si="0"/>
        <v>0</v>
      </c>
    </row>
    <row r="8" spans="1:9">
      <c r="A8" s="3499"/>
      <c r="B8" s="3500" t="s">
        <v>2482</v>
      </c>
      <c r="C8" s="3500"/>
      <c r="D8" s="2474"/>
      <c r="E8" s="2472"/>
      <c r="F8" s="2475"/>
      <c r="G8" s="2475"/>
      <c r="H8" s="2476"/>
      <c r="I8" s="2477">
        <f t="shared" si="0"/>
        <v>0</v>
      </c>
    </row>
    <row r="9" spans="1:9">
      <c r="A9" s="3499"/>
      <c r="B9" s="3500" t="s">
        <v>2483</v>
      </c>
      <c r="C9" s="3500"/>
      <c r="D9" s="2474"/>
      <c r="E9" s="2472"/>
      <c r="F9" s="2475"/>
      <c r="G9" s="2475"/>
      <c r="H9" s="2476"/>
      <c r="I9" s="2477">
        <f t="shared" si="0"/>
        <v>0</v>
      </c>
    </row>
    <row r="10" spans="1:9">
      <c r="A10" s="3499"/>
      <c r="B10" s="3501" t="s">
        <v>2484</v>
      </c>
      <c r="C10" s="3501"/>
      <c r="D10" s="2478">
        <v>527</v>
      </c>
      <c r="E10" s="2478" t="e">
        <f>ROUND(D1*10000/D10/H9,0)</f>
        <v>#DIV/0!</v>
      </c>
      <c r="F10" s="2479"/>
      <c r="G10" s="2479"/>
      <c r="H10" s="2480"/>
      <c r="I10" s="2481">
        <f>SUM(I3:I9)</f>
        <v>0</v>
      </c>
    </row>
    <row r="11" spans="1:9" ht="14.25">
      <c r="A11" s="3499" t="s">
        <v>2485</v>
      </c>
      <c r="B11" s="3500" t="s">
        <v>2486</v>
      </c>
      <c r="C11" s="3500"/>
      <c r="D11" s="2474" t="s">
        <v>2487</v>
      </c>
      <c r="E11" s="2474" t="s">
        <v>2488</v>
      </c>
      <c r="F11" s="2475" t="s">
        <v>2489</v>
      </c>
      <c r="G11" s="2475" t="s">
        <v>2490</v>
      </c>
      <c r="H11" s="2482" t="s">
        <v>2491</v>
      </c>
      <c r="I11" s="2473" t="s">
        <v>2492</v>
      </c>
    </row>
    <row r="12" spans="1:9">
      <c r="A12" s="3499"/>
      <c r="B12" s="3500" t="s">
        <v>2493</v>
      </c>
      <c r="C12" s="3500"/>
      <c r="D12" s="2474"/>
      <c r="E12" s="2474"/>
      <c r="F12" s="2475"/>
      <c r="G12" s="2476"/>
      <c r="H12" s="2483"/>
      <c r="I12" s="2473">
        <f>ROUND(D12*E12*F12*G12/10000,0)</f>
        <v>0</v>
      </c>
    </row>
    <row r="13" spans="1:9">
      <c r="A13" s="3499"/>
      <c r="B13" s="3500" t="s">
        <v>2494</v>
      </c>
      <c r="C13" s="3500"/>
      <c r="D13" s="2474"/>
      <c r="E13" s="2474"/>
      <c r="F13" s="2475"/>
      <c r="G13" s="2476"/>
      <c r="H13" s="2483"/>
      <c r="I13" s="2473">
        <f>ROUND(D13*E13*F13*G13/10000,0)</f>
        <v>0</v>
      </c>
    </row>
    <row r="14" spans="1:9">
      <c r="A14" s="3499"/>
      <c r="B14" s="3500" t="s">
        <v>2495</v>
      </c>
      <c r="C14" s="3500"/>
      <c r="D14" s="2474"/>
      <c r="E14" s="2474"/>
      <c r="F14" s="2475"/>
      <c r="G14" s="2476"/>
      <c r="H14" s="2483"/>
      <c r="I14" s="2473">
        <f>ROUND(D14*E14*F14*G14/10000,0)</f>
        <v>0</v>
      </c>
    </row>
    <row r="15" spans="1:9">
      <c r="A15" s="3499"/>
      <c r="B15" s="3501" t="s">
        <v>2484</v>
      </c>
      <c r="C15" s="3501"/>
      <c r="D15" s="2478"/>
      <c r="E15" s="2478">
        <f>SUM(E12:E14)</f>
        <v>0</v>
      </c>
      <c r="F15" s="2479"/>
      <c r="G15" s="2476"/>
      <c r="H15" s="2483"/>
      <c r="I15" s="2484">
        <f>SUM(I12:I14)</f>
        <v>0</v>
      </c>
    </row>
    <row r="16" spans="1:9" ht="24">
      <c r="A16" s="3499" t="s">
        <v>2496</v>
      </c>
      <c r="B16" s="3500" t="s">
        <v>2497</v>
      </c>
      <c r="C16" s="3500"/>
      <c r="D16" s="2474" t="s">
        <v>2498</v>
      </c>
      <c r="E16" s="2485" t="s">
        <v>2499</v>
      </c>
      <c r="F16" s="2475" t="s">
        <v>2500</v>
      </c>
      <c r="G16" s="2476" t="s">
        <v>2490</v>
      </c>
      <c r="H16" s="2482" t="s">
        <v>2491</v>
      </c>
      <c r="I16" s="2473" t="s">
        <v>2492</v>
      </c>
    </row>
    <row r="17" spans="1:9" ht="14.25">
      <c r="A17" s="3499"/>
      <c r="B17" s="3500" t="s">
        <v>2501</v>
      </c>
      <c r="C17" s="3500"/>
      <c r="D17" s="2474"/>
      <c r="E17" s="2474"/>
      <c r="F17" s="2475"/>
      <c r="G17" s="2476"/>
      <c r="H17" s="2486"/>
      <c r="I17" s="2487">
        <f>ROUND(D17*E17*F17*G17/10000,0)</f>
        <v>0</v>
      </c>
    </row>
    <row r="18" spans="1:9" ht="14.25">
      <c r="A18" s="3499"/>
      <c r="B18" s="3500" t="s">
        <v>2502</v>
      </c>
      <c r="C18" s="3500"/>
      <c r="D18" s="2474"/>
      <c r="E18" s="2474"/>
      <c r="F18" s="2475"/>
      <c r="G18" s="2476"/>
      <c r="H18" s="2486"/>
      <c r="I18" s="2487">
        <f>ROUND(D18*E18*F18*G18/10000,0)</f>
        <v>0</v>
      </c>
    </row>
    <row r="19" spans="1:9" ht="14.25">
      <c r="A19" s="3499"/>
      <c r="B19" s="3500" t="s">
        <v>2503</v>
      </c>
      <c r="C19" s="3500"/>
      <c r="D19" s="2474"/>
      <c r="E19" s="2474"/>
      <c r="F19" s="2475"/>
      <c r="G19" s="2476"/>
      <c r="H19" s="2486"/>
      <c r="I19" s="2487">
        <f>ROUND(D19*E19*F19*G19/10000,0)</f>
        <v>0</v>
      </c>
    </row>
    <row r="20" spans="1:9">
      <c r="A20" s="3499"/>
      <c r="B20" s="3501" t="s">
        <v>2484</v>
      </c>
      <c r="C20" s="3501"/>
      <c r="D20" s="2478">
        <f>SUM(D17:D19)</f>
        <v>0</v>
      </c>
      <c r="E20" s="2478"/>
      <c r="F20" s="2479"/>
      <c r="G20" s="2476"/>
      <c r="H20" s="2483"/>
      <c r="I20" s="2484">
        <f>SUM(I17:I19)</f>
        <v>0</v>
      </c>
    </row>
    <row r="21" spans="1:9">
      <c r="A21" s="3499" t="s">
        <v>2504</v>
      </c>
      <c r="B21" s="3502"/>
      <c r="C21" s="3502"/>
      <c r="D21" s="3502"/>
      <c r="E21" s="3502"/>
      <c r="F21" s="3502"/>
      <c r="G21" s="3502"/>
      <c r="H21" s="2488">
        <v>0.1</v>
      </c>
      <c r="I21" s="2481">
        <f>ROUND(I10*H21,0)</f>
        <v>0</v>
      </c>
    </row>
    <row r="22" spans="1:9" ht="14.25">
      <c r="A22" s="3503" t="s">
        <v>2505</v>
      </c>
      <c r="B22" s="3504"/>
      <c r="C22" s="3505"/>
      <c r="D22" s="2489" t="s">
        <v>2506</v>
      </c>
      <c r="E22" s="2489" t="s">
        <v>2507</v>
      </c>
      <c r="F22" s="2490" t="s">
        <v>2508</v>
      </c>
      <c r="G22" s="2490" t="s">
        <v>2509</v>
      </c>
      <c r="H22" s="2482" t="s">
        <v>2510</v>
      </c>
      <c r="I22" s="2473" t="s">
        <v>2511</v>
      </c>
    </row>
    <row r="23" spans="1:9" ht="14.25" thickBot="1">
      <c r="A23" s="3506"/>
      <c r="B23" s="3507"/>
      <c r="C23" s="3508"/>
      <c r="D23" s="2491"/>
      <c r="E23" s="2491"/>
      <c r="F23" s="2491"/>
      <c r="G23" s="2492"/>
      <c r="H23" s="2493"/>
      <c r="I23" s="2494">
        <f>ROUND(E23*D23*F23*(1-G23)/10000,0)</f>
        <v>0</v>
      </c>
    </row>
    <row r="26" spans="1:9">
      <c r="A26" s="2495" t="s">
        <v>2512</v>
      </c>
      <c r="B26" s="2495"/>
      <c r="C26" s="2495"/>
      <c r="D26" s="2495"/>
      <c r="E26" s="3496">
        <f>C27-C30-C31-C32</f>
        <v>0</v>
      </c>
      <c r="F26" s="3496"/>
      <c r="G26" s="3496"/>
      <c r="H26" s="2996" t="s">
        <v>2839</v>
      </c>
    </row>
    <row r="27" spans="1:9">
      <c r="A27" s="2496">
        <v>1</v>
      </c>
      <c r="B27" s="2497" t="s">
        <v>2513</v>
      </c>
      <c r="C27" s="2497"/>
      <c r="D27" s="2497"/>
      <c r="E27" s="3497"/>
      <c r="F27" s="3497"/>
      <c r="G27" s="3497"/>
    </row>
    <row r="28" spans="1:9">
      <c r="A28" s="2498" t="s">
        <v>2514</v>
      </c>
      <c r="B28" s="2497" t="s">
        <v>2515</v>
      </c>
      <c r="C28" s="2497"/>
      <c r="D28" s="2497"/>
      <c r="E28" s="3497"/>
      <c r="F28" s="3497"/>
      <c r="G28" s="3497"/>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98"/>
      <c r="F32" s="3498"/>
      <c r="G32" s="3498"/>
    </row>
    <row r="33" spans="1:7" hidden="1">
      <c r="A33" s="3493" t="s">
        <v>2523</v>
      </c>
      <c r="B33" s="3494"/>
      <c r="C33" s="3494"/>
      <c r="D33" s="3495"/>
      <c r="E33" s="3496"/>
      <c r="F33" s="3496"/>
      <c r="G33" s="3496"/>
    </row>
    <row r="34" spans="1:7" hidden="1">
      <c r="A34" s="2500">
        <v>1</v>
      </c>
      <c r="B34" s="2497" t="s">
        <v>2524</v>
      </c>
      <c r="C34" s="2497"/>
      <c r="D34" s="2497"/>
      <c r="E34" s="3497"/>
      <c r="F34" s="3497"/>
      <c r="G34" s="3497"/>
    </row>
    <row r="35" spans="1:7" hidden="1">
      <c r="A35" s="2500">
        <v>2</v>
      </c>
      <c r="B35" s="2497" t="s">
        <v>2525</v>
      </c>
      <c r="C35" s="2497"/>
      <c r="D35" s="2497"/>
      <c r="E35" s="3497"/>
      <c r="F35" s="3497"/>
      <c r="G35" s="3497"/>
    </row>
    <row r="36" spans="1:7" hidden="1">
      <c r="A36" s="2500">
        <v>3</v>
      </c>
      <c r="B36" s="2497" t="s">
        <v>2526</v>
      </c>
      <c r="C36" s="2497"/>
      <c r="D36" s="2497"/>
      <c r="E36" s="3497"/>
      <c r="F36" s="3497"/>
      <c r="G36" s="3497"/>
    </row>
    <row r="37" spans="1:7" hidden="1">
      <c r="A37" s="2500">
        <v>4</v>
      </c>
      <c r="B37" s="2497" t="s">
        <v>2527</v>
      </c>
      <c r="C37" s="2497"/>
      <c r="D37" s="2497"/>
      <c r="E37" s="3497"/>
      <c r="F37" s="3497"/>
      <c r="G37" s="3497"/>
    </row>
    <row r="38" spans="1:7" hidden="1">
      <c r="A38" s="3493" t="s">
        <v>2528</v>
      </c>
      <c r="B38" s="3494"/>
      <c r="C38" s="3494"/>
      <c r="D38" s="3495"/>
      <c r="E38" s="3496"/>
      <c r="F38" s="3496"/>
      <c r="G38" s="34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6" t="s">
        <v>522</v>
      </c>
      <c r="D4" s="3407"/>
      <c r="E4" s="3431" t="s">
        <v>523</v>
      </c>
      <c r="F4" s="3432"/>
      <c r="G4" s="3406" t="s">
        <v>524</v>
      </c>
      <c r="H4" s="3407"/>
      <c r="I4" s="3406" t="s">
        <v>525</v>
      </c>
      <c r="J4" s="3407"/>
      <c r="K4" s="514" t="s">
        <v>526</v>
      </c>
      <c r="L4" s="2119"/>
      <c r="M4" s="2120"/>
      <c r="N4" s="2120"/>
      <c r="O4" s="2120"/>
      <c r="P4" s="3408" t="s">
        <v>527</v>
      </c>
      <c r="Q4" s="3409"/>
      <c r="R4" s="3394" t="s">
        <v>523</v>
      </c>
      <c r="S4" s="3395"/>
      <c r="T4" s="3394" t="s">
        <v>524</v>
      </c>
      <c r="U4" s="3395"/>
      <c r="V4" s="3414" t="s">
        <v>525</v>
      </c>
      <c r="W4" s="3414"/>
      <c r="X4" s="1554"/>
      <c r="Y4" s="3394" t="s">
        <v>527</v>
      </c>
      <c r="Z4" s="3395"/>
      <c r="AA4" s="3389" t="s">
        <v>523</v>
      </c>
      <c r="AB4" s="3414" t="s">
        <v>524</v>
      </c>
      <c r="AC4" s="3389" t="s">
        <v>525</v>
      </c>
    </row>
    <row r="5" spans="1:29" ht="15">
      <c r="A5" s="515"/>
      <c r="B5" s="516"/>
      <c r="C5" s="3417" t="s">
        <v>2920</v>
      </c>
      <c r="D5" s="3418"/>
      <c r="E5" s="3433" t="s">
        <v>2921</v>
      </c>
      <c r="F5" s="3434"/>
      <c r="G5" s="3417" t="s">
        <v>2922</v>
      </c>
      <c r="H5" s="3418"/>
      <c r="I5" s="3417" t="s">
        <v>2923</v>
      </c>
      <c r="J5" s="3418"/>
      <c r="K5" s="514"/>
      <c r="L5" s="2119"/>
      <c r="M5" s="2120"/>
      <c r="N5" s="2120"/>
      <c r="O5" s="2120"/>
      <c r="P5" s="3410"/>
      <c r="Q5" s="3411"/>
      <c r="R5" s="3396"/>
      <c r="S5" s="3397"/>
      <c r="T5" s="3396"/>
      <c r="U5" s="3397"/>
      <c r="V5" s="3414"/>
      <c r="W5" s="3414"/>
      <c r="X5" s="1554"/>
      <c r="Y5" s="3396"/>
      <c r="Z5" s="3397"/>
      <c r="AA5" s="3390"/>
      <c r="AB5" s="3414"/>
      <c r="AC5" s="3390"/>
    </row>
    <row r="6" spans="1:29" ht="15.75" thickBot="1">
      <c r="A6" s="517"/>
      <c r="B6" s="518"/>
      <c r="C6" s="3415" t="s">
        <v>2924</v>
      </c>
      <c r="D6" s="3416"/>
      <c r="E6" s="3435" t="s">
        <v>2924</v>
      </c>
      <c r="F6" s="3436"/>
      <c r="G6" s="3415" t="s">
        <v>2924</v>
      </c>
      <c r="H6" s="3416"/>
      <c r="I6" s="3415" t="s">
        <v>2924</v>
      </c>
      <c r="J6" s="3416"/>
      <c r="K6" s="514" t="s">
        <v>528</v>
      </c>
      <c r="L6" s="2119"/>
      <c r="M6" s="2120"/>
      <c r="N6" s="2120"/>
      <c r="O6" s="2120"/>
      <c r="P6" s="3412"/>
      <c r="Q6" s="3413"/>
      <c r="R6" s="3396"/>
      <c r="S6" s="3397"/>
      <c r="T6" s="3398"/>
      <c r="U6" s="3399"/>
      <c r="V6" s="3414"/>
      <c r="W6" s="3414"/>
      <c r="X6" s="1554"/>
      <c r="Y6" s="3398"/>
      <c r="Z6" s="3399"/>
      <c r="AA6" s="3391"/>
      <c r="AB6" s="3414"/>
      <c r="AC6" s="3391"/>
    </row>
    <row r="7" spans="1:29" s="1216" customFormat="1" ht="15.7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2" t="s">
        <v>530</v>
      </c>
      <c r="Q7" s="3401"/>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2" t="s">
        <v>540</v>
      </c>
      <c r="Q15" s="1559" t="str">
        <f t="shared" si="6"/>
        <v>商业繁华度</v>
      </c>
      <c r="R15" s="1560" t="s">
        <v>8</v>
      </c>
      <c r="S15" s="1561">
        <f t="shared" si="0"/>
        <v>100</v>
      </c>
      <c r="T15" s="1560" t="s">
        <v>8</v>
      </c>
      <c r="U15" s="1561">
        <f t="shared" si="1"/>
        <v>100</v>
      </c>
      <c r="V15" s="1560" t="s">
        <v>8</v>
      </c>
      <c r="W15" s="1561">
        <f t="shared" si="2"/>
        <v>100</v>
      </c>
      <c r="X15" s="1554"/>
      <c r="Y15" s="3402"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3"/>
      <c r="Q16" s="1559"/>
      <c r="R16" s="1560"/>
      <c r="S16" s="1561"/>
      <c r="T16" s="1560"/>
      <c r="U16" s="1561"/>
      <c r="V16" s="1560"/>
      <c r="W16" s="1561"/>
      <c r="X16" s="1554"/>
      <c r="Y16" s="3403"/>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3"/>
      <c r="Q17" s="1559" t="str">
        <f>B17</f>
        <v>交通便捷度</v>
      </c>
      <c r="R17" s="1560" t="s">
        <v>8</v>
      </c>
      <c r="S17" s="1561">
        <f>F17</f>
        <v>100</v>
      </c>
      <c r="T17" s="1560" t="s">
        <v>8</v>
      </c>
      <c r="U17" s="1561">
        <f>H17</f>
        <v>100</v>
      </c>
      <c r="V17" s="1560" t="s">
        <v>8</v>
      </c>
      <c r="W17" s="1561">
        <f>J17</f>
        <v>100</v>
      </c>
      <c r="X17" s="1554"/>
      <c r="Y17" s="340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3"/>
      <c r="Q18" s="1559"/>
      <c r="R18" s="1560"/>
      <c r="S18" s="1561"/>
      <c r="T18" s="1560"/>
      <c r="U18" s="1561"/>
      <c r="V18" s="1560"/>
      <c r="W18" s="1561"/>
      <c r="X18" s="1554"/>
      <c r="Y18" s="3403"/>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3"/>
      <c r="Q19" s="1559" t="str">
        <f>B19</f>
        <v>公共配套设施</v>
      </c>
      <c r="R19" s="1560" t="s">
        <v>8</v>
      </c>
      <c r="S19" s="1561">
        <f>F19</f>
        <v>100</v>
      </c>
      <c r="T19" s="1560" t="s">
        <v>8</v>
      </c>
      <c r="U19" s="1561">
        <f>H19</f>
        <v>100</v>
      </c>
      <c r="V19" s="1560" t="s">
        <v>8</v>
      </c>
      <c r="W19" s="1561">
        <f>J19</f>
        <v>100</v>
      </c>
      <c r="X19" s="1554"/>
      <c r="Y19" s="340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3"/>
      <c r="Q20" s="1559"/>
      <c r="R20" s="1560"/>
      <c r="S20" s="1561"/>
      <c r="T20" s="1560"/>
      <c r="U20" s="1561"/>
      <c r="V20" s="1560"/>
      <c r="W20" s="1561"/>
      <c r="X20" s="1554"/>
      <c r="Y20" s="3403"/>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3"/>
      <c r="Q21" s="2544" t="str">
        <f>B21</f>
        <v>基础设施水平</v>
      </c>
      <c r="R21" s="1560" t="s">
        <v>8</v>
      </c>
      <c r="S21" s="1561">
        <f>F21</f>
        <v>100</v>
      </c>
      <c r="T21" s="1560" t="s">
        <v>8</v>
      </c>
      <c r="U21" s="1561">
        <f>H21</f>
        <v>100</v>
      </c>
      <c r="V21" s="1560" t="s">
        <v>8</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3"/>
      <c r="Q22" s="2544"/>
      <c r="R22" s="1560"/>
      <c r="S22" s="1561"/>
      <c r="T22" s="1560"/>
      <c r="U22" s="1561"/>
      <c r="V22" s="1560"/>
      <c r="W22" s="1561"/>
      <c r="X22" s="2546"/>
      <c r="Y22" s="3403"/>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3"/>
      <c r="Q23" s="1559" t="str">
        <f>B23</f>
        <v>自然及人文环境</v>
      </c>
      <c r="R23" s="1560" t="s">
        <v>8</v>
      </c>
      <c r="S23" s="1561">
        <f>F23</f>
        <v>100</v>
      </c>
      <c r="T23" s="1560" t="s">
        <v>8</v>
      </c>
      <c r="U23" s="1561">
        <f>H23</f>
        <v>100</v>
      </c>
      <c r="V23" s="1560" t="s">
        <v>8</v>
      </c>
      <c r="W23" s="1561">
        <f>J23</f>
        <v>100</v>
      </c>
      <c r="X23" s="1554"/>
      <c r="Y23" s="340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3"/>
      <c r="Q24" s="1559"/>
      <c r="R24" s="1560"/>
      <c r="S24" s="1561"/>
      <c r="T24" s="1560"/>
      <c r="U24" s="1561"/>
      <c r="V24" s="1560"/>
      <c r="W24" s="1561"/>
      <c r="X24" s="1554"/>
      <c r="Y24" s="3403"/>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3"/>
      <c r="Q25" s="1559" t="str">
        <f t="shared" ref="Q25:Q46" si="11">B25</f>
        <v>临街状况</v>
      </c>
      <c r="R25" s="1560" t="s">
        <v>8</v>
      </c>
      <c r="S25" s="1561">
        <f>F25</f>
        <v>100</v>
      </c>
      <c r="T25" s="1560" t="s">
        <v>8</v>
      </c>
      <c r="U25" s="1561">
        <f>H25</f>
        <v>100</v>
      </c>
      <c r="V25" s="1560" t="s">
        <v>8</v>
      </c>
      <c r="W25" s="1561">
        <f>J25</f>
        <v>100</v>
      </c>
      <c r="X25" s="1554"/>
      <c r="Y25" s="3403"/>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3"/>
      <c r="Q26" s="1559" t="str">
        <f t="shared" si="11"/>
        <v>平面位置/可视性</v>
      </c>
      <c r="R26" s="1560" t="s">
        <v>8</v>
      </c>
      <c r="S26" s="1561">
        <f>F26</f>
        <v>100</v>
      </c>
      <c r="T26" s="1560" t="s">
        <v>8</v>
      </c>
      <c r="U26" s="1561">
        <f>H26</f>
        <v>100</v>
      </c>
      <c r="V26" s="1560" t="s">
        <v>8</v>
      </c>
      <c r="W26" s="1561">
        <f>J26</f>
        <v>100</v>
      </c>
      <c r="X26" s="1554"/>
      <c r="Y26" s="3403"/>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3"/>
      <c r="Q27" s="1147" t="str">
        <f t="shared" si="11"/>
        <v>人流量</v>
      </c>
      <c r="R27" s="1555" t="s">
        <v>8</v>
      </c>
      <c r="S27" s="1556">
        <f>F27</f>
        <v>100</v>
      </c>
      <c r="T27" s="1555" t="s">
        <v>8</v>
      </c>
      <c r="U27" s="1556">
        <f>H27</f>
        <v>100</v>
      </c>
      <c r="V27" s="1555" t="s">
        <v>8</v>
      </c>
      <c r="W27" s="1556">
        <f>J27</f>
        <v>100</v>
      </c>
      <c r="X27" s="1557"/>
      <c r="Y27" s="3403"/>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3"/>
      <c r="Q29" s="1559">
        <f t="shared" si="11"/>
        <v>111</v>
      </c>
      <c r="R29" s="1560" t="s">
        <v>8</v>
      </c>
      <c r="S29" s="1561">
        <f t="shared" si="12"/>
        <v>100</v>
      </c>
      <c r="T29" s="1560" t="s">
        <v>8</v>
      </c>
      <c r="U29" s="1561">
        <f t="shared" si="13"/>
        <v>100</v>
      </c>
      <c r="V29" s="1560" t="s">
        <v>8</v>
      </c>
      <c r="W29" s="1561">
        <f t="shared" si="14"/>
        <v>100</v>
      </c>
      <c r="X29" s="1554"/>
      <c r="Y29" s="340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3"/>
      <c r="Q30" s="1559">
        <f t="shared" si="11"/>
        <v>111</v>
      </c>
      <c r="R30" s="1560" t="s">
        <v>8</v>
      </c>
      <c r="S30" s="1561">
        <f t="shared" si="12"/>
        <v>100</v>
      </c>
      <c r="T30" s="1560" t="s">
        <v>8</v>
      </c>
      <c r="U30" s="1561">
        <f t="shared" si="13"/>
        <v>100</v>
      </c>
      <c r="V30" s="1560" t="s">
        <v>8</v>
      </c>
      <c r="W30" s="1561">
        <f t="shared" si="14"/>
        <v>100</v>
      </c>
      <c r="X30" s="1554"/>
      <c r="Y30" s="340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3"/>
      <c r="Q31" s="1559">
        <f t="shared" si="11"/>
        <v>111</v>
      </c>
      <c r="R31" s="1560" t="s">
        <v>8</v>
      </c>
      <c r="S31" s="1561">
        <f t="shared" si="12"/>
        <v>100</v>
      </c>
      <c r="T31" s="1560" t="s">
        <v>8</v>
      </c>
      <c r="U31" s="1561">
        <f t="shared" si="13"/>
        <v>100</v>
      </c>
      <c r="V31" s="1560" t="s">
        <v>8</v>
      </c>
      <c r="W31" s="1561">
        <f t="shared" si="14"/>
        <v>100</v>
      </c>
      <c r="X31" s="1554"/>
      <c r="Y31" s="3403"/>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4" t="s">
        <v>550</v>
      </c>
      <c r="Q32" s="1559" t="str">
        <f t="shared" si="11"/>
        <v>商业类型</v>
      </c>
      <c r="R32" s="1560" t="s">
        <v>8</v>
      </c>
      <c r="S32" s="1561">
        <f t="shared" si="12"/>
        <v>100</v>
      </c>
      <c r="T32" s="1560" t="s">
        <v>8</v>
      </c>
      <c r="U32" s="1561">
        <f t="shared" si="13"/>
        <v>100</v>
      </c>
      <c r="V32" s="1560" t="s">
        <v>8</v>
      </c>
      <c r="W32" s="1561">
        <f t="shared" si="14"/>
        <v>100</v>
      </c>
      <c r="X32" s="1554"/>
      <c r="Y32" s="3405"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5"/>
      <c r="Q33" s="1591" t="str">
        <f t="shared" si="11"/>
        <v>项目建筑规模</v>
      </c>
      <c r="R33" s="1564" t="s">
        <v>8</v>
      </c>
      <c r="S33" s="1565" t="e">
        <f t="shared" si="12"/>
        <v>#N/A</v>
      </c>
      <c r="T33" s="1564" t="s">
        <v>8</v>
      </c>
      <c r="U33" s="1565" t="e">
        <f t="shared" si="13"/>
        <v>#N/A</v>
      </c>
      <c r="V33" s="1564" t="s">
        <v>8</v>
      </c>
      <c r="W33" s="1565" t="e">
        <f t="shared" si="14"/>
        <v>#N/A</v>
      </c>
      <c r="X33" s="1566"/>
      <c r="Y33" s="3405"/>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5"/>
      <c r="Q34" s="1559" t="str">
        <f t="shared" si="11"/>
        <v>建筑结构</v>
      </c>
      <c r="R34" s="1560" t="s">
        <v>8</v>
      </c>
      <c r="S34" s="1561">
        <f t="shared" si="12"/>
        <v>100</v>
      </c>
      <c r="T34" s="1560" t="s">
        <v>8</v>
      </c>
      <c r="U34" s="1561">
        <f t="shared" si="13"/>
        <v>100</v>
      </c>
      <c r="V34" s="1560" t="s">
        <v>8</v>
      </c>
      <c r="W34" s="1561">
        <f t="shared" si="14"/>
        <v>100</v>
      </c>
      <c r="X34" s="1554"/>
      <c r="Y34" s="3405"/>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5"/>
      <c r="Q35" s="1559" t="str">
        <f t="shared" si="11"/>
        <v>公共部分装修</v>
      </c>
      <c r="R35" s="1560" t="s">
        <v>8</v>
      </c>
      <c r="S35" s="1561">
        <f t="shared" si="12"/>
        <v>100</v>
      </c>
      <c r="T35" s="1560" t="s">
        <v>8</v>
      </c>
      <c r="U35" s="1561">
        <f t="shared" si="13"/>
        <v>100</v>
      </c>
      <c r="V35" s="1560" t="s">
        <v>8</v>
      </c>
      <c r="W35" s="1561">
        <f t="shared" si="14"/>
        <v>100</v>
      </c>
      <c r="X35" s="1554"/>
      <c r="Y35" s="3405"/>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5"/>
      <c r="Q36" s="1559" t="str">
        <f t="shared" si="11"/>
        <v>成新度</v>
      </c>
      <c r="R36" s="1560" t="s">
        <v>8</v>
      </c>
      <c r="S36" s="1561" t="e">
        <f t="shared" si="12"/>
        <v>#N/A</v>
      </c>
      <c r="T36" s="1560" t="s">
        <v>8</v>
      </c>
      <c r="U36" s="1561" t="e">
        <f t="shared" si="13"/>
        <v>#N/A</v>
      </c>
      <c r="V36" s="1560" t="s">
        <v>8</v>
      </c>
      <c r="W36" s="1561" t="e">
        <f t="shared" si="14"/>
        <v>#N/A</v>
      </c>
      <c r="X36" s="1554"/>
      <c r="Y36" s="3405"/>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5"/>
      <c r="Q37" s="1147" t="str">
        <f t="shared" si="11"/>
        <v>市政基础设施</v>
      </c>
      <c r="R37" s="1555" t="s">
        <v>8</v>
      </c>
      <c r="S37" s="1556">
        <f t="shared" si="12"/>
        <v>100</v>
      </c>
      <c r="T37" s="1555" t="s">
        <v>8</v>
      </c>
      <c r="U37" s="1556">
        <f t="shared" si="13"/>
        <v>100</v>
      </c>
      <c r="V37" s="1555" t="s">
        <v>8</v>
      </c>
      <c r="W37" s="1556">
        <f t="shared" si="14"/>
        <v>100</v>
      </c>
      <c r="X37" s="1557"/>
      <c r="Y37" s="3405"/>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5" t="s">
        <v>766</v>
      </c>
      <c r="Q38" s="1559" t="str">
        <f t="shared" si="11"/>
        <v>业态</v>
      </c>
      <c r="R38" s="1560" t="s">
        <v>8</v>
      </c>
      <c r="S38" s="1561">
        <f t="shared" si="12"/>
        <v>100</v>
      </c>
      <c r="T38" s="1560" t="s">
        <v>8</v>
      </c>
      <c r="U38" s="1561">
        <f t="shared" si="13"/>
        <v>100</v>
      </c>
      <c r="V38" s="1560" t="s">
        <v>8</v>
      </c>
      <c r="W38" s="1561">
        <f t="shared" si="14"/>
        <v>100</v>
      </c>
      <c r="X38" s="1554"/>
      <c r="Y38" s="3405"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5"/>
      <c r="Q39" s="1559" t="str">
        <f t="shared" si="11"/>
        <v>层高</v>
      </c>
      <c r="R39" s="1560" t="s">
        <v>8</v>
      </c>
      <c r="S39" s="1561">
        <f t="shared" si="12"/>
        <v>100</v>
      </c>
      <c r="T39" s="1560" t="s">
        <v>8</v>
      </c>
      <c r="U39" s="1561">
        <f t="shared" si="13"/>
        <v>100</v>
      </c>
      <c r="V39" s="1560" t="s">
        <v>8</v>
      </c>
      <c r="W39" s="1561">
        <f t="shared" si="14"/>
        <v>100</v>
      </c>
      <c r="X39" s="1554"/>
      <c r="Y39" s="3405"/>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5"/>
      <c r="Q40" s="1559" t="str">
        <f t="shared" si="11"/>
        <v>单套建筑面积</v>
      </c>
      <c r="R40" s="1560" t="s">
        <v>8</v>
      </c>
      <c r="S40" s="1561">
        <f t="shared" si="12"/>
        <v>100</v>
      </c>
      <c r="T40" s="1560" t="s">
        <v>8</v>
      </c>
      <c r="U40" s="1561">
        <f t="shared" si="13"/>
        <v>100</v>
      </c>
      <c r="V40" s="1560" t="s">
        <v>8</v>
      </c>
      <c r="W40" s="1561">
        <f t="shared" si="14"/>
        <v>100</v>
      </c>
      <c r="X40" s="1554"/>
      <c r="Y40" s="3405"/>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5"/>
      <c r="Q41" s="1591" t="str">
        <f t="shared" si="11"/>
        <v>进深比</v>
      </c>
      <c r="R41" s="1564" t="s">
        <v>8</v>
      </c>
      <c r="S41" s="1565">
        <f t="shared" si="12"/>
        <v>100</v>
      </c>
      <c r="T41" s="1564" t="s">
        <v>8</v>
      </c>
      <c r="U41" s="1565">
        <f t="shared" si="13"/>
        <v>100</v>
      </c>
      <c r="V41" s="1564" t="s">
        <v>8</v>
      </c>
      <c r="W41" s="1565">
        <f t="shared" si="14"/>
        <v>100</v>
      </c>
      <c r="X41" s="1566"/>
      <c r="Y41" s="3405"/>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5"/>
      <c r="Q42" s="1559" t="str">
        <f t="shared" si="11"/>
        <v>内部装修</v>
      </c>
      <c r="R42" s="1560" t="s">
        <v>8</v>
      </c>
      <c r="S42" s="1561">
        <f t="shared" si="12"/>
        <v>100</v>
      </c>
      <c r="T42" s="1560" t="s">
        <v>8</v>
      </c>
      <c r="U42" s="1561">
        <f t="shared" si="13"/>
        <v>100</v>
      </c>
      <c r="V42" s="1560" t="s">
        <v>8</v>
      </c>
      <c r="W42" s="1561">
        <f t="shared" si="14"/>
        <v>100</v>
      </c>
      <c r="X42" s="1554"/>
      <c r="Y42" s="3405"/>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5"/>
      <c r="Q43" s="1559" t="str">
        <f t="shared" si="11"/>
        <v>内部装修维护情况</v>
      </c>
      <c r="R43" s="1560" t="s">
        <v>8</v>
      </c>
      <c r="S43" s="1561">
        <f t="shared" si="12"/>
        <v>100</v>
      </c>
      <c r="T43" s="1560" t="s">
        <v>8</v>
      </c>
      <c r="U43" s="1561">
        <f t="shared" si="13"/>
        <v>100</v>
      </c>
      <c r="V43" s="1560" t="s">
        <v>8</v>
      </c>
      <c r="W43" s="1561">
        <f t="shared" si="14"/>
        <v>100</v>
      </c>
      <c r="X43" s="1554"/>
      <c r="Y43" s="340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5"/>
      <c r="Q44" s="1147">
        <f t="shared" si="11"/>
        <v>111</v>
      </c>
      <c r="R44" s="1555" t="s">
        <v>8</v>
      </c>
      <c r="S44" s="1556">
        <f t="shared" si="12"/>
        <v>100</v>
      </c>
      <c r="T44" s="1555" t="s">
        <v>8</v>
      </c>
      <c r="U44" s="1556">
        <f t="shared" si="13"/>
        <v>100</v>
      </c>
      <c r="V44" s="1555" t="s">
        <v>8</v>
      </c>
      <c r="W44" s="1556">
        <f t="shared" si="14"/>
        <v>100</v>
      </c>
      <c r="X44" s="1557"/>
      <c r="Y44" s="340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5"/>
      <c r="Q45" s="1559">
        <f t="shared" si="11"/>
        <v>111</v>
      </c>
      <c r="R45" s="1560" t="s">
        <v>8</v>
      </c>
      <c r="S45" s="1561">
        <f t="shared" si="12"/>
        <v>100</v>
      </c>
      <c r="T45" s="1560" t="s">
        <v>8</v>
      </c>
      <c r="U45" s="1561">
        <f t="shared" si="13"/>
        <v>100</v>
      </c>
      <c r="V45" s="1560" t="s">
        <v>8</v>
      </c>
      <c r="W45" s="1561">
        <f t="shared" si="14"/>
        <v>100</v>
      </c>
      <c r="X45" s="1554"/>
      <c r="Y45" s="340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4"/>
      <c r="Q46" s="1559">
        <f t="shared" si="11"/>
        <v>111</v>
      </c>
      <c r="R46" s="1560" t="s">
        <v>8</v>
      </c>
      <c r="S46" s="1561">
        <f t="shared" si="12"/>
        <v>100</v>
      </c>
      <c r="T46" s="1560" t="s">
        <v>8</v>
      </c>
      <c r="U46" s="1561">
        <f t="shared" si="13"/>
        <v>100</v>
      </c>
      <c r="V46" s="1560" t="s">
        <v>8</v>
      </c>
      <c r="W46" s="1561">
        <f t="shared" si="14"/>
        <v>100</v>
      </c>
      <c r="X46" s="1554"/>
      <c r="Y46" s="3484"/>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483">
        <f>E47</f>
        <v>0</v>
      </c>
      <c r="S47" s="3483"/>
      <c r="T47" s="3483">
        <f>G47</f>
        <v>0</v>
      </c>
      <c r="U47" s="3483"/>
      <c r="V47" s="3483">
        <f>I47</f>
        <v>0</v>
      </c>
      <c r="W47" s="3483"/>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422" t="str">
        <f>A49</f>
        <v>估价对象XX用房的比较价格（楼面单价，元/平方米）</v>
      </c>
      <c r="Q49" s="3423"/>
      <c r="R49" s="3482" t="e">
        <f>IF(F1="售价",ROUND(AVERAGE(R48:V48),0),ROUND(AVERAGE(R48:V48),1))</f>
        <v>#DIV/0!</v>
      </c>
      <c r="S49" s="3482"/>
      <c r="T49" s="3482"/>
      <c r="U49" s="3482"/>
      <c r="V49" s="3482"/>
      <c r="W49" s="3482"/>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6" t="s">
        <v>522</v>
      </c>
      <c r="D4" s="3407"/>
      <c r="E4" s="3431" t="s">
        <v>523</v>
      </c>
      <c r="F4" s="3432"/>
      <c r="G4" s="3406" t="s">
        <v>524</v>
      </c>
      <c r="H4" s="3407"/>
      <c r="I4" s="3406" t="s">
        <v>525</v>
      </c>
      <c r="J4" s="3407"/>
      <c r="K4" s="514" t="s">
        <v>526</v>
      </c>
      <c r="L4" s="2119"/>
      <c r="M4" s="2120"/>
      <c r="N4" s="2120"/>
      <c r="O4" s="2120"/>
      <c r="P4" s="3514" t="s">
        <v>527</v>
      </c>
      <c r="Q4" s="3409"/>
      <c r="R4" s="3394" t="s">
        <v>523</v>
      </c>
      <c r="S4" s="3395"/>
      <c r="T4" s="3394" t="s">
        <v>524</v>
      </c>
      <c r="U4" s="3395"/>
      <c r="V4" s="3414" t="s">
        <v>525</v>
      </c>
      <c r="W4" s="3414"/>
      <c r="X4" s="1554"/>
      <c r="Y4" s="3394" t="s">
        <v>527</v>
      </c>
      <c r="Z4" s="3395"/>
      <c r="AA4" s="3389" t="s">
        <v>523</v>
      </c>
      <c r="AB4" s="3389" t="s">
        <v>524</v>
      </c>
      <c r="AC4" s="3389" t="s">
        <v>525</v>
      </c>
    </row>
    <row r="5" spans="1:29" ht="15">
      <c r="A5" s="515"/>
      <c r="B5" s="516"/>
      <c r="C5" s="3417" t="s">
        <v>2920</v>
      </c>
      <c r="D5" s="3418"/>
      <c r="E5" s="3433" t="s">
        <v>2921</v>
      </c>
      <c r="F5" s="3434"/>
      <c r="G5" s="3417" t="s">
        <v>2922</v>
      </c>
      <c r="H5" s="3418"/>
      <c r="I5" s="3417" t="s">
        <v>2923</v>
      </c>
      <c r="J5" s="3418"/>
      <c r="K5" s="514"/>
      <c r="L5" s="2119"/>
      <c r="M5" s="2120"/>
      <c r="N5" s="2120"/>
      <c r="O5" s="2120"/>
      <c r="P5" s="3515"/>
      <c r="Q5" s="3411"/>
      <c r="R5" s="3396"/>
      <c r="S5" s="3397"/>
      <c r="T5" s="3396"/>
      <c r="U5" s="3397"/>
      <c r="V5" s="3414"/>
      <c r="W5" s="3414"/>
      <c r="X5" s="1554"/>
      <c r="Y5" s="3396"/>
      <c r="Z5" s="3397"/>
      <c r="AA5" s="3390"/>
      <c r="AB5" s="3390"/>
      <c r="AC5" s="3390"/>
    </row>
    <row r="6" spans="1:29" ht="15.75" thickBot="1">
      <c r="A6" s="517"/>
      <c r="B6" s="518"/>
      <c r="C6" s="3415" t="s">
        <v>2924</v>
      </c>
      <c r="D6" s="3416"/>
      <c r="E6" s="3435" t="s">
        <v>2924</v>
      </c>
      <c r="F6" s="3436"/>
      <c r="G6" s="3415" t="s">
        <v>2924</v>
      </c>
      <c r="H6" s="3416"/>
      <c r="I6" s="3415" t="s">
        <v>2924</v>
      </c>
      <c r="J6" s="3416"/>
      <c r="K6" s="514" t="s">
        <v>528</v>
      </c>
      <c r="L6" s="2119"/>
      <c r="M6" s="2120"/>
      <c r="N6" s="2120"/>
      <c r="O6" s="2120"/>
      <c r="P6" s="3516"/>
      <c r="Q6" s="3413"/>
      <c r="R6" s="3396"/>
      <c r="S6" s="3397"/>
      <c r="T6" s="3398"/>
      <c r="U6" s="3399"/>
      <c r="V6" s="3414"/>
      <c r="W6" s="3414"/>
      <c r="X6" s="1554"/>
      <c r="Y6" s="3398"/>
      <c r="Z6" s="3399"/>
      <c r="AA6" s="3391"/>
      <c r="AB6" s="3391"/>
      <c r="AC6" s="3391"/>
    </row>
    <row r="7" spans="1:29" s="1216" customFormat="1" ht="15.7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1" t="s">
        <v>530</v>
      </c>
      <c r="Q7" s="3401"/>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1" t="s">
        <v>533</v>
      </c>
      <c r="Q8" s="3393"/>
      <c r="R8" s="1555" t="s">
        <v>8</v>
      </c>
      <c r="S8" s="1556">
        <f t="shared" si="0"/>
        <v>0</v>
      </c>
      <c r="T8" s="1555" t="s">
        <v>8</v>
      </c>
      <c r="U8" s="1556">
        <f t="shared" si="1"/>
        <v>0</v>
      </c>
      <c r="V8" s="1555" t="s">
        <v>8</v>
      </c>
      <c r="W8" s="1556">
        <f t="shared" si="2"/>
        <v>0</v>
      </c>
      <c r="X8" s="1557"/>
      <c r="Y8" s="3392" t="s">
        <v>533</v>
      </c>
      <c r="Z8" s="3393"/>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2" t="s">
        <v>540</v>
      </c>
      <c r="Q15" s="1559" t="str">
        <f t="shared" si="6"/>
        <v>办公集聚程度</v>
      </c>
      <c r="R15" s="1560" t="s">
        <v>8</v>
      </c>
      <c r="S15" s="1561">
        <f t="shared" si="0"/>
        <v>100</v>
      </c>
      <c r="T15" s="1560" t="s">
        <v>8</v>
      </c>
      <c r="U15" s="1561">
        <f t="shared" si="1"/>
        <v>100</v>
      </c>
      <c r="V15" s="1560" t="s">
        <v>8</v>
      </c>
      <c r="W15" s="1561">
        <f t="shared" si="2"/>
        <v>100</v>
      </c>
      <c r="X15" s="1554"/>
      <c r="Y15" s="3402"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3"/>
      <c r="Q16" s="1559"/>
      <c r="R16" s="1560"/>
      <c r="S16" s="1561"/>
      <c r="T16" s="1560"/>
      <c r="U16" s="1561"/>
      <c r="V16" s="1560"/>
      <c r="W16" s="1561"/>
      <c r="X16" s="1554"/>
      <c r="Y16" s="3403"/>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3"/>
      <c r="Q17" s="1559" t="str">
        <f>B17</f>
        <v>交通便捷度</v>
      </c>
      <c r="R17" s="1560" t="s">
        <v>8</v>
      </c>
      <c r="S17" s="1561">
        <f>F17</f>
        <v>100</v>
      </c>
      <c r="T17" s="1560" t="s">
        <v>8</v>
      </c>
      <c r="U17" s="1561">
        <f>H17</f>
        <v>100</v>
      </c>
      <c r="V17" s="1560" t="s">
        <v>8</v>
      </c>
      <c r="W17" s="1561">
        <f>J17</f>
        <v>100</v>
      </c>
      <c r="X17" s="1554"/>
      <c r="Y17" s="340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3"/>
      <c r="Q18" s="1559"/>
      <c r="R18" s="1560"/>
      <c r="S18" s="1561"/>
      <c r="T18" s="1560"/>
      <c r="U18" s="1561"/>
      <c r="V18" s="1560"/>
      <c r="W18" s="1561"/>
      <c r="X18" s="1554"/>
      <c r="Y18" s="3403"/>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3"/>
      <c r="Q19" s="1559" t="str">
        <f>B19</f>
        <v>公共配套设施</v>
      </c>
      <c r="R19" s="1560" t="s">
        <v>8</v>
      </c>
      <c r="S19" s="1561">
        <f>F19</f>
        <v>100</v>
      </c>
      <c r="T19" s="1560" t="s">
        <v>8</v>
      </c>
      <c r="U19" s="1561">
        <f>H19</f>
        <v>100</v>
      </c>
      <c r="V19" s="1560" t="s">
        <v>8</v>
      </c>
      <c r="W19" s="1561">
        <f>J19</f>
        <v>100</v>
      </c>
      <c r="X19" s="1554"/>
      <c r="Y19" s="340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3"/>
      <c r="Q20" s="1559"/>
      <c r="R20" s="1560"/>
      <c r="S20" s="1561"/>
      <c r="T20" s="1560"/>
      <c r="U20" s="1561"/>
      <c r="V20" s="1560"/>
      <c r="W20" s="1561"/>
      <c r="X20" s="1554"/>
      <c r="Y20" s="3403"/>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3"/>
      <c r="Q21" s="2544" t="str">
        <f>B21</f>
        <v>基础设施水平</v>
      </c>
      <c r="R21" s="1560" t="s">
        <v>8</v>
      </c>
      <c r="S21" s="1561">
        <f>F21</f>
        <v>100</v>
      </c>
      <c r="T21" s="1560" t="s">
        <v>8</v>
      </c>
      <c r="U21" s="1561">
        <f>H21</f>
        <v>100</v>
      </c>
      <c r="V21" s="1560" t="s">
        <v>8</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3"/>
      <c r="Q22" s="2544"/>
      <c r="R22" s="1560"/>
      <c r="S22" s="1561"/>
      <c r="T22" s="1560"/>
      <c r="U22" s="1561"/>
      <c r="V22" s="1560"/>
      <c r="W22" s="1561"/>
      <c r="X22" s="2546"/>
      <c r="Y22" s="3403"/>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3"/>
      <c r="Q23" s="1559" t="str">
        <f>B23</f>
        <v>环境质量</v>
      </c>
      <c r="R23" s="1560" t="s">
        <v>8</v>
      </c>
      <c r="S23" s="1561">
        <f>F23</f>
        <v>100</v>
      </c>
      <c r="T23" s="1560" t="s">
        <v>8</v>
      </c>
      <c r="U23" s="1561">
        <f>H23</f>
        <v>100</v>
      </c>
      <c r="V23" s="1560" t="s">
        <v>8</v>
      </c>
      <c r="W23" s="1561">
        <f>J23</f>
        <v>100</v>
      </c>
      <c r="X23" s="1554"/>
      <c r="Y23" s="340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3"/>
      <c r="Q24" s="1559"/>
      <c r="R24" s="1560"/>
      <c r="S24" s="1561"/>
      <c r="T24" s="1560"/>
      <c r="U24" s="1561"/>
      <c r="V24" s="1560"/>
      <c r="W24" s="1561"/>
      <c r="X24" s="1554"/>
      <c r="Y24" s="3403"/>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3"/>
      <c r="Q25" s="1559" t="str">
        <f>B25</f>
        <v>毗邻道路的类型与等级</v>
      </c>
      <c r="R25" s="1560" t="s">
        <v>8</v>
      </c>
      <c r="S25" s="1561">
        <f>F25</f>
        <v>100</v>
      </c>
      <c r="T25" s="1560" t="s">
        <v>8</v>
      </c>
      <c r="U25" s="1561">
        <f>H25</f>
        <v>100</v>
      </c>
      <c r="V25" s="1560" t="s">
        <v>8</v>
      </c>
      <c r="W25" s="1561">
        <f>J25</f>
        <v>100</v>
      </c>
      <c r="X25" s="1554"/>
      <c r="Y25" s="340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3"/>
      <c r="Q26" s="1559"/>
      <c r="R26" s="1560"/>
      <c r="S26" s="1561"/>
      <c r="T26" s="1560"/>
      <c r="U26" s="1561"/>
      <c r="V26" s="1560"/>
      <c r="W26" s="1561"/>
      <c r="X26" s="1554"/>
      <c r="Y26" s="3403"/>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3"/>
      <c r="Q27" s="1559" t="str">
        <f t="shared" ref="Q27:Q47" si="11">B27</f>
        <v>楼层</v>
      </c>
      <c r="R27" s="1560" t="s">
        <v>8</v>
      </c>
      <c r="S27" s="1561">
        <f>F27</f>
        <v>100</v>
      </c>
      <c r="T27" s="1560" t="s">
        <v>8</v>
      </c>
      <c r="U27" s="1561">
        <f>H27</f>
        <v>100</v>
      </c>
      <c r="V27" s="1560" t="s">
        <v>8</v>
      </c>
      <c r="W27" s="1561">
        <f>J27</f>
        <v>100</v>
      </c>
      <c r="X27" s="1554"/>
      <c r="Y27" s="3403"/>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3"/>
      <c r="Q28" s="1147" t="str">
        <f t="shared" si="11"/>
        <v>朝向</v>
      </c>
      <c r="R28" s="1555" t="s">
        <v>8</v>
      </c>
      <c r="S28" s="1556">
        <f>F28</f>
        <v>100</v>
      </c>
      <c r="T28" s="1555" t="s">
        <v>8</v>
      </c>
      <c r="U28" s="1556">
        <f>H28</f>
        <v>100</v>
      </c>
      <c r="V28" s="1555" t="s">
        <v>8</v>
      </c>
      <c r="W28" s="1556">
        <f>J28</f>
        <v>100</v>
      </c>
      <c r="X28" s="1557"/>
      <c r="Y28" s="340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3"/>
      <c r="Q29" s="1559">
        <f t="shared" si="11"/>
        <v>111</v>
      </c>
      <c r="R29" s="1560" t="s">
        <v>8</v>
      </c>
      <c r="S29" s="1561">
        <f t="shared" ref="S29:S47" si="12">F29</f>
        <v>100</v>
      </c>
      <c r="T29" s="1560" t="s">
        <v>8</v>
      </c>
      <c r="U29" s="1561">
        <f t="shared" ref="U29:U47" si="13">H29</f>
        <v>100</v>
      </c>
      <c r="V29" s="1560" t="s">
        <v>8</v>
      </c>
      <c r="W29" s="1561">
        <f t="shared" ref="W29:W47" si="14">J29</f>
        <v>100</v>
      </c>
      <c r="X29" s="1554"/>
      <c r="Y29" s="340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3"/>
      <c r="Q30" s="1559">
        <f t="shared" si="11"/>
        <v>111</v>
      </c>
      <c r="R30" s="1560" t="s">
        <v>8</v>
      </c>
      <c r="S30" s="1561">
        <f t="shared" si="12"/>
        <v>100</v>
      </c>
      <c r="T30" s="1560" t="s">
        <v>8</v>
      </c>
      <c r="U30" s="1561">
        <f t="shared" si="13"/>
        <v>100</v>
      </c>
      <c r="V30" s="1560" t="s">
        <v>8</v>
      </c>
      <c r="W30" s="1561">
        <f t="shared" si="14"/>
        <v>100</v>
      </c>
      <c r="X30" s="1554"/>
      <c r="Y30" s="340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3"/>
      <c r="Q31" s="1559">
        <f t="shared" si="11"/>
        <v>111</v>
      </c>
      <c r="R31" s="1560" t="s">
        <v>8</v>
      </c>
      <c r="S31" s="1561">
        <f t="shared" si="12"/>
        <v>100</v>
      </c>
      <c r="T31" s="1560" t="s">
        <v>8</v>
      </c>
      <c r="U31" s="1561">
        <f t="shared" si="13"/>
        <v>100</v>
      </c>
      <c r="V31" s="1560" t="s">
        <v>8</v>
      </c>
      <c r="W31" s="1561">
        <f t="shared" si="14"/>
        <v>100</v>
      </c>
      <c r="X31" s="1554"/>
      <c r="Y31" s="340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3"/>
      <c r="Q32" s="1559">
        <f t="shared" si="11"/>
        <v>111</v>
      </c>
      <c r="R32" s="1560" t="s">
        <v>8</v>
      </c>
      <c r="S32" s="1561">
        <f t="shared" si="12"/>
        <v>100</v>
      </c>
      <c r="T32" s="1560" t="s">
        <v>8</v>
      </c>
      <c r="U32" s="1561">
        <f t="shared" si="13"/>
        <v>100</v>
      </c>
      <c r="V32" s="1560" t="s">
        <v>8</v>
      </c>
      <c r="W32" s="1561">
        <f t="shared" si="14"/>
        <v>100</v>
      </c>
      <c r="X32" s="1554"/>
      <c r="Y32" s="3403"/>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4" t="s">
        <v>550</v>
      </c>
      <c r="Q33" s="1559" t="str">
        <f t="shared" si="11"/>
        <v>建筑类型</v>
      </c>
      <c r="R33" s="1560" t="s">
        <v>8</v>
      </c>
      <c r="S33" s="1561">
        <f t="shared" si="12"/>
        <v>100</v>
      </c>
      <c r="T33" s="1560" t="s">
        <v>8</v>
      </c>
      <c r="U33" s="1561">
        <f t="shared" si="13"/>
        <v>100</v>
      </c>
      <c r="V33" s="1560" t="s">
        <v>8</v>
      </c>
      <c r="W33" s="1561">
        <f t="shared" si="14"/>
        <v>100</v>
      </c>
      <c r="X33" s="1554"/>
      <c r="Y33" s="3405"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5"/>
      <c r="Q34" s="1591" t="str">
        <f t="shared" si="11"/>
        <v>项目建筑规模</v>
      </c>
      <c r="R34" s="1564" t="s">
        <v>8</v>
      </c>
      <c r="S34" s="1565" t="e">
        <f t="shared" si="12"/>
        <v>#N/A</v>
      </c>
      <c r="T34" s="1564" t="s">
        <v>8</v>
      </c>
      <c r="U34" s="1565" t="e">
        <f t="shared" si="13"/>
        <v>#N/A</v>
      </c>
      <c r="V34" s="1564" t="s">
        <v>8</v>
      </c>
      <c r="W34" s="1565" t="e">
        <f t="shared" si="14"/>
        <v>#N/A</v>
      </c>
      <c r="X34" s="1566"/>
      <c r="Y34" s="3405"/>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5"/>
      <c r="Q35" s="1559" t="str">
        <f t="shared" si="11"/>
        <v>建筑结构</v>
      </c>
      <c r="R35" s="1560" t="s">
        <v>8</v>
      </c>
      <c r="S35" s="1561">
        <f t="shared" si="12"/>
        <v>100</v>
      </c>
      <c r="T35" s="1560" t="s">
        <v>8</v>
      </c>
      <c r="U35" s="1561">
        <f t="shared" si="13"/>
        <v>100</v>
      </c>
      <c r="V35" s="1560" t="s">
        <v>8</v>
      </c>
      <c r="W35" s="1561">
        <f t="shared" si="14"/>
        <v>100</v>
      </c>
      <c r="X35" s="1554"/>
      <c r="Y35" s="3405"/>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5"/>
      <c r="Q36" s="1559" t="str">
        <f t="shared" si="11"/>
        <v>公共部分装修</v>
      </c>
      <c r="R36" s="1560" t="s">
        <v>8</v>
      </c>
      <c r="S36" s="1561">
        <f t="shared" si="12"/>
        <v>100</v>
      </c>
      <c r="T36" s="1560" t="s">
        <v>8</v>
      </c>
      <c r="U36" s="1561">
        <f t="shared" si="13"/>
        <v>100</v>
      </c>
      <c r="V36" s="1560" t="s">
        <v>8</v>
      </c>
      <c r="W36" s="1561">
        <f t="shared" si="14"/>
        <v>100</v>
      </c>
      <c r="X36" s="1554"/>
      <c r="Y36" s="3405"/>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5"/>
      <c r="Q37" s="1559" t="str">
        <f t="shared" si="11"/>
        <v>成新度</v>
      </c>
      <c r="R37" s="1560" t="s">
        <v>8</v>
      </c>
      <c r="S37" s="1561" t="e">
        <f t="shared" si="12"/>
        <v>#N/A</v>
      </c>
      <c r="T37" s="1560" t="s">
        <v>8</v>
      </c>
      <c r="U37" s="1561" t="e">
        <f t="shared" si="13"/>
        <v>#N/A</v>
      </c>
      <c r="V37" s="1560" t="s">
        <v>8</v>
      </c>
      <c r="W37" s="1561" t="e">
        <f t="shared" si="14"/>
        <v>#N/A</v>
      </c>
      <c r="X37" s="1554"/>
      <c r="Y37" s="3405"/>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5"/>
      <c r="Q38" s="1147" t="str">
        <f t="shared" si="11"/>
        <v>写字楼等级</v>
      </c>
      <c r="R38" s="1555" t="s">
        <v>8</v>
      </c>
      <c r="S38" s="1556">
        <f t="shared" si="12"/>
        <v>100</v>
      </c>
      <c r="T38" s="1555" t="s">
        <v>8</v>
      </c>
      <c r="U38" s="1556">
        <f t="shared" si="13"/>
        <v>100</v>
      </c>
      <c r="V38" s="1555" t="s">
        <v>8</v>
      </c>
      <c r="W38" s="1556">
        <f t="shared" si="14"/>
        <v>100</v>
      </c>
      <c r="X38" s="1557"/>
      <c r="Y38" s="3405"/>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5" t="s">
        <v>550</v>
      </c>
      <c r="Q39" s="1559" t="str">
        <f t="shared" si="11"/>
        <v>物业管理</v>
      </c>
      <c r="R39" s="1560" t="s">
        <v>8</v>
      </c>
      <c r="S39" s="1561">
        <f t="shared" si="12"/>
        <v>100</v>
      </c>
      <c r="T39" s="1560" t="s">
        <v>8</v>
      </c>
      <c r="U39" s="1561">
        <f t="shared" si="13"/>
        <v>100</v>
      </c>
      <c r="V39" s="1560" t="s">
        <v>8</v>
      </c>
      <c r="W39" s="1561">
        <f t="shared" si="14"/>
        <v>100</v>
      </c>
      <c r="X39" s="1554"/>
      <c r="Y39" s="3405"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5"/>
      <c r="Q40" s="1559" t="str">
        <f t="shared" si="11"/>
        <v>市政基础设施</v>
      </c>
      <c r="R40" s="1560" t="s">
        <v>8</v>
      </c>
      <c r="S40" s="1561">
        <f t="shared" si="12"/>
        <v>100</v>
      </c>
      <c r="T40" s="1560" t="s">
        <v>8</v>
      </c>
      <c r="U40" s="1561">
        <f t="shared" si="13"/>
        <v>100</v>
      </c>
      <c r="V40" s="1560" t="s">
        <v>8</v>
      </c>
      <c r="W40" s="1561">
        <f t="shared" si="14"/>
        <v>100</v>
      </c>
      <c r="X40" s="1554"/>
      <c r="Y40" s="3405"/>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5"/>
      <c r="Q41" s="1559" t="str">
        <f t="shared" si="11"/>
        <v>层高</v>
      </c>
      <c r="R41" s="1560" t="s">
        <v>8</v>
      </c>
      <c r="S41" s="1561">
        <f t="shared" si="12"/>
        <v>100</v>
      </c>
      <c r="T41" s="1560" t="s">
        <v>8</v>
      </c>
      <c r="U41" s="1561">
        <f t="shared" si="13"/>
        <v>100</v>
      </c>
      <c r="V41" s="1560" t="s">
        <v>8</v>
      </c>
      <c r="W41" s="1561">
        <f t="shared" si="14"/>
        <v>100</v>
      </c>
      <c r="X41" s="1554"/>
      <c r="Y41" s="3405"/>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5"/>
      <c r="Q42" s="1591" t="str">
        <f t="shared" si="11"/>
        <v>单套建筑面积</v>
      </c>
      <c r="R42" s="1564" t="s">
        <v>8</v>
      </c>
      <c r="S42" s="1565">
        <f t="shared" si="12"/>
        <v>100</v>
      </c>
      <c r="T42" s="1564" t="s">
        <v>8</v>
      </c>
      <c r="U42" s="1565">
        <f t="shared" si="13"/>
        <v>100</v>
      </c>
      <c r="V42" s="1564" t="s">
        <v>8</v>
      </c>
      <c r="W42" s="1565">
        <f t="shared" si="14"/>
        <v>100</v>
      </c>
      <c r="X42" s="1566"/>
      <c r="Y42" s="3405"/>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5"/>
      <c r="Q43" s="1559" t="str">
        <f t="shared" si="11"/>
        <v>内部装修</v>
      </c>
      <c r="R43" s="1560" t="s">
        <v>8</v>
      </c>
      <c r="S43" s="1561">
        <f t="shared" si="12"/>
        <v>100</v>
      </c>
      <c r="T43" s="1560" t="s">
        <v>8</v>
      </c>
      <c r="U43" s="1561">
        <f t="shared" si="13"/>
        <v>100</v>
      </c>
      <c r="V43" s="1560" t="s">
        <v>8</v>
      </c>
      <c r="W43" s="1561">
        <f t="shared" si="14"/>
        <v>100</v>
      </c>
      <c r="X43" s="1554"/>
      <c r="Y43" s="3405"/>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5"/>
      <c r="Q44" s="1559" t="str">
        <f t="shared" si="11"/>
        <v>内部装修维护情况</v>
      </c>
      <c r="R44" s="1560" t="s">
        <v>8</v>
      </c>
      <c r="S44" s="1561">
        <f t="shared" si="12"/>
        <v>100</v>
      </c>
      <c r="T44" s="1560" t="s">
        <v>8</v>
      </c>
      <c r="U44" s="1561">
        <f t="shared" si="13"/>
        <v>100</v>
      </c>
      <c r="V44" s="1560" t="s">
        <v>8</v>
      </c>
      <c r="W44" s="1561">
        <f t="shared" si="14"/>
        <v>100</v>
      </c>
      <c r="X44" s="1554"/>
      <c r="Y44" s="340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5"/>
      <c r="Q45" s="1147">
        <f t="shared" si="11"/>
        <v>111</v>
      </c>
      <c r="R45" s="1555" t="s">
        <v>8</v>
      </c>
      <c r="S45" s="1556">
        <f t="shared" si="12"/>
        <v>100</v>
      </c>
      <c r="T45" s="1555" t="s">
        <v>8</v>
      </c>
      <c r="U45" s="1556">
        <f t="shared" si="13"/>
        <v>100</v>
      </c>
      <c r="V45" s="1555" t="s">
        <v>8</v>
      </c>
      <c r="W45" s="1556">
        <f t="shared" si="14"/>
        <v>100</v>
      </c>
      <c r="X45" s="1557"/>
      <c r="Y45" s="340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5"/>
      <c r="Q46" s="1559">
        <f t="shared" si="11"/>
        <v>111</v>
      </c>
      <c r="R46" s="1560" t="s">
        <v>8</v>
      </c>
      <c r="S46" s="1561">
        <f t="shared" si="12"/>
        <v>100</v>
      </c>
      <c r="T46" s="1560" t="s">
        <v>8</v>
      </c>
      <c r="U46" s="1561">
        <f t="shared" si="13"/>
        <v>100</v>
      </c>
      <c r="V46" s="1560" t="s">
        <v>8</v>
      </c>
      <c r="W46" s="1561">
        <f t="shared" si="14"/>
        <v>100</v>
      </c>
      <c r="X46" s="1554"/>
      <c r="Y46" s="340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4"/>
      <c r="Q47" s="1559">
        <f t="shared" si="11"/>
        <v>111</v>
      </c>
      <c r="R47" s="1560" t="s">
        <v>8</v>
      </c>
      <c r="S47" s="1561">
        <f t="shared" si="12"/>
        <v>100</v>
      </c>
      <c r="T47" s="1560" t="s">
        <v>8</v>
      </c>
      <c r="U47" s="1561">
        <f t="shared" si="13"/>
        <v>100</v>
      </c>
      <c r="V47" s="1560" t="s">
        <v>8</v>
      </c>
      <c r="W47" s="1561">
        <f t="shared" si="14"/>
        <v>100</v>
      </c>
      <c r="X47" s="1554"/>
      <c r="Y47" s="3484"/>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3" t="str">
        <f>A48</f>
        <v>成交单价（元/平方米）</v>
      </c>
      <c r="Q48" s="3400"/>
      <c r="R48" s="3483">
        <f>E48</f>
        <v>0</v>
      </c>
      <c r="S48" s="3483"/>
      <c r="T48" s="3483">
        <f>G48</f>
        <v>0</v>
      </c>
      <c r="U48" s="3483"/>
      <c r="V48" s="3483">
        <f>I48</f>
        <v>0</v>
      </c>
      <c r="W48" s="3483"/>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23" t="str">
        <f>A49</f>
        <v>比较价格（元/平方米）</v>
      </c>
      <c r="Q49" s="3400"/>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17" t="str">
        <f>A50</f>
        <v>估价对象XX用房的比较价格（楼面单价，元/平方米）</v>
      </c>
      <c r="Q50" s="3423"/>
      <c r="R50" s="3482" t="e">
        <f>IF(F1="售价",ROUND(AVERAGE(R49:V49),0),ROUND(AVERAGE(R49:V49),1))</f>
        <v>#DIV/0!</v>
      </c>
      <c r="S50" s="3482"/>
      <c r="T50" s="3482"/>
      <c r="U50" s="3482"/>
      <c r="V50" s="3482"/>
      <c r="W50" s="3482"/>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6" t="s">
        <v>522</v>
      </c>
      <c r="D4" s="3407"/>
      <c r="E4" s="3431" t="s">
        <v>523</v>
      </c>
      <c r="F4" s="3432"/>
      <c r="G4" s="3406" t="s">
        <v>524</v>
      </c>
      <c r="H4" s="3407"/>
      <c r="I4" s="3406" t="s">
        <v>525</v>
      </c>
      <c r="J4" s="3407"/>
      <c r="K4" s="514" t="s">
        <v>526</v>
      </c>
      <c r="L4" s="2119"/>
      <c r="M4" s="2120"/>
      <c r="N4" s="2120"/>
      <c r="O4" s="2120"/>
      <c r="P4" s="3408" t="s">
        <v>527</v>
      </c>
      <c r="Q4" s="3409"/>
      <c r="R4" s="3394" t="s">
        <v>523</v>
      </c>
      <c r="S4" s="3395"/>
      <c r="T4" s="3394" t="s">
        <v>524</v>
      </c>
      <c r="U4" s="3395"/>
      <c r="V4" s="3414" t="s">
        <v>525</v>
      </c>
      <c r="W4" s="3414"/>
      <c r="X4" s="1554"/>
      <c r="Y4" s="3394" t="s">
        <v>527</v>
      </c>
      <c r="Z4" s="3395"/>
      <c r="AA4" s="3389" t="s">
        <v>523</v>
      </c>
      <c r="AB4" s="3390" t="s">
        <v>524</v>
      </c>
      <c r="AC4" s="3389" t="s">
        <v>525</v>
      </c>
    </row>
    <row r="5" spans="1:29" ht="15">
      <c r="A5" s="515"/>
      <c r="B5" s="516"/>
      <c r="C5" s="3417" t="s">
        <v>2920</v>
      </c>
      <c r="D5" s="3418"/>
      <c r="E5" s="3433" t="s">
        <v>2921</v>
      </c>
      <c r="F5" s="3434"/>
      <c r="G5" s="3417" t="s">
        <v>2922</v>
      </c>
      <c r="H5" s="3418"/>
      <c r="I5" s="3417" t="s">
        <v>2923</v>
      </c>
      <c r="J5" s="3418"/>
      <c r="K5" s="514"/>
      <c r="L5" s="2119"/>
      <c r="M5" s="2120"/>
      <c r="N5" s="2120"/>
      <c r="O5" s="2120"/>
      <c r="P5" s="3410"/>
      <c r="Q5" s="3411"/>
      <c r="R5" s="3396"/>
      <c r="S5" s="3397"/>
      <c r="T5" s="3396"/>
      <c r="U5" s="3397"/>
      <c r="V5" s="3414"/>
      <c r="W5" s="3414"/>
      <c r="X5" s="1554"/>
      <c r="Y5" s="3396"/>
      <c r="Z5" s="3397"/>
      <c r="AA5" s="3390"/>
      <c r="AB5" s="3390"/>
      <c r="AC5" s="3390"/>
    </row>
    <row r="6" spans="1:29" ht="15.75" thickBot="1">
      <c r="A6" s="517"/>
      <c r="B6" s="518"/>
      <c r="C6" s="3415" t="s">
        <v>2924</v>
      </c>
      <c r="D6" s="3416"/>
      <c r="E6" s="3435" t="s">
        <v>2924</v>
      </c>
      <c r="F6" s="3436"/>
      <c r="G6" s="3415" t="s">
        <v>2924</v>
      </c>
      <c r="H6" s="3416"/>
      <c r="I6" s="3415" t="s">
        <v>2924</v>
      </c>
      <c r="J6" s="3416"/>
      <c r="K6" s="514" t="s">
        <v>528</v>
      </c>
      <c r="L6" s="2119"/>
      <c r="M6" s="2120"/>
      <c r="N6" s="2120"/>
      <c r="O6" s="2120"/>
      <c r="P6" s="3412"/>
      <c r="Q6" s="3413"/>
      <c r="R6" s="3396"/>
      <c r="S6" s="3397"/>
      <c r="T6" s="3398"/>
      <c r="U6" s="3399"/>
      <c r="V6" s="3414"/>
      <c r="W6" s="3414"/>
      <c r="X6" s="1554"/>
      <c r="Y6" s="3398"/>
      <c r="Z6" s="3399"/>
      <c r="AA6" s="3391"/>
      <c r="AB6" s="3391"/>
      <c r="AC6" s="3391"/>
    </row>
    <row r="7" spans="1:29" s="1216" customFormat="1" ht="15.7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2" t="s">
        <v>530</v>
      </c>
      <c r="Q7" s="3401"/>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2" t="s">
        <v>540</v>
      </c>
      <c r="Q15" s="1559" t="str">
        <f t="shared" si="6"/>
        <v>产业集聚程度</v>
      </c>
      <c r="R15" s="1560" t="s">
        <v>8</v>
      </c>
      <c r="S15" s="1561">
        <f t="shared" si="0"/>
        <v>100</v>
      </c>
      <c r="T15" s="1560" t="s">
        <v>8</v>
      </c>
      <c r="U15" s="1561">
        <f t="shared" si="1"/>
        <v>100</v>
      </c>
      <c r="V15" s="1560" t="s">
        <v>8</v>
      </c>
      <c r="W15" s="1561">
        <f t="shared" si="2"/>
        <v>100</v>
      </c>
      <c r="X15" s="1554"/>
      <c r="Y15" s="3402"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3"/>
      <c r="Q16" s="1559"/>
      <c r="R16" s="1560"/>
      <c r="S16" s="1561"/>
      <c r="T16" s="1560"/>
      <c r="U16" s="1561"/>
      <c r="V16" s="1560"/>
      <c r="W16" s="1561"/>
      <c r="X16" s="1554"/>
      <c r="Y16" s="3403"/>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3"/>
      <c r="Q17" s="1559" t="str">
        <f>B17</f>
        <v>交通便捷度</v>
      </c>
      <c r="R17" s="1560" t="s">
        <v>8</v>
      </c>
      <c r="S17" s="1561">
        <f>F17</f>
        <v>100</v>
      </c>
      <c r="T17" s="1560" t="s">
        <v>8</v>
      </c>
      <c r="U17" s="1561">
        <f>H17</f>
        <v>100</v>
      </c>
      <c r="V17" s="1560" t="s">
        <v>8</v>
      </c>
      <c r="W17" s="1561">
        <f>J17</f>
        <v>100</v>
      </c>
      <c r="X17" s="1554"/>
      <c r="Y17" s="340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3"/>
      <c r="Q18" s="1559"/>
      <c r="R18" s="1560"/>
      <c r="S18" s="1561"/>
      <c r="T18" s="1560"/>
      <c r="U18" s="1561"/>
      <c r="V18" s="1560"/>
      <c r="W18" s="1561"/>
      <c r="X18" s="1554"/>
      <c r="Y18" s="3403"/>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3"/>
      <c r="Q19" s="1559" t="str">
        <f>B19</f>
        <v>公共配套设施</v>
      </c>
      <c r="R19" s="1560" t="s">
        <v>8</v>
      </c>
      <c r="S19" s="1561">
        <f>F19</f>
        <v>100</v>
      </c>
      <c r="T19" s="1560" t="s">
        <v>8</v>
      </c>
      <c r="U19" s="1561">
        <f>H19</f>
        <v>100</v>
      </c>
      <c r="V19" s="1560" t="s">
        <v>8</v>
      </c>
      <c r="W19" s="1561">
        <f>J19</f>
        <v>100</v>
      </c>
      <c r="X19" s="1554"/>
      <c r="Y19" s="340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3"/>
      <c r="Q20" s="1559"/>
      <c r="R20" s="1560"/>
      <c r="S20" s="1561"/>
      <c r="T20" s="1560"/>
      <c r="U20" s="1561"/>
      <c r="V20" s="1560"/>
      <c r="W20" s="1561"/>
      <c r="X20" s="1554"/>
      <c r="Y20" s="3403"/>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3"/>
      <c r="Q21" s="2544" t="str">
        <f>B21</f>
        <v>基础设施水平</v>
      </c>
      <c r="R21" s="1560" t="s">
        <v>8</v>
      </c>
      <c r="S21" s="1561">
        <f>F21</f>
        <v>100</v>
      </c>
      <c r="T21" s="1560" t="s">
        <v>8</v>
      </c>
      <c r="U21" s="1561">
        <f>H21</f>
        <v>100</v>
      </c>
      <c r="V21" s="1560" t="s">
        <v>8</v>
      </c>
      <c r="W21" s="1561">
        <f>J21</f>
        <v>100</v>
      </c>
      <c r="X21" s="2546"/>
      <c r="Y21" s="340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3"/>
      <c r="Q22" s="2544"/>
      <c r="R22" s="1560"/>
      <c r="S22" s="1561"/>
      <c r="T22" s="1560"/>
      <c r="U22" s="1561"/>
      <c r="V22" s="1560"/>
      <c r="W22" s="1561"/>
      <c r="X22" s="2546"/>
      <c r="Y22" s="3403"/>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3"/>
      <c r="Q23" s="1559" t="str">
        <f>B23</f>
        <v>环境质量</v>
      </c>
      <c r="R23" s="1560" t="s">
        <v>8</v>
      </c>
      <c r="S23" s="1561">
        <f>F23</f>
        <v>100</v>
      </c>
      <c r="T23" s="1560" t="s">
        <v>8</v>
      </c>
      <c r="U23" s="1561">
        <f>H23</f>
        <v>100</v>
      </c>
      <c r="V23" s="1560" t="s">
        <v>8</v>
      </c>
      <c r="W23" s="1561">
        <f>J23</f>
        <v>100</v>
      </c>
      <c r="X23" s="1554"/>
      <c r="Y23" s="340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3"/>
      <c r="Q24" s="1559"/>
      <c r="R24" s="1560"/>
      <c r="S24" s="1561"/>
      <c r="T24" s="1560"/>
      <c r="U24" s="1561"/>
      <c r="V24" s="1560"/>
      <c r="W24" s="1561"/>
      <c r="X24" s="1554"/>
      <c r="Y24" s="340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3"/>
      <c r="Q25" s="1559">
        <f>B25</f>
        <v>111</v>
      </c>
      <c r="R25" s="1560" t="s">
        <v>8</v>
      </c>
      <c r="S25" s="1561">
        <f>F25</f>
        <v>100</v>
      </c>
      <c r="T25" s="1560" t="s">
        <v>8</v>
      </c>
      <c r="U25" s="1561">
        <f>H25</f>
        <v>100</v>
      </c>
      <c r="V25" s="1560" t="s">
        <v>8</v>
      </c>
      <c r="W25" s="1561">
        <f>J25</f>
        <v>100</v>
      </c>
      <c r="X25" s="1554"/>
      <c r="Y25" s="340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3"/>
      <c r="Q26" s="1559">
        <f t="shared" ref="Q26:Q40" si="11">B26</f>
        <v>111</v>
      </c>
      <c r="R26" s="1560" t="s">
        <v>8</v>
      </c>
      <c r="S26" s="1561">
        <f>F26</f>
        <v>100</v>
      </c>
      <c r="T26" s="1560" t="s">
        <v>8</v>
      </c>
      <c r="U26" s="1561">
        <f>H26</f>
        <v>100</v>
      </c>
      <c r="V26" s="1560" t="s">
        <v>8</v>
      </c>
      <c r="W26" s="1561">
        <f>J26</f>
        <v>100</v>
      </c>
      <c r="X26" s="1554"/>
      <c r="Y26" s="340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3"/>
      <c r="Q27" s="1147">
        <f t="shared" si="11"/>
        <v>111</v>
      </c>
      <c r="R27" s="1555" t="s">
        <v>8</v>
      </c>
      <c r="S27" s="1556">
        <f>F27</f>
        <v>100</v>
      </c>
      <c r="T27" s="1555" t="s">
        <v>8</v>
      </c>
      <c r="U27" s="1556">
        <f>H27</f>
        <v>100</v>
      </c>
      <c r="V27" s="1555" t="s">
        <v>8</v>
      </c>
      <c r="W27" s="1556">
        <f>J27</f>
        <v>100</v>
      </c>
      <c r="X27" s="1557"/>
      <c r="Y27" s="340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3"/>
      <c r="Q28" s="1559">
        <f t="shared" si="11"/>
        <v>111</v>
      </c>
      <c r="R28" s="1560" t="s">
        <v>8</v>
      </c>
      <c r="S28" s="1561">
        <f t="shared" ref="S28:S40" si="12">F28</f>
        <v>100</v>
      </c>
      <c r="T28" s="1560" t="s">
        <v>8</v>
      </c>
      <c r="U28" s="1561">
        <f t="shared" ref="U28:U40" si="13">H28</f>
        <v>100</v>
      </c>
      <c r="V28" s="1560" t="s">
        <v>8</v>
      </c>
      <c r="W28" s="1561">
        <f t="shared" ref="W28:W40" si="14">J28</f>
        <v>100</v>
      </c>
      <c r="X28" s="1554"/>
      <c r="Y28" s="3403"/>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4" t="s">
        <v>550</v>
      </c>
      <c r="Q29" s="1559" t="str">
        <f t="shared" si="11"/>
        <v>建筑类型</v>
      </c>
      <c r="R29" s="1560" t="s">
        <v>8</v>
      </c>
      <c r="S29" s="1561">
        <f t="shared" si="12"/>
        <v>100</v>
      </c>
      <c r="T29" s="1560" t="s">
        <v>8</v>
      </c>
      <c r="U29" s="1561">
        <f t="shared" si="13"/>
        <v>100</v>
      </c>
      <c r="V29" s="1560" t="s">
        <v>8</v>
      </c>
      <c r="W29" s="1561">
        <f t="shared" si="14"/>
        <v>100</v>
      </c>
      <c r="X29" s="1554"/>
      <c r="Y29" s="3405"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5"/>
      <c r="Q30" s="1591" t="str">
        <f t="shared" si="11"/>
        <v>项目建筑规模</v>
      </c>
      <c r="R30" s="1564" t="s">
        <v>8</v>
      </c>
      <c r="S30" s="1565" t="e">
        <f t="shared" si="12"/>
        <v>#N/A</v>
      </c>
      <c r="T30" s="1564" t="s">
        <v>8</v>
      </c>
      <c r="U30" s="1565" t="e">
        <f t="shared" si="13"/>
        <v>#N/A</v>
      </c>
      <c r="V30" s="1564" t="s">
        <v>8</v>
      </c>
      <c r="W30" s="1565" t="e">
        <f t="shared" si="14"/>
        <v>#N/A</v>
      </c>
      <c r="X30" s="1566"/>
      <c r="Y30" s="3405"/>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5"/>
      <c r="Q31" s="1559" t="str">
        <f t="shared" si="11"/>
        <v>建筑结构</v>
      </c>
      <c r="R31" s="1560" t="s">
        <v>8</v>
      </c>
      <c r="S31" s="1561">
        <f t="shared" si="12"/>
        <v>100</v>
      </c>
      <c r="T31" s="1560" t="s">
        <v>8</v>
      </c>
      <c r="U31" s="1561">
        <f t="shared" si="13"/>
        <v>100</v>
      </c>
      <c r="V31" s="1560" t="s">
        <v>8</v>
      </c>
      <c r="W31" s="1561">
        <f t="shared" si="14"/>
        <v>100</v>
      </c>
      <c r="X31" s="1554"/>
      <c r="Y31" s="3405"/>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5"/>
      <c r="Q32" s="1559" t="str">
        <f t="shared" si="11"/>
        <v>公共部分装修</v>
      </c>
      <c r="R32" s="1560" t="s">
        <v>8</v>
      </c>
      <c r="S32" s="1561">
        <f t="shared" si="12"/>
        <v>100</v>
      </c>
      <c r="T32" s="1560" t="s">
        <v>8</v>
      </c>
      <c r="U32" s="1561">
        <f t="shared" si="13"/>
        <v>100</v>
      </c>
      <c r="V32" s="1560" t="s">
        <v>8</v>
      </c>
      <c r="W32" s="1561">
        <f t="shared" si="14"/>
        <v>100</v>
      </c>
      <c r="X32" s="1554"/>
      <c r="Y32" s="3405"/>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5"/>
      <c r="Q33" s="1559" t="str">
        <f t="shared" si="11"/>
        <v>成新度</v>
      </c>
      <c r="R33" s="1560" t="s">
        <v>8</v>
      </c>
      <c r="S33" s="1561" t="e">
        <f t="shared" si="12"/>
        <v>#N/A</v>
      </c>
      <c r="T33" s="1560" t="s">
        <v>8</v>
      </c>
      <c r="U33" s="1561" t="e">
        <f t="shared" si="13"/>
        <v>#N/A</v>
      </c>
      <c r="V33" s="1560" t="s">
        <v>8</v>
      </c>
      <c r="W33" s="1561" t="e">
        <f t="shared" si="14"/>
        <v>#N/A</v>
      </c>
      <c r="X33" s="1554"/>
      <c r="Y33" s="3405"/>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5"/>
      <c r="Q34" s="1147" t="str">
        <f t="shared" si="11"/>
        <v>物业管理</v>
      </c>
      <c r="R34" s="1555" t="s">
        <v>8</v>
      </c>
      <c r="S34" s="1556">
        <f t="shared" si="12"/>
        <v>100</v>
      </c>
      <c r="T34" s="1555" t="s">
        <v>8</v>
      </c>
      <c r="U34" s="1556">
        <f t="shared" si="13"/>
        <v>100</v>
      </c>
      <c r="V34" s="1555" t="s">
        <v>8</v>
      </c>
      <c r="W34" s="1556">
        <f t="shared" si="14"/>
        <v>100</v>
      </c>
      <c r="X34" s="1557"/>
      <c r="Y34" s="3405"/>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5" t="s">
        <v>550</v>
      </c>
      <c r="Q35" s="1559" t="str">
        <f t="shared" si="11"/>
        <v>市政基础设施</v>
      </c>
      <c r="R35" s="1560" t="s">
        <v>8</v>
      </c>
      <c r="S35" s="1561">
        <f t="shared" si="12"/>
        <v>100</v>
      </c>
      <c r="T35" s="1560" t="s">
        <v>8</v>
      </c>
      <c r="U35" s="1561">
        <f t="shared" si="13"/>
        <v>100</v>
      </c>
      <c r="V35" s="1560" t="s">
        <v>8</v>
      </c>
      <c r="W35" s="1561">
        <f t="shared" si="14"/>
        <v>100</v>
      </c>
      <c r="X35" s="1554"/>
      <c r="Y35" s="3405"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5"/>
      <c r="Q36" s="1559" t="str">
        <f t="shared" si="11"/>
        <v>内部装修</v>
      </c>
      <c r="R36" s="1560" t="s">
        <v>8</v>
      </c>
      <c r="S36" s="1561">
        <f t="shared" si="12"/>
        <v>100</v>
      </c>
      <c r="T36" s="1560" t="s">
        <v>8</v>
      </c>
      <c r="U36" s="1561">
        <f t="shared" si="13"/>
        <v>100</v>
      </c>
      <c r="V36" s="1560" t="s">
        <v>8</v>
      </c>
      <c r="W36" s="1561">
        <f t="shared" si="14"/>
        <v>100</v>
      </c>
      <c r="X36" s="1554"/>
      <c r="Y36" s="3405"/>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5"/>
      <c r="Q37" s="1559" t="str">
        <f t="shared" si="11"/>
        <v>内部装修状况</v>
      </c>
      <c r="R37" s="1560" t="s">
        <v>8</v>
      </c>
      <c r="S37" s="1561">
        <f t="shared" si="12"/>
        <v>100</v>
      </c>
      <c r="T37" s="1560" t="s">
        <v>8</v>
      </c>
      <c r="U37" s="1561">
        <f t="shared" si="13"/>
        <v>100</v>
      </c>
      <c r="V37" s="1560" t="s">
        <v>8</v>
      </c>
      <c r="W37" s="1561">
        <f t="shared" si="14"/>
        <v>100</v>
      </c>
      <c r="X37" s="1554"/>
      <c r="Y37" s="340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5"/>
      <c r="Q38" s="1591">
        <f t="shared" si="11"/>
        <v>111</v>
      </c>
      <c r="R38" s="1564" t="s">
        <v>8</v>
      </c>
      <c r="S38" s="1565">
        <f t="shared" si="12"/>
        <v>100</v>
      </c>
      <c r="T38" s="1564" t="s">
        <v>8</v>
      </c>
      <c r="U38" s="1565">
        <f t="shared" si="13"/>
        <v>100</v>
      </c>
      <c r="V38" s="1564" t="s">
        <v>8</v>
      </c>
      <c r="W38" s="1565">
        <f t="shared" si="14"/>
        <v>100</v>
      </c>
      <c r="X38" s="1566"/>
      <c r="Y38" s="340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5"/>
      <c r="Q39" s="1559">
        <f t="shared" si="11"/>
        <v>111</v>
      </c>
      <c r="R39" s="1560" t="s">
        <v>8</v>
      </c>
      <c r="S39" s="1561">
        <f t="shared" si="12"/>
        <v>100</v>
      </c>
      <c r="T39" s="1560" t="s">
        <v>8</v>
      </c>
      <c r="U39" s="1561">
        <f t="shared" si="13"/>
        <v>100</v>
      </c>
      <c r="V39" s="1560" t="s">
        <v>8</v>
      </c>
      <c r="W39" s="1561">
        <f t="shared" si="14"/>
        <v>100</v>
      </c>
      <c r="X39" s="1554"/>
      <c r="Y39" s="340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4"/>
      <c r="Q40" s="1559">
        <f t="shared" si="11"/>
        <v>111</v>
      </c>
      <c r="R40" s="1560" t="s">
        <v>8</v>
      </c>
      <c r="S40" s="1561">
        <f t="shared" si="12"/>
        <v>100</v>
      </c>
      <c r="T40" s="1560" t="s">
        <v>8</v>
      </c>
      <c r="U40" s="1561">
        <f t="shared" si="13"/>
        <v>100</v>
      </c>
      <c r="V40" s="1560" t="s">
        <v>8</v>
      </c>
      <c r="W40" s="1561">
        <f t="shared" si="14"/>
        <v>100</v>
      </c>
      <c r="X40" s="1554"/>
      <c r="Y40" s="3484"/>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483">
        <f>E41</f>
        <v>0</v>
      </c>
      <c r="S41" s="3483"/>
      <c r="T41" s="3483">
        <f>G41</f>
        <v>0</v>
      </c>
      <c r="U41" s="3483"/>
      <c r="V41" s="3483">
        <f>I41</f>
        <v>0</v>
      </c>
      <c r="W41" s="3483"/>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422" t="str">
        <f>A43</f>
        <v>估价对象XX用房的比较价格（楼面单价，元/平方米）</v>
      </c>
      <c r="Q43" s="3423"/>
      <c r="R43" s="3482" t="e">
        <f>IF(F1="售价",ROUND(AVERAGE(R42:V42),0),ROUND(AVERAGE(R42:V42),1))</f>
        <v>#DIV/0!</v>
      </c>
      <c r="S43" s="3482"/>
      <c r="T43" s="3482"/>
      <c r="U43" s="3482"/>
      <c r="V43" s="3482"/>
      <c r="W43" s="3482"/>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394" t="s">
        <v>799</v>
      </c>
      <c r="S4" s="3395"/>
      <c r="T4" s="3394" t="s">
        <v>800</v>
      </c>
      <c r="U4" s="3395"/>
      <c r="V4" s="3414" t="s">
        <v>801</v>
      </c>
      <c r="W4" s="3414"/>
      <c r="X4" s="1554"/>
      <c r="Y4" s="3394" t="s">
        <v>803</v>
      </c>
      <c r="Z4" s="3395"/>
      <c r="AA4" s="3389" t="s">
        <v>799</v>
      </c>
      <c r="AB4" s="3390" t="s">
        <v>800</v>
      </c>
      <c r="AC4" s="3389" t="s">
        <v>801</v>
      </c>
    </row>
    <row r="5" spans="1:29" ht="15">
      <c r="A5" s="515"/>
      <c r="B5" s="516"/>
      <c r="C5" s="3417" t="s">
        <v>2920</v>
      </c>
      <c r="D5" s="3418"/>
      <c r="E5" s="3417" t="s">
        <v>2921</v>
      </c>
      <c r="F5" s="3418"/>
      <c r="G5" s="3417" t="s">
        <v>2922</v>
      </c>
      <c r="H5" s="3418"/>
      <c r="I5" s="3417" t="s">
        <v>2923</v>
      </c>
      <c r="J5" s="3418"/>
      <c r="K5" s="514"/>
      <c r="L5" s="2119"/>
      <c r="M5" s="2120"/>
      <c r="N5" s="2120"/>
      <c r="O5" s="2120"/>
      <c r="P5" s="3410"/>
      <c r="Q5" s="3411"/>
      <c r="R5" s="3396"/>
      <c r="S5" s="3397"/>
      <c r="T5" s="3396"/>
      <c r="U5" s="3397"/>
      <c r="V5" s="3414"/>
      <c r="W5" s="3414"/>
      <c r="X5" s="1554"/>
      <c r="Y5" s="3396"/>
      <c r="Z5" s="3397"/>
      <c r="AA5" s="3390"/>
      <c r="AB5" s="3390"/>
      <c r="AC5" s="3390"/>
    </row>
    <row r="6" spans="1:29" ht="15.75" thickBot="1">
      <c r="A6" s="517"/>
      <c r="B6" s="518"/>
      <c r="C6" s="3415" t="s">
        <v>2924</v>
      </c>
      <c r="D6" s="3416"/>
      <c r="E6" s="3419" t="s">
        <v>2924</v>
      </c>
      <c r="F6" s="3420"/>
      <c r="G6" s="3415" t="s">
        <v>2924</v>
      </c>
      <c r="H6" s="3416"/>
      <c r="I6" s="3415" t="s">
        <v>2924</v>
      </c>
      <c r="J6" s="3416"/>
      <c r="K6" s="514" t="s">
        <v>528</v>
      </c>
      <c r="L6" s="2119"/>
      <c r="M6" s="2120"/>
      <c r="N6" s="2120"/>
      <c r="O6" s="2120"/>
      <c r="P6" s="3412"/>
      <c r="Q6" s="3413"/>
      <c r="R6" s="3396"/>
      <c r="S6" s="3397"/>
      <c r="T6" s="3398"/>
      <c r="U6" s="3399"/>
      <c r="V6" s="3414"/>
      <c r="W6" s="3414"/>
      <c r="X6" s="1554"/>
      <c r="Y6" s="3398"/>
      <c r="Z6" s="3399"/>
      <c r="AA6" s="3391"/>
      <c r="AB6" s="3391"/>
      <c r="AC6" s="3391"/>
    </row>
    <row r="7" spans="1:29" s="1216" customFormat="1" ht="15.7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2" t="s">
        <v>530</v>
      </c>
      <c r="Q7" s="3401"/>
      <c r="R7" s="1555" t="s">
        <v>8</v>
      </c>
      <c r="S7" s="1556">
        <f t="shared" ref="S7:S14" si="0">F7</f>
        <v>0</v>
      </c>
      <c r="T7" s="1555" t="s">
        <v>8</v>
      </c>
      <c r="U7" s="1556">
        <f t="shared" ref="U7:U14" si="1">H7</f>
        <v>0</v>
      </c>
      <c r="V7" s="1555" t="s">
        <v>8</v>
      </c>
      <c r="W7" s="1556">
        <f t="shared" ref="W7:W14"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2" t="s">
        <v>540</v>
      </c>
      <c r="Q14" s="1559" t="str">
        <f t="shared" si="6"/>
        <v>交通便捷度</v>
      </c>
      <c r="R14" s="1560" t="s">
        <v>8</v>
      </c>
      <c r="S14" s="1561">
        <f t="shared" si="0"/>
        <v>100</v>
      </c>
      <c r="T14" s="1560" t="s">
        <v>8</v>
      </c>
      <c r="U14" s="1561">
        <f t="shared" si="1"/>
        <v>100</v>
      </c>
      <c r="V14" s="1560" t="s">
        <v>8</v>
      </c>
      <c r="W14" s="1561">
        <f t="shared" si="2"/>
        <v>100</v>
      </c>
      <c r="X14" s="1554"/>
      <c r="Y14" s="3402"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3"/>
      <c r="Q15" s="1559"/>
      <c r="R15" s="1560"/>
      <c r="S15" s="1561"/>
      <c r="T15" s="1560"/>
      <c r="U15" s="1561"/>
      <c r="V15" s="1560"/>
      <c r="W15" s="1561"/>
      <c r="X15" s="1554"/>
      <c r="Y15" s="3403"/>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3"/>
      <c r="Q16" s="1559" t="str">
        <f>B16</f>
        <v>公共配套设施</v>
      </c>
      <c r="R16" s="1560" t="s">
        <v>8</v>
      </c>
      <c r="S16" s="1561">
        <f>F16</f>
        <v>100</v>
      </c>
      <c r="T16" s="1560" t="s">
        <v>8</v>
      </c>
      <c r="U16" s="1561">
        <f>H16</f>
        <v>100</v>
      </c>
      <c r="V16" s="1560" t="s">
        <v>8</v>
      </c>
      <c r="W16" s="1561">
        <f>J16</f>
        <v>100</v>
      </c>
      <c r="X16" s="1554"/>
      <c r="Y16" s="340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3"/>
      <c r="Q17" s="1559"/>
      <c r="R17" s="1560"/>
      <c r="S17" s="1561"/>
      <c r="T17" s="1560"/>
      <c r="U17" s="1561"/>
      <c r="V17" s="1560"/>
      <c r="W17" s="1561"/>
      <c r="X17" s="1554"/>
      <c r="Y17" s="3403"/>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3"/>
      <c r="Q18" s="2544" t="str">
        <f>B18</f>
        <v>基础设施水平</v>
      </c>
      <c r="R18" s="1560" t="s">
        <v>8</v>
      </c>
      <c r="S18" s="1561">
        <f>F18</f>
        <v>100</v>
      </c>
      <c r="T18" s="1560" t="s">
        <v>8</v>
      </c>
      <c r="U18" s="1561">
        <f>H18</f>
        <v>100</v>
      </c>
      <c r="V18" s="1560" t="s">
        <v>8</v>
      </c>
      <c r="W18" s="1561">
        <f>J18</f>
        <v>100</v>
      </c>
      <c r="X18" s="2546"/>
      <c r="Y18" s="340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3"/>
      <c r="Q19" s="2544"/>
      <c r="R19" s="1560"/>
      <c r="S19" s="1561"/>
      <c r="T19" s="1560"/>
      <c r="U19" s="1561"/>
      <c r="V19" s="1560"/>
      <c r="W19" s="1561"/>
      <c r="X19" s="2546"/>
      <c r="Y19" s="3403"/>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3"/>
      <c r="Q20" s="1559" t="str">
        <f>B20</f>
        <v>自然及人文环境</v>
      </c>
      <c r="R20" s="1560" t="s">
        <v>8</v>
      </c>
      <c r="S20" s="1561">
        <f>F20</f>
        <v>100</v>
      </c>
      <c r="T20" s="1560" t="s">
        <v>8</v>
      </c>
      <c r="U20" s="1561">
        <f>H20</f>
        <v>100</v>
      </c>
      <c r="V20" s="1560" t="s">
        <v>8</v>
      </c>
      <c r="W20" s="1561">
        <f>J20</f>
        <v>100</v>
      </c>
      <c r="X20" s="1554"/>
      <c r="Y20" s="340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3"/>
      <c r="Q21" s="1559"/>
      <c r="R21" s="1560"/>
      <c r="S21" s="1561"/>
      <c r="T21" s="1560"/>
      <c r="U21" s="1561"/>
      <c r="V21" s="1560"/>
      <c r="W21" s="1561"/>
      <c r="X21" s="1554"/>
      <c r="Y21" s="3403"/>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3"/>
      <c r="Q22" s="1559" t="str">
        <f>B22</f>
        <v>楼层</v>
      </c>
      <c r="R22" s="1560" t="s">
        <v>8</v>
      </c>
      <c r="S22" s="1561">
        <f>F22</f>
        <v>100</v>
      </c>
      <c r="T22" s="1560" t="s">
        <v>8</v>
      </c>
      <c r="U22" s="1561">
        <f>H22</f>
        <v>100</v>
      </c>
      <c r="V22" s="1560" t="s">
        <v>8</v>
      </c>
      <c r="W22" s="1561">
        <f>J22</f>
        <v>100</v>
      </c>
      <c r="X22" s="1554"/>
      <c r="Y22" s="340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3"/>
      <c r="Q23" s="1559">
        <f>B23</f>
        <v>111</v>
      </c>
      <c r="R23" s="1560" t="s">
        <v>8</v>
      </c>
      <c r="S23" s="1561">
        <f>F23</f>
        <v>100</v>
      </c>
      <c r="T23" s="1560" t="s">
        <v>8</v>
      </c>
      <c r="U23" s="1561">
        <f>H23</f>
        <v>100</v>
      </c>
      <c r="V23" s="1560" t="s">
        <v>8</v>
      </c>
      <c r="W23" s="1561">
        <f>J23</f>
        <v>100</v>
      </c>
      <c r="X23" s="1554"/>
      <c r="Y23" s="340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3"/>
      <c r="Q24" s="1559">
        <f t="shared" ref="Q24:Q36" si="11">B24</f>
        <v>111</v>
      </c>
      <c r="R24" s="1560" t="s">
        <v>8</v>
      </c>
      <c r="S24" s="1561">
        <f>F24</f>
        <v>100</v>
      </c>
      <c r="T24" s="1560" t="s">
        <v>8</v>
      </c>
      <c r="U24" s="1561">
        <f>H24</f>
        <v>100</v>
      </c>
      <c r="V24" s="1560" t="s">
        <v>8</v>
      </c>
      <c r="W24" s="1561">
        <f>J24</f>
        <v>100</v>
      </c>
      <c r="X24" s="1554"/>
      <c r="Y24" s="340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3"/>
      <c r="Q25" s="1147">
        <f t="shared" si="11"/>
        <v>111</v>
      </c>
      <c r="R25" s="1555" t="s">
        <v>8</v>
      </c>
      <c r="S25" s="1556">
        <f>F25</f>
        <v>100</v>
      </c>
      <c r="T25" s="1555" t="s">
        <v>8</v>
      </c>
      <c r="U25" s="1556">
        <f>H25</f>
        <v>100</v>
      </c>
      <c r="V25" s="1555" t="s">
        <v>8</v>
      </c>
      <c r="W25" s="1556">
        <f>J25</f>
        <v>100</v>
      </c>
      <c r="X25" s="1557"/>
      <c r="Y25" s="3403"/>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4"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5"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5"/>
      <c r="Q27" s="1591" t="str">
        <f t="shared" si="11"/>
        <v>项目停车位配比</v>
      </c>
      <c r="R27" s="1564" t="s">
        <v>8</v>
      </c>
      <c r="S27" s="1565">
        <f t="shared" si="12"/>
        <v>100</v>
      </c>
      <c r="T27" s="1564" t="s">
        <v>8</v>
      </c>
      <c r="U27" s="1565">
        <f t="shared" si="13"/>
        <v>100</v>
      </c>
      <c r="V27" s="1564" t="s">
        <v>8</v>
      </c>
      <c r="W27" s="1565">
        <f t="shared" si="14"/>
        <v>100</v>
      </c>
      <c r="X27" s="1566"/>
      <c r="Y27" s="3405"/>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5"/>
      <c r="Q28" s="1559" t="str">
        <f t="shared" si="11"/>
        <v>公共部分装修</v>
      </c>
      <c r="R28" s="1560" t="s">
        <v>8</v>
      </c>
      <c r="S28" s="1561">
        <f t="shared" si="12"/>
        <v>100</v>
      </c>
      <c r="T28" s="1560" t="s">
        <v>8</v>
      </c>
      <c r="U28" s="1561">
        <f t="shared" si="13"/>
        <v>100</v>
      </c>
      <c r="V28" s="1560" t="s">
        <v>8</v>
      </c>
      <c r="W28" s="1561">
        <f t="shared" si="14"/>
        <v>100</v>
      </c>
      <c r="X28" s="1554"/>
      <c r="Y28" s="3405"/>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5"/>
      <c r="Q29" s="1559" t="str">
        <f t="shared" si="11"/>
        <v>成新率</v>
      </c>
      <c r="R29" s="1560" t="s">
        <v>8</v>
      </c>
      <c r="S29" s="1561" t="e">
        <f t="shared" si="12"/>
        <v>#N/A</v>
      </c>
      <c r="T29" s="1560" t="s">
        <v>8</v>
      </c>
      <c r="U29" s="1561" t="e">
        <f t="shared" si="13"/>
        <v>#N/A</v>
      </c>
      <c r="V29" s="1560" t="s">
        <v>8</v>
      </c>
      <c r="W29" s="1561" t="e">
        <f t="shared" si="14"/>
        <v>#N/A</v>
      </c>
      <c r="X29" s="1554"/>
      <c r="Y29" s="3405"/>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5"/>
      <c r="Q30" s="1559" t="str">
        <f t="shared" si="11"/>
        <v>物业等级</v>
      </c>
      <c r="R30" s="1560" t="s">
        <v>8</v>
      </c>
      <c r="S30" s="1561">
        <f t="shared" si="12"/>
        <v>100</v>
      </c>
      <c r="T30" s="1560" t="s">
        <v>8</v>
      </c>
      <c r="U30" s="1561">
        <f t="shared" si="13"/>
        <v>100</v>
      </c>
      <c r="V30" s="1560" t="s">
        <v>8</v>
      </c>
      <c r="W30" s="1561">
        <f t="shared" si="14"/>
        <v>100</v>
      </c>
      <c r="X30" s="1554"/>
      <c r="Y30" s="3405"/>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5"/>
      <c r="Q31" s="1147" t="str">
        <f t="shared" si="11"/>
        <v>停车位面积</v>
      </c>
      <c r="R31" s="1555" t="s">
        <v>8</v>
      </c>
      <c r="S31" s="1556" t="e">
        <f t="shared" si="12"/>
        <v>#N/A</v>
      </c>
      <c r="T31" s="1555" t="s">
        <v>8</v>
      </c>
      <c r="U31" s="1556" t="e">
        <f t="shared" si="13"/>
        <v>#N/A</v>
      </c>
      <c r="V31" s="1555" t="s">
        <v>8</v>
      </c>
      <c r="W31" s="1556" t="e">
        <f t="shared" si="14"/>
        <v>#N/A</v>
      </c>
      <c r="X31" s="1557"/>
      <c r="Y31" s="3405"/>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5" t="s">
        <v>550</v>
      </c>
      <c r="Q32" s="1559" t="str">
        <f t="shared" si="11"/>
        <v>车位类型</v>
      </c>
      <c r="R32" s="1560" t="s">
        <v>8</v>
      </c>
      <c r="S32" s="1561">
        <f t="shared" si="12"/>
        <v>100</v>
      </c>
      <c r="T32" s="1560" t="s">
        <v>8</v>
      </c>
      <c r="U32" s="1561">
        <f t="shared" si="13"/>
        <v>100</v>
      </c>
      <c r="V32" s="1560" t="s">
        <v>8</v>
      </c>
      <c r="W32" s="1561">
        <f t="shared" si="14"/>
        <v>100</v>
      </c>
      <c r="X32" s="1554"/>
      <c r="Y32" s="3405"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5"/>
      <c r="Q33" s="1559" t="str">
        <f t="shared" si="11"/>
        <v>是否直接入户</v>
      </c>
      <c r="R33" s="1560" t="s">
        <v>8</v>
      </c>
      <c r="S33" s="1561">
        <f t="shared" si="12"/>
        <v>100</v>
      </c>
      <c r="T33" s="1560" t="s">
        <v>8</v>
      </c>
      <c r="U33" s="1561">
        <f t="shared" si="13"/>
        <v>100</v>
      </c>
      <c r="V33" s="1560" t="s">
        <v>8</v>
      </c>
      <c r="W33" s="1561">
        <f t="shared" si="14"/>
        <v>100</v>
      </c>
      <c r="X33" s="1554"/>
      <c r="Y33" s="340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5"/>
      <c r="Q34" s="1559">
        <f t="shared" si="11"/>
        <v>111</v>
      </c>
      <c r="R34" s="1560" t="s">
        <v>8</v>
      </c>
      <c r="S34" s="1561">
        <f t="shared" si="12"/>
        <v>100</v>
      </c>
      <c r="T34" s="1560" t="s">
        <v>8</v>
      </c>
      <c r="U34" s="1561">
        <f t="shared" si="13"/>
        <v>100</v>
      </c>
      <c r="V34" s="1560" t="s">
        <v>8</v>
      </c>
      <c r="W34" s="1561">
        <f t="shared" si="14"/>
        <v>100</v>
      </c>
      <c r="X34" s="1554"/>
      <c r="Y34" s="340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5"/>
      <c r="Q35" s="1591">
        <f t="shared" si="11"/>
        <v>111</v>
      </c>
      <c r="R35" s="1564" t="s">
        <v>8</v>
      </c>
      <c r="S35" s="1565">
        <f t="shared" si="12"/>
        <v>100</v>
      </c>
      <c r="T35" s="1564" t="s">
        <v>8</v>
      </c>
      <c r="U35" s="1565">
        <f t="shared" si="13"/>
        <v>100</v>
      </c>
      <c r="V35" s="1564" t="s">
        <v>8</v>
      </c>
      <c r="W35" s="1565">
        <f t="shared" si="14"/>
        <v>100</v>
      </c>
      <c r="X35" s="1566"/>
      <c r="Y35" s="340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5"/>
      <c r="Q36" s="1559">
        <f t="shared" si="11"/>
        <v>111</v>
      </c>
      <c r="R36" s="1560" t="s">
        <v>8</v>
      </c>
      <c r="S36" s="1561">
        <f t="shared" si="12"/>
        <v>100</v>
      </c>
      <c r="T36" s="1560" t="s">
        <v>8</v>
      </c>
      <c r="U36" s="1561">
        <f t="shared" si="13"/>
        <v>100</v>
      </c>
      <c r="V36" s="1560" t="s">
        <v>8</v>
      </c>
      <c r="W36" s="1561">
        <f t="shared" si="14"/>
        <v>100</v>
      </c>
      <c r="X36" s="1554"/>
      <c r="Y36" s="3405"/>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400" t="str">
        <f>A37</f>
        <v>成交单价</v>
      </c>
      <c r="Q37" s="3400"/>
      <c r="R37" s="3483">
        <f>E37</f>
        <v>0</v>
      </c>
      <c r="S37" s="3483"/>
      <c r="T37" s="3483">
        <f>G37</f>
        <v>0</v>
      </c>
      <c r="U37" s="3483"/>
      <c r="V37" s="3483">
        <f>I37</f>
        <v>0</v>
      </c>
      <c r="W37" s="3483"/>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422" t="str">
        <f>A39</f>
        <v>估价对象XX用房的比较价格（楼面单价，元/平方米）</v>
      </c>
      <c r="Q39" s="3423"/>
      <c r="R39" s="3482" t="e">
        <f>IF(F1="售价",ROUND(AVERAGE(R38:V38),0),ROUND(AVERAGE(R38:V38),1))</f>
        <v>#DIV/0!</v>
      </c>
      <c r="S39" s="3482"/>
      <c r="T39" s="3482"/>
      <c r="U39" s="3482"/>
      <c r="V39" s="3482"/>
      <c r="W39" s="3482"/>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6" t="s">
        <v>798</v>
      </c>
      <c r="D4" s="3407"/>
      <c r="E4" s="3431" t="s">
        <v>799</v>
      </c>
      <c r="F4" s="3432"/>
      <c r="G4" s="3406" t="s">
        <v>800</v>
      </c>
      <c r="H4" s="3407"/>
      <c r="I4" s="3406" t="s">
        <v>801</v>
      </c>
      <c r="J4" s="3407"/>
      <c r="K4" s="514" t="s">
        <v>802</v>
      </c>
      <c r="L4" s="2119"/>
      <c r="M4" s="2120"/>
      <c r="N4" s="2120"/>
      <c r="O4" s="2120"/>
      <c r="P4" s="3408" t="s">
        <v>803</v>
      </c>
      <c r="Q4" s="3409"/>
      <c r="R4" s="3394" t="s">
        <v>799</v>
      </c>
      <c r="S4" s="3395"/>
      <c r="T4" s="3394" t="s">
        <v>800</v>
      </c>
      <c r="U4" s="3395"/>
      <c r="V4" s="3414" t="s">
        <v>801</v>
      </c>
      <c r="W4" s="3414"/>
      <c r="X4" s="1554"/>
      <c r="Y4" s="3394" t="s">
        <v>803</v>
      </c>
      <c r="Z4" s="3395"/>
      <c r="AA4" s="3389" t="s">
        <v>799</v>
      </c>
      <c r="AB4" s="3390" t="s">
        <v>800</v>
      </c>
      <c r="AC4" s="3389" t="s">
        <v>801</v>
      </c>
    </row>
    <row r="5" spans="1:29" ht="15">
      <c r="A5" s="515"/>
      <c r="B5" s="516"/>
      <c r="C5" s="3417" t="s">
        <v>2920</v>
      </c>
      <c r="D5" s="3418"/>
      <c r="E5" s="3433" t="s">
        <v>2921</v>
      </c>
      <c r="F5" s="3434"/>
      <c r="G5" s="3417" t="s">
        <v>2922</v>
      </c>
      <c r="H5" s="3418"/>
      <c r="I5" s="3417" t="s">
        <v>2923</v>
      </c>
      <c r="J5" s="3418"/>
      <c r="K5" s="514"/>
      <c r="L5" s="2119"/>
      <c r="M5" s="2120"/>
      <c r="N5" s="2120"/>
      <c r="O5" s="2120"/>
      <c r="P5" s="3410"/>
      <c r="Q5" s="3411"/>
      <c r="R5" s="3396"/>
      <c r="S5" s="3397"/>
      <c r="T5" s="3396"/>
      <c r="U5" s="3397"/>
      <c r="V5" s="3414"/>
      <c r="W5" s="3414"/>
      <c r="X5" s="1554"/>
      <c r="Y5" s="3396"/>
      <c r="Z5" s="3397"/>
      <c r="AA5" s="3390"/>
      <c r="AB5" s="3390"/>
      <c r="AC5" s="3390"/>
    </row>
    <row r="6" spans="1:29" ht="15.75" thickBot="1">
      <c r="A6" s="517"/>
      <c r="B6" s="518"/>
      <c r="C6" s="3415" t="s">
        <v>2924</v>
      </c>
      <c r="D6" s="3416"/>
      <c r="E6" s="3435" t="s">
        <v>2924</v>
      </c>
      <c r="F6" s="3436"/>
      <c r="G6" s="3415" t="s">
        <v>2924</v>
      </c>
      <c r="H6" s="3416"/>
      <c r="I6" s="3415" t="s">
        <v>2924</v>
      </c>
      <c r="J6" s="3416"/>
      <c r="K6" s="514" t="s">
        <v>528</v>
      </c>
      <c r="L6" s="2119"/>
      <c r="M6" s="2120"/>
      <c r="N6" s="2120"/>
      <c r="O6" s="2120"/>
      <c r="P6" s="3412"/>
      <c r="Q6" s="3413"/>
      <c r="R6" s="3396"/>
      <c r="S6" s="3397"/>
      <c r="T6" s="3398"/>
      <c r="U6" s="3399"/>
      <c r="V6" s="3414"/>
      <c r="W6" s="3414"/>
      <c r="X6" s="1554"/>
      <c r="Y6" s="3398"/>
      <c r="Z6" s="3399"/>
      <c r="AA6" s="3391"/>
      <c r="AB6" s="3391"/>
      <c r="AC6" s="3391"/>
    </row>
    <row r="7" spans="1:29" s="1216" customFormat="1" ht="15.7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2" t="s">
        <v>530</v>
      </c>
      <c r="Q7" s="3401"/>
      <c r="R7" s="1555" t="s">
        <v>8</v>
      </c>
      <c r="S7" s="1556">
        <f t="shared" ref="S7:S14" si="0">F7</f>
        <v>0</v>
      </c>
      <c r="T7" s="1555" t="s">
        <v>8</v>
      </c>
      <c r="U7" s="1556">
        <f t="shared" ref="U7:U14" si="1">H7</f>
        <v>0</v>
      </c>
      <c r="V7" s="1555" t="s">
        <v>8</v>
      </c>
      <c r="W7" s="1556">
        <f t="shared" ref="W7:W14" si="2">J7</f>
        <v>0</v>
      </c>
      <c r="X7" s="1557"/>
      <c r="Y7" s="3392" t="s">
        <v>530</v>
      </c>
      <c r="Z7" s="339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2" t="s">
        <v>540</v>
      </c>
      <c r="Q14" s="1559" t="str">
        <f t="shared" si="6"/>
        <v>交通便捷度</v>
      </c>
      <c r="R14" s="1560" t="s">
        <v>8</v>
      </c>
      <c r="S14" s="1561">
        <f t="shared" si="0"/>
        <v>100</v>
      </c>
      <c r="T14" s="1560" t="s">
        <v>8</v>
      </c>
      <c r="U14" s="1561">
        <f t="shared" si="1"/>
        <v>100</v>
      </c>
      <c r="V14" s="1560" t="s">
        <v>8</v>
      </c>
      <c r="W14" s="1561">
        <f t="shared" si="2"/>
        <v>100</v>
      </c>
      <c r="X14" s="1554"/>
      <c r="Y14" s="3402"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3"/>
      <c r="Q15" s="1559"/>
      <c r="R15" s="1560"/>
      <c r="S15" s="1561"/>
      <c r="T15" s="1560"/>
      <c r="U15" s="1561"/>
      <c r="V15" s="1560"/>
      <c r="W15" s="1561"/>
      <c r="X15" s="1554"/>
      <c r="Y15" s="3403"/>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3"/>
      <c r="Q16" s="1559" t="str">
        <f>B16</f>
        <v>公共配套设施</v>
      </c>
      <c r="R16" s="1560" t="s">
        <v>8</v>
      </c>
      <c r="S16" s="1561">
        <f>F16</f>
        <v>100</v>
      </c>
      <c r="T16" s="1560" t="s">
        <v>8</v>
      </c>
      <c r="U16" s="1561">
        <f>H16</f>
        <v>100</v>
      </c>
      <c r="V16" s="1560" t="s">
        <v>8</v>
      </c>
      <c r="W16" s="1561">
        <f>J16</f>
        <v>100</v>
      </c>
      <c r="X16" s="1554"/>
      <c r="Y16" s="340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3"/>
      <c r="Q17" s="1559"/>
      <c r="R17" s="1560"/>
      <c r="S17" s="1561"/>
      <c r="T17" s="1560"/>
      <c r="U17" s="1561"/>
      <c r="V17" s="1560"/>
      <c r="W17" s="1561"/>
      <c r="X17" s="1554"/>
      <c r="Y17" s="3403"/>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3"/>
      <c r="Q18" s="2544" t="str">
        <f>B18</f>
        <v>基础设施水平</v>
      </c>
      <c r="R18" s="1560" t="s">
        <v>8</v>
      </c>
      <c r="S18" s="1561">
        <f>F18</f>
        <v>100</v>
      </c>
      <c r="T18" s="1560" t="s">
        <v>8</v>
      </c>
      <c r="U18" s="1561">
        <f>H18</f>
        <v>100</v>
      </c>
      <c r="V18" s="1560" t="s">
        <v>8</v>
      </c>
      <c r="W18" s="1561">
        <f>J18</f>
        <v>100</v>
      </c>
      <c r="X18" s="2546"/>
      <c r="Y18" s="340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3"/>
      <c r="Q19" s="2544"/>
      <c r="R19" s="1560"/>
      <c r="S19" s="1561"/>
      <c r="T19" s="1560"/>
      <c r="U19" s="1561"/>
      <c r="V19" s="1560"/>
      <c r="W19" s="1561"/>
      <c r="X19" s="2546"/>
      <c r="Y19" s="3403"/>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3"/>
      <c r="Q20" s="1559" t="str">
        <f>B20</f>
        <v>自然及人文环境</v>
      </c>
      <c r="R20" s="1560" t="s">
        <v>8</v>
      </c>
      <c r="S20" s="1561">
        <f>F20</f>
        <v>100</v>
      </c>
      <c r="T20" s="1560" t="s">
        <v>8</v>
      </c>
      <c r="U20" s="1561">
        <f>H20</f>
        <v>100</v>
      </c>
      <c r="V20" s="1560" t="s">
        <v>8</v>
      </c>
      <c r="W20" s="1561">
        <f>J20</f>
        <v>100</v>
      </c>
      <c r="X20" s="1554"/>
      <c r="Y20" s="340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3"/>
      <c r="Q21" s="1559"/>
      <c r="R21" s="1560"/>
      <c r="S21" s="1561"/>
      <c r="T21" s="1560"/>
      <c r="U21" s="1561"/>
      <c r="V21" s="1560"/>
      <c r="W21" s="1561"/>
      <c r="X21" s="1554"/>
      <c r="Y21" s="3403"/>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3"/>
      <c r="Q22" s="1559" t="str">
        <f>B22</f>
        <v>楼层</v>
      </c>
      <c r="R22" s="1560" t="s">
        <v>8</v>
      </c>
      <c r="S22" s="1561">
        <f>F22</f>
        <v>100</v>
      </c>
      <c r="T22" s="1560" t="s">
        <v>8</v>
      </c>
      <c r="U22" s="1561">
        <f>H22</f>
        <v>100</v>
      </c>
      <c r="V22" s="1560" t="s">
        <v>8</v>
      </c>
      <c r="W22" s="1561">
        <f>J22</f>
        <v>100</v>
      </c>
      <c r="X22" s="1554"/>
      <c r="Y22" s="340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3"/>
      <c r="Q23" s="1559">
        <f>B23</f>
        <v>111</v>
      </c>
      <c r="R23" s="1560" t="s">
        <v>8</v>
      </c>
      <c r="S23" s="1561">
        <f>F23</f>
        <v>100</v>
      </c>
      <c r="T23" s="1560" t="s">
        <v>8</v>
      </c>
      <c r="U23" s="1561">
        <f>H23</f>
        <v>100</v>
      </c>
      <c r="V23" s="1560" t="s">
        <v>8</v>
      </c>
      <c r="W23" s="1561">
        <f>J23</f>
        <v>100</v>
      </c>
      <c r="X23" s="1554"/>
      <c r="Y23" s="340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3"/>
      <c r="Q24" s="1559">
        <f t="shared" ref="Q24:Q34" si="11">B24</f>
        <v>111</v>
      </c>
      <c r="R24" s="1560" t="s">
        <v>8</v>
      </c>
      <c r="S24" s="1561">
        <f>F24</f>
        <v>100</v>
      </c>
      <c r="T24" s="1560" t="s">
        <v>8</v>
      </c>
      <c r="U24" s="1561">
        <f>H24</f>
        <v>100</v>
      </c>
      <c r="V24" s="1560" t="s">
        <v>8</v>
      </c>
      <c r="W24" s="1561">
        <f>J24</f>
        <v>100</v>
      </c>
      <c r="X24" s="1554"/>
      <c r="Y24" s="340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3"/>
      <c r="Q25" s="1147">
        <f t="shared" si="11"/>
        <v>111</v>
      </c>
      <c r="R25" s="1555" t="s">
        <v>8</v>
      </c>
      <c r="S25" s="1556">
        <f>F25</f>
        <v>100</v>
      </c>
      <c r="T25" s="1555" t="s">
        <v>8</v>
      </c>
      <c r="U25" s="1556">
        <f>H25</f>
        <v>100</v>
      </c>
      <c r="V25" s="1555" t="s">
        <v>8</v>
      </c>
      <c r="W25" s="1556">
        <f>J25</f>
        <v>100</v>
      </c>
      <c r="X25" s="1557"/>
      <c r="Y25" s="3403"/>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4"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5"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5"/>
      <c r="Q27" s="1591" t="str">
        <f t="shared" si="11"/>
        <v>成新率</v>
      </c>
      <c r="R27" s="1564" t="s">
        <v>8</v>
      </c>
      <c r="S27" s="1565" t="e">
        <f t="shared" si="12"/>
        <v>#N/A</v>
      </c>
      <c r="T27" s="1564" t="s">
        <v>8</v>
      </c>
      <c r="U27" s="1565" t="e">
        <f t="shared" si="13"/>
        <v>#N/A</v>
      </c>
      <c r="V27" s="1564" t="s">
        <v>8</v>
      </c>
      <c r="W27" s="1565" t="e">
        <f t="shared" si="14"/>
        <v>#N/A</v>
      </c>
      <c r="X27" s="1566"/>
      <c r="Y27" s="3405"/>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5"/>
      <c r="Q28" s="1559" t="str">
        <f t="shared" si="11"/>
        <v>物业等级</v>
      </c>
      <c r="R28" s="1560" t="s">
        <v>8</v>
      </c>
      <c r="S28" s="1561">
        <f t="shared" si="12"/>
        <v>100</v>
      </c>
      <c r="T28" s="1560" t="s">
        <v>8</v>
      </c>
      <c r="U28" s="1561">
        <f t="shared" si="13"/>
        <v>100</v>
      </c>
      <c r="V28" s="1560" t="s">
        <v>8</v>
      </c>
      <c r="W28" s="1561">
        <f t="shared" si="14"/>
        <v>100</v>
      </c>
      <c r="X28" s="1554"/>
      <c r="Y28" s="3405"/>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5"/>
      <c r="Q29" s="1559" t="str">
        <f t="shared" si="11"/>
        <v>有无电梯</v>
      </c>
      <c r="R29" s="1560" t="s">
        <v>8</v>
      </c>
      <c r="S29" s="1561">
        <f t="shared" si="12"/>
        <v>100</v>
      </c>
      <c r="T29" s="1560" t="s">
        <v>8</v>
      </c>
      <c r="U29" s="1561">
        <f t="shared" si="13"/>
        <v>100</v>
      </c>
      <c r="V29" s="1560" t="s">
        <v>8</v>
      </c>
      <c r="W29" s="1561">
        <f t="shared" si="14"/>
        <v>100</v>
      </c>
      <c r="X29" s="1554"/>
      <c r="Y29" s="3405"/>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5"/>
      <c r="Q30" s="1559" t="str">
        <f t="shared" si="11"/>
        <v>建筑面积</v>
      </c>
      <c r="R30" s="1560" t="s">
        <v>8</v>
      </c>
      <c r="S30" s="1561" t="e">
        <f t="shared" si="12"/>
        <v>#N/A</v>
      </c>
      <c r="T30" s="1560" t="s">
        <v>8</v>
      </c>
      <c r="U30" s="1561" t="e">
        <f t="shared" si="13"/>
        <v>#N/A</v>
      </c>
      <c r="V30" s="1560" t="s">
        <v>8</v>
      </c>
      <c r="W30" s="1561" t="e">
        <f t="shared" si="14"/>
        <v>#N/A</v>
      </c>
      <c r="X30" s="1554"/>
      <c r="Y30" s="3405"/>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5"/>
      <c r="Q31" s="1147" t="str">
        <f t="shared" si="11"/>
        <v>是否封闭</v>
      </c>
      <c r="R31" s="1555" t="s">
        <v>8</v>
      </c>
      <c r="S31" s="1556">
        <f t="shared" si="12"/>
        <v>100</v>
      </c>
      <c r="T31" s="1555" t="s">
        <v>8</v>
      </c>
      <c r="U31" s="1556">
        <f t="shared" si="13"/>
        <v>100</v>
      </c>
      <c r="V31" s="1555" t="s">
        <v>8</v>
      </c>
      <c r="W31" s="1556">
        <f t="shared" si="14"/>
        <v>100</v>
      </c>
      <c r="X31" s="1557"/>
      <c r="Y31" s="340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5" t="s">
        <v>550</v>
      </c>
      <c r="Q32" s="1559">
        <f t="shared" si="11"/>
        <v>111</v>
      </c>
      <c r="R32" s="1560" t="s">
        <v>8</v>
      </c>
      <c r="S32" s="1561">
        <f t="shared" si="12"/>
        <v>100</v>
      </c>
      <c r="T32" s="1560" t="s">
        <v>8</v>
      </c>
      <c r="U32" s="1561">
        <f t="shared" si="13"/>
        <v>100</v>
      </c>
      <c r="V32" s="1560" t="s">
        <v>8</v>
      </c>
      <c r="W32" s="1561">
        <f t="shared" si="14"/>
        <v>100</v>
      </c>
      <c r="X32" s="1554"/>
      <c r="Y32" s="3405"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5"/>
      <c r="Q33" s="1559">
        <f t="shared" si="11"/>
        <v>111</v>
      </c>
      <c r="R33" s="1560" t="s">
        <v>8</v>
      </c>
      <c r="S33" s="1561">
        <f t="shared" si="12"/>
        <v>100</v>
      </c>
      <c r="T33" s="1560" t="s">
        <v>8</v>
      </c>
      <c r="U33" s="1561">
        <f t="shared" si="13"/>
        <v>100</v>
      </c>
      <c r="V33" s="1560" t="s">
        <v>8</v>
      </c>
      <c r="W33" s="1561">
        <f t="shared" si="14"/>
        <v>100</v>
      </c>
      <c r="X33" s="1554"/>
      <c r="Y33" s="340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5"/>
      <c r="Q34" s="1559">
        <f t="shared" si="11"/>
        <v>111</v>
      </c>
      <c r="R34" s="1560" t="s">
        <v>8</v>
      </c>
      <c r="S34" s="1561">
        <f t="shared" si="12"/>
        <v>100</v>
      </c>
      <c r="T34" s="1560" t="s">
        <v>8</v>
      </c>
      <c r="U34" s="1561">
        <f t="shared" si="13"/>
        <v>100</v>
      </c>
      <c r="V34" s="1560" t="s">
        <v>8</v>
      </c>
      <c r="W34" s="1561">
        <f t="shared" si="14"/>
        <v>100</v>
      </c>
      <c r="X34" s="1554"/>
      <c r="Y34" s="3405"/>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483">
        <f>E35</f>
        <v>0</v>
      </c>
      <c r="S35" s="3483"/>
      <c r="T35" s="3483">
        <f>G35</f>
        <v>0</v>
      </c>
      <c r="U35" s="3483"/>
      <c r="V35" s="3483">
        <f>I35</f>
        <v>0</v>
      </c>
      <c r="W35" s="3483"/>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422" t="str">
        <f>A37</f>
        <v>估价对象XX用房的比较价格（楼面单价，元/平方米）</v>
      </c>
      <c r="Q37" s="3423"/>
      <c r="R37" s="3482" t="e">
        <f>IF(F1="售价",ROUND(AVERAGE(R36:V36),0),ROUND(AVERAGE(R36:V36),1))</f>
        <v>#DIV/0!</v>
      </c>
      <c r="S37" s="3482"/>
      <c r="T37" s="3482"/>
      <c r="U37" s="3482"/>
      <c r="V37" s="3482"/>
      <c r="W37" s="3482"/>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2745</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opLeftCell="F1" workbookViewId="0">
      <selection activeCell="G23" sqref="G23"/>
    </sheetView>
  </sheetViews>
  <sheetFormatPr defaultRowHeight="13.5"/>
  <cols>
    <col min="1" max="1" width="5.25" bestFit="1" customWidth="1"/>
    <col min="2" max="2" width="37.75" bestFit="1" customWidth="1"/>
    <col min="5" max="5" width="13" bestFit="1" customWidth="1"/>
    <col min="6" max="6" width="7.125" bestFit="1" customWidth="1"/>
    <col min="7" max="7" width="10.5" bestFit="1" customWidth="1"/>
    <col min="8" max="9" width="7.125" bestFit="1" customWidth="1"/>
  </cols>
  <sheetData>
    <row r="1" spans="1:10">
      <c r="A1" s="3184" t="s">
        <v>2988</v>
      </c>
      <c r="B1" s="3184" t="s">
        <v>2989</v>
      </c>
      <c r="C1" s="3184" t="s">
        <v>2990</v>
      </c>
      <c r="D1" s="3184" t="s">
        <v>2991</v>
      </c>
      <c r="E1" s="3184" t="s">
        <v>2992</v>
      </c>
      <c r="F1" s="3184" t="s">
        <v>2993</v>
      </c>
      <c r="G1" s="3185" t="s">
        <v>2994</v>
      </c>
      <c r="H1" s="3185" t="s">
        <v>2995</v>
      </c>
      <c r="I1" s="3185" t="s">
        <v>2996</v>
      </c>
    </row>
    <row r="2" spans="1:10">
      <c r="A2" s="3184">
        <v>1</v>
      </c>
      <c r="B2" s="3213" t="s">
        <v>3232</v>
      </c>
      <c r="C2" s="3184" t="s">
        <v>2997</v>
      </c>
      <c r="D2" s="3184">
        <v>71608</v>
      </c>
      <c r="E2" s="3184">
        <v>78769.05</v>
      </c>
      <c r="F2" s="3184">
        <v>1.1000000000000001</v>
      </c>
      <c r="G2" s="3186">
        <v>14321.6</v>
      </c>
      <c r="H2" s="3186">
        <f>G2/D2*10000</f>
        <v>2000</v>
      </c>
      <c r="I2" s="3186">
        <f>ROUND(G2/E2*10000,0)</f>
        <v>1818</v>
      </c>
      <c r="J2">
        <f>ROUND(G2*0.0305,0)</f>
        <v>437</v>
      </c>
    </row>
    <row r="3" spans="1:10">
      <c r="A3" s="3184">
        <v>2</v>
      </c>
      <c r="B3" s="3213" t="s">
        <v>3233</v>
      </c>
      <c r="C3" s="3184" t="s">
        <v>2997</v>
      </c>
      <c r="D3" s="3184">
        <v>73630</v>
      </c>
      <c r="E3" s="3184">
        <v>95719.48</v>
      </c>
      <c r="F3" s="3184">
        <v>1.3</v>
      </c>
      <c r="G3" s="3186">
        <v>14431.48</v>
      </c>
      <c r="H3" s="3186">
        <f t="shared" ref="H3:H9" si="0">G3/D3*10000</f>
        <v>1960</v>
      </c>
      <c r="I3" s="3186">
        <f t="shared" ref="I3:I9" si="1">ROUND(G3/E3*10000,0)</f>
        <v>1508</v>
      </c>
      <c r="J3">
        <f t="shared" ref="J3:J8" si="2">ROUND(G3*0.0305,0)</f>
        <v>440</v>
      </c>
    </row>
    <row r="4" spans="1:10">
      <c r="A4" s="3184">
        <v>3</v>
      </c>
      <c r="B4" s="3184" t="s">
        <v>2998</v>
      </c>
      <c r="C4" s="3184" t="s">
        <v>2997</v>
      </c>
      <c r="D4" s="3184">
        <v>63139</v>
      </c>
      <c r="E4" s="3184">
        <v>66296.22</v>
      </c>
      <c r="F4" s="3184">
        <v>1.05</v>
      </c>
      <c r="G4" s="3186">
        <v>12627.8</v>
      </c>
      <c r="H4" s="3186">
        <f t="shared" si="0"/>
        <v>1999.9999999999998</v>
      </c>
      <c r="I4" s="3186">
        <f t="shared" si="1"/>
        <v>1905</v>
      </c>
      <c r="J4">
        <f t="shared" si="2"/>
        <v>385</v>
      </c>
    </row>
    <row r="5" spans="1:10">
      <c r="A5" s="3184">
        <v>4</v>
      </c>
      <c r="B5" s="3184" t="s">
        <v>2999</v>
      </c>
      <c r="C5" s="3184" t="s">
        <v>2997</v>
      </c>
      <c r="D5" s="3184">
        <v>67824</v>
      </c>
      <c r="E5" s="3184">
        <v>81389.22</v>
      </c>
      <c r="F5" s="3184">
        <v>1.2</v>
      </c>
      <c r="G5" s="3186">
        <v>12750.912</v>
      </c>
      <c r="H5" s="3186">
        <f t="shared" si="0"/>
        <v>1880</v>
      </c>
      <c r="I5" s="3186">
        <f t="shared" si="1"/>
        <v>1567</v>
      </c>
      <c r="J5">
        <f t="shared" si="2"/>
        <v>389</v>
      </c>
    </row>
    <row r="6" spans="1:10">
      <c r="A6" s="3184">
        <v>5</v>
      </c>
      <c r="B6" s="3184" t="s">
        <v>3000</v>
      </c>
      <c r="C6" s="3184" t="s">
        <v>3001</v>
      </c>
      <c r="D6" s="3184">
        <v>31397</v>
      </c>
      <c r="E6" s="3184">
        <v>30341.200000000001</v>
      </c>
      <c r="F6" s="3184">
        <v>1.2</v>
      </c>
      <c r="G6" s="3186">
        <v>2009.4079999999999</v>
      </c>
      <c r="H6" s="3186">
        <f t="shared" si="0"/>
        <v>640</v>
      </c>
      <c r="I6" s="3186">
        <f t="shared" si="1"/>
        <v>662</v>
      </c>
    </row>
    <row r="7" spans="1:10">
      <c r="A7" s="3184">
        <v>6</v>
      </c>
      <c r="B7" s="3184" t="s">
        <v>3002</v>
      </c>
      <c r="C7" s="3184" t="s">
        <v>3001</v>
      </c>
      <c r="D7" s="3184">
        <v>41906</v>
      </c>
      <c r="E7" s="3184">
        <v>16553.05</v>
      </c>
      <c r="F7" s="3184">
        <v>1.2</v>
      </c>
      <c r="G7" s="3186">
        <v>2304.83</v>
      </c>
      <c r="H7" s="3186">
        <f t="shared" si="0"/>
        <v>550</v>
      </c>
      <c r="I7" s="3186">
        <f t="shared" si="1"/>
        <v>1392</v>
      </c>
    </row>
    <row r="8" spans="1:10">
      <c r="A8" s="3184">
        <v>7</v>
      </c>
      <c r="B8" s="3184" t="s">
        <v>3003</v>
      </c>
      <c r="C8" s="3184" t="s">
        <v>3004</v>
      </c>
      <c r="D8" s="3184">
        <v>27569</v>
      </c>
      <c r="E8" s="3184">
        <v>44109.97</v>
      </c>
      <c r="F8" s="3184">
        <v>1.6</v>
      </c>
      <c r="G8" s="3186">
        <v>3914.7979999999998</v>
      </c>
      <c r="H8" s="3186">
        <f t="shared" si="0"/>
        <v>1419.9999999999998</v>
      </c>
      <c r="I8" s="3186">
        <f t="shared" si="1"/>
        <v>888</v>
      </c>
      <c r="J8">
        <f t="shared" si="2"/>
        <v>119</v>
      </c>
    </row>
    <row r="9" spans="1:10">
      <c r="A9" s="3184">
        <v>8</v>
      </c>
      <c r="B9" s="3184" t="s">
        <v>3005</v>
      </c>
      <c r="C9" s="3184" t="s">
        <v>3006</v>
      </c>
      <c r="D9" s="3184">
        <v>106761</v>
      </c>
      <c r="E9" s="3184">
        <f t="shared" ref="E9" si="3">D9*F9</f>
        <v>170817.6</v>
      </c>
      <c r="F9" s="3184">
        <v>1.6</v>
      </c>
      <c r="G9" s="3186">
        <v>7259.7479999999996</v>
      </c>
      <c r="H9" s="3186">
        <f t="shared" si="0"/>
        <v>679.99999999999989</v>
      </c>
      <c r="I9" s="3186">
        <f t="shared" si="1"/>
        <v>425</v>
      </c>
    </row>
    <row r="10" spans="1:10">
      <c r="D10">
        <f>SUM(D2:D8)</f>
        <v>377073</v>
      </c>
      <c r="E10">
        <f>SUM(E2:E8)</f>
        <v>413178.18999999994</v>
      </c>
      <c r="J10">
        <f>SUM(J2:J9)</f>
        <v>1770</v>
      </c>
    </row>
    <row r="17" spans="10:10">
      <c r="J17" s="3183"/>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D7" workbookViewId="0">
      <selection activeCell="Q28" sqref="Q28"/>
    </sheetView>
  </sheetViews>
  <sheetFormatPr defaultColWidth="8.375" defaultRowHeight="13.5"/>
  <cols>
    <col min="1" max="1" width="25.25" style="2895" customWidth="1"/>
    <col min="2" max="5" width="8.375" style="2895"/>
    <col min="6" max="6" width="9.375" style="2895" customWidth="1"/>
    <col min="7" max="7" width="8.375" style="2895"/>
    <col min="8" max="8" width="11.75" style="2895" customWidth="1"/>
    <col min="9" max="10" width="9.875" style="2895" customWidth="1"/>
    <col min="11" max="11" width="10.875" style="2895" customWidth="1"/>
    <col min="12" max="12" width="8.375" style="2895"/>
    <col min="13" max="13" width="29.5" style="2895" customWidth="1"/>
    <col min="14" max="16384" width="8.375" style="2895"/>
  </cols>
  <sheetData>
    <row r="1" spans="1:15" ht="14.25">
      <c r="A1" s="3195" t="s">
        <v>3022</v>
      </c>
      <c r="B1" s="3195" t="s">
        <v>3023</v>
      </c>
      <c r="C1" s="3195" t="s">
        <v>3024</v>
      </c>
      <c r="D1" s="3195" t="s">
        <v>3025</v>
      </c>
      <c r="E1" s="3195" t="s">
        <v>3026</v>
      </c>
      <c r="F1" s="3195" t="s">
        <v>2029</v>
      </c>
      <c r="G1" s="3195" t="s">
        <v>3027</v>
      </c>
      <c r="H1" s="3195" t="s">
        <v>3028</v>
      </c>
      <c r="I1" s="3195" t="s">
        <v>3029</v>
      </c>
      <c r="J1" s="3195" t="s">
        <v>3030</v>
      </c>
      <c r="K1" s="3195" t="s">
        <v>3031</v>
      </c>
      <c r="L1" s="3195" t="s">
        <v>3032</v>
      </c>
      <c r="M1" s="3195" t="s">
        <v>3033</v>
      </c>
      <c r="N1" s="3195" t="s">
        <v>3034</v>
      </c>
    </row>
    <row r="2" spans="1:15" ht="14.25">
      <c r="A2" s="3195" t="s">
        <v>3041</v>
      </c>
      <c r="B2" s="3195" t="s">
        <v>3035</v>
      </c>
      <c r="C2" s="3195" t="s">
        <v>3036</v>
      </c>
      <c r="D2" s="3195">
        <v>51280.13</v>
      </c>
      <c r="E2" s="3195">
        <v>92304.23</v>
      </c>
      <c r="F2" s="3195" t="s">
        <v>3042</v>
      </c>
      <c r="G2" s="3195" t="s">
        <v>3039</v>
      </c>
      <c r="H2" s="3195" t="s">
        <v>3043</v>
      </c>
      <c r="I2" s="3195">
        <v>55997.9</v>
      </c>
      <c r="J2" s="3195">
        <v>76715.100000000006</v>
      </c>
      <c r="K2" s="3195">
        <v>8311.11</v>
      </c>
      <c r="L2" s="3195">
        <v>37</v>
      </c>
      <c r="M2" s="3195" t="s">
        <v>3044</v>
      </c>
      <c r="N2" s="3195" t="s">
        <v>3038</v>
      </c>
      <c r="O2" s="3201">
        <f t="shared" ref="O2:O20" si="0">ROUND(I2*10000/E2,0)</f>
        <v>6067</v>
      </c>
    </row>
    <row r="3" spans="1:15" ht="14.25">
      <c r="A3" s="3195" t="s">
        <v>3045</v>
      </c>
      <c r="B3" s="3195" t="s">
        <v>3035</v>
      </c>
      <c r="C3" s="3195" t="s">
        <v>3036</v>
      </c>
      <c r="D3" s="3195">
        <v>35540</v>
      </c>
      <c r="E3" s="3195">
        <v>51533</v>
      </c>
      <c r="F3" s="3195" t="s">
        <v>3046</v>
      </c>
      <c r="G3" s="3195" t="s">
        <v>3039</v>
      </c>
      <c r="H3" s="3195" t="s">
        <v>3047</v>
      </c>
      <c r="I3" s="3195">
        <v>22958.84</v>
      </c>
      <c r="J3" s="3195">
        <v>26974.86</v>
      </c>
      <c r="K3" s="3195">
        <v>5234.47</v>
      </c>
      <c r="L3" s="3195">
        <v>17.489999999999998</v>
      </c>
      <c r="M3" s="3195" t="s">
        <v>3048</v>
      </c>
      <c r="N3" s="3195" t="s">
        <v>3038</v>
      </c>
      <c r="O3" s="3201">
        <f t="shared" si="0"/>
        <v>4455</v>
      </c>
    </row>
    <row r="4" spans="1:15" ht="14.25">
      <c r="A4" s="3195" t="s">
        <v>3049</v>
      </c>
      <c r="B4" s="3195" t="s">
        <v>3035</v>
      </c>
      <c r="C4" s="3195" t="s">
        <v>3036</v>
      </c>
      <c r="D4" s="3195">
        <v>13246</v>
      </c>
      <c r="E4" s="3195">
        <v>13908.3</v>
      </c>
      <c r="F4" s="3195" t="s">
        <v>3050</v>
      </c>
      <c r="G4" s="3195" t="s">
        <v>3039</v>
      </c>
      <c r="H4" s="3195" t="s">
        <v>3047</v>
      </c>
      <c r="I4" s="3195">
        <v>6053.42</v>
      </c>
      <c r="J4" s="3195">
        <v>6106.4</v>
      </c>
      <c r="K4" s="3195">
        <v>4390.47</v>
      </c>
      <c r="L4" s="3195">
        <v>0.88</v>
      </c>
      <c r="M4" s="3195" t="s">
        <v>3048</v>
      </c>
      <c r="N4" s="3195" t="s">
        <v>3038</v>
      </c>
      <c r="O4" s="3201">
        <f t="shared" si="0"/>
        <v>4352</v>
      </c>
    </row>
    <row r="5" spans="1:15" ht="14.25">
      <c r="A5" s="3195" t="s">
        <v>3051</v>
      </c>
      <c r="B5" s="3195" t="s">
        <v>3035</v>
      </c>
      <c r="C5" s="3195" t="s">
        <v>3036</v>
      </c>
      <c r="D5" s="3195">
        <v>37343.199999999997</v>
      </c>
      <c r="E5" s="3195">
        <v>59749.120000000003</v>
      </c>
      <c r="F5" s="3195" t="s">
        <v>3052</v>
      </c>
      <c r="G5" s="3195" t="s">
        <v>3039</v>
      </c>
      <c r="H5" s="3195" t="s">
        <v>3053</v>
      </c>
      <c r="I5" s="3195">
        <v>48546.16</v>
      </c>
      <c r="J5" s="3195">
        <v>72968.61</v>
      </c>
      <c r="K5" s="3195">
        <v>12212.5</v>
      </c>
      <c r="L5" s="3195">
        <v>50.31</v>
      </c>
      <c r="M5" s="3195" t="s">
        <v>3054</v>
      </c>
      <c r="N5" s="3195" t="s">
        <v>3038</v>
      </c>
      <c r="O5" s="3201">
        <f t="shared" si="0"/>
        <v>8125</v>
      </c>
    </row>
    <row r="6" spans="1:15" ht="14.25">
      <c r="A6" s="3195" t="s">
        <v>3055</v>
      </c>
      <c r="B6" s="3195" t="s">
        <v>3035</v>
      </c>
      <c r="C6" s="3195" t="s">
        <v>3036</v>
      </c>
      <c r="D6" s="3195">
        <v>35540</v>
      </c>
      <c r="E6" s="3195">
        <v>51533</v>
      </c>
      <c r="F6" s="3195" t="s">
        <v>3046</v>
      </c>
      <c r="G6" s="3195" t="s">
        <v>3039</v>
      </c>
      <c r="H6" s="3195" t="s">
        <v>3056</v>
      </c>
      <c r="I6" s="3195">
        <v>22958.84</v>
      </c>
      <c r="J6" s="3195">
        <v>26974.86</v>
      </c>
      <c r="K6" s="3195">
        <v>5234.47</v>
      </c>
      <c r="L6" s="3195">
        <v>17.489999999999998</v>
      </c>
      <c r="M6" s="3195" t="s">
        <v>3048</v>
      </c>
      <c r="N6" s="3195" t="s">
        <v>3038</v>
      </c>
      <c r="O6" s="3201">
        <f t="shared" si="0"/>
        <v>4455</v>
      </c>
    </row>
    <row r="7" spans="1:15" ht="14.25">
      <c r="A7" s="3195" t="s">
        <v>3059</v>
      </c>
      <c r="B7" s="3195" t="s">
        <v>3035</v>
      </c>
      <c r="C7" s="3195" t="s">
        <v>3036</v>
      </c>
      <c r="D7" s="3195">
        <v>24557.599999999999</v>
      </c>
      <c r="E7" s="3195">
        <v>36836.400000000001</v>
      </c>
      <c r="F7" s="3195" t="s">
        <v>3060</v>
      </c>
      <c r="G7" s="3195" t="s">
        <v>3039</v>
      </c>
      <c r="H7" s="3195" t="s">
        <v>3058</v>
      </c>
      <c r="I7" s="3195">
        <v>22519.31</v>
      </c>
      <c r="J7" s="3195">
        <v>29149.86</v>
      </c>
      <c r="K7" s="3195">
        <v>7913.32</v>
      </c>
      <c r="L7" s="3195">
        <v>29.44</v>
      </c>
      <c r="M7" s="3195" t="s">
        <v>3061</v>
      </c>
      <c r="N7" s="3195" t="s">
        <v>3038</v>
      </c>
      <c r="O7" s="3201">
        <f t="shared" si="0"/>
        <v>6113</v>
      </c>
    </row>
    <row r="8" spans="1:15" ht="14.25">
      <c r="A8" s="3195" t="s">
        <v>3062</v>
      </c>
      <c r="B8" s="3195" t="s">
        <v>3035</v>
      </c>
      <c r="C8" s="3195" t="s">
        <v>3036</v>
      </c>
      <c r="D8" s="3195">
        <v>38921.43</v>
      </c>
      <c r="E8" s="3195">
        <v>70058.570000000007</v>
      </c>
      <c r="F8" s="3195" t="s">
        <v>3063</v>
      </c>
      <c r="G8" s="3195" t="s">
        <v>3039</v>
      </c>
      <c r="H8" s="3195" t="s">
        <v>3058</v>
      </c>
      <c r="I8" s="3195">
        <v>65738.3</v>
      </c>
      <c r="J8" s="3195">
        <v>69085.53</v>
      </c>
      <c r="K8" s="3195">
        <v>9861.11</v>
      </c>
      <c r="L8" s="3195">
        <v>5.09</v>
      </c>
      <c r="M8" s="3195" t="s">
        <v>3064</v>
      </c>
      <c r="N8" s="3195" t="s">
        <v>3038</v>
      </c>
      <c r="O8" s="3201">
        <f t="shared" si="0"/>
        <v>9383</v>
      </c>
    </row>
    <row r="9" spans="1:15" ht="14.25">
      <c r="A9" s="3195" t="s">
        <v>3066</v>
      </c>
      <c r="B9" s="3195" t="s">
        <v>3035</v>
      </c>
      <c r="C9" s="3195" t="s">
        <v>3036</v>
      </c>
      <c r="D9" s="3195">
        <v>80005.95</v>
      </c>
      <c r="E9" s="3195">
        <v>96007.14</v>
      </c>
      <c r="F9" s="3195" t="s">
        <v>3067</v>
      </c>
      <c r="G9" s="3195" t="s">
        <v>3039</v>
      </c>
      <c r="H9" s="3195" t="s">
        <v>3065</v>
      </c>
      <c r="I9" s="3195">
        <v>65884.89</v>
      </c>
      <c r="J9" s="3195">
        <v>87006.47</v>
      </c>
      <c r="K9" s="3195">
        <v>9062.5</v>
      </c>
      <c r="L9" s="3195">
        <v>32.06</v>
      </c>
      <c r="M9" s="3195" t="s">
        <v>3068</v>
      </c>
      <c r="N9" s="3195" t="s">
        <v>3038</v>
      </c>
      <c r="O9" s="3201">
        <f t="shared" si="0"/>
        <v>6862</v>
      </c>
    </row>
    <row r="10" spans="1:15" ht="14.25">
      <c r="A10" s="3195" t="s">
        <v>3070</v>
      </c>
      <c r="B10" s="3195" t="s">
        <v>3035</v>
      </c>
      <c r="C10" s="3195" t="s">
        <v>3036</v>
      </c>
      <c r="D10" s="3195">
        <v>74869.87</v>
      </c>
      <c r="E10" s="3195">
        <v>224609.6</v>
      </c>
      <c r="F10" s="3195" t="s">
        <v>3071</v>
      </c>
      <c r="G10" s="3195" t="s">
        <v>3039</v>
      </c>
      <c r="H10" s="3195" t="s">
        <v>3072</v>
      </c>
      <c r="I10" s="3195">
        <v>166959.79</v>
      </c>
      <c r="J10" s="3195">
        <v>241829.7</v>
      </c>
      <c r="K10" s="3195">
        <v>10766.67</v>
      </c>
      <c r="L10" s="3195">
        <v>44.84</v>
      </c>
      <c r="M10" s="3195" t="s">
        <v>3073</v>
      </c>
      <c r="N10" s="3195" t="s">
        <v>3038</v>
      </c>
      <c r="O10" s="3201">
        <f t="shared" si="0"/>
        <v>7433</v>
      </c>
    </row>
    <row r="11" spans="1:15" ht="14.25">
      <c r="A11" s="3195" t="s">
        <v>3074</v>
      </c>
      <c r="B11" s="3195" t="s">
        <v>3035</v>
      </c>
      <c r="C11" s="3195" t="s">
        <v>3036</v>
      </c>
      <c r="D11" s="3195">
        <v>59122.01</v>
      </c>
      <c r="E11" s="3195">
        <v>106419.6</v>
      </c>
      <c r="F11" s="3195" t="s">
        <v>3069</v>
      </c>
      <c r="G11" s="3195" t="s">
        <v>3039</v>
      </c>
      <c r="H11" s="3195" t="s">
        <v>3075</v>
      </c>
      <c r="I11" s="3195" t="s">
        <v>3201</v>
      </c>
      <c r="J11" s="3195">
        <v>97728.67</v>
      </c>
      <c r="K11" s="3195">
        <v>9183.32</v>
      </c>
      <c r="L11" s="3195">
        <v>30.06</v>
      </c>
      <c r="M11" s="3195" t="s">
        <v>3076</v>
      </c>
      <c r="N11" s="3195" t="s">
        <v>3038</v>
      </c>
      <c r="O11" s="3201" t="e">
        <f t="shared" si="0"/>
        <v>#VALUE!</v>
      </c>
    </row>
    <row r="12" spans="1:15" ht="14.25">
      <c r="A12" s="3195" t="s">
        <v>3077</v>
      </c>
      <c r="B12" s="3195" t="s">
        <v>3035</v>
      </c>
      <c r="C12" s="3195" t="s">
        <v>3036</v>
      </c>
      <c r="D12" s="3195">
        <v>111276.2</v>
      </c>
      <c r="E12" s="3195">
        <v>233680</v>
      </c>
      <c r="F12" s="3195" t="s">
        <v>3078</v>
      </c>
      <c r="G12" s="3195" t="s">
        <v>3039</v>
      </c>
      <c r="H12" s="3195" t="s">
        <v>3075</v>
      </c>
      <c r="I12" s="3195">
        <v>240000.5</v>
      </c>
      <c r="J12" s="3195">
        <v>331135.7</v>
      </c>
      <c r="K12" s="3195">
        <v>14170.47</v>
      </c>
      <c r="L12" s="3195">
        <v>37.97</v>
      </c>
      <c r="M12" s="3195" t="s">
        <v>3079</v>
      </c>
      <c r="N12" s="3195" t="s">
        <v>3038</v>
      </c>
      <c r="O12" s="3201">
        <f t="shared" si="0"/>
        <v>10270</v>
      </c>
    </row>
    <row r="13" spans="1:15" ht="14.25">
      <c r="A13" s="3195" t="s">
        <v>3080</v>
      </c>
      <c r="B13" s="3195" t="s">
        <v>3035</v>
      </c>
      <c r="C13" s="3195" t="s">
        <v>3036</v>
      </c>
      <c r="D13" s="3195">
        <v>13617.22</v>
      </c>
      <c r="E13" s="3195">
        <v>21787.55</v>
      </c>
      <c r="F13" s="3195" t="s">
        <v>3081</v>
      </c>
      <c r="G13" s="3195" t="s">
        <v>3039</v>
      </c>
      <c r="H13" s="3195" t="s">
        <v>3082</v>
      </c>
      <c r="I13" s="3195">
        <v>22005.43</v>
      </c>
      <c r="J13" s="3195">
        <v>26567.200000000001</v>
      </c>
      <c r="K13" s="3195">
        <v>12193.75</v>
      </c>
      <c r="L13" s="3195">
        <v>20.73</v>
      </c>
      <c r="M13" s="3195" t="s">
        <v>3083</v>
      </c>
      <c r="N13" s="3195" t="s">
        <v>3038</v>
      </c>
      <c r="O13" s="3201">
        <f t="shared" si="0"/>
        <v>10100</v>
      </c>
    </row>
    <row r="14" spans="1:15" ht="14.25">
      <c r="A14" s="3195" t="s">
        <v>3084</v>
      </c>
      <c r="B14" s="3195" t="s">
        <v>3035</v>
      </c>
      <c r="C14" s="3195" t="s">
        <v>3040</v>
      </c>
      <c r="D14" s="3195">
        <v>61679.05</v>
      </c>
      <c r="E14" s="3195">
        <v>129526</v>
      </c>
      <c r="F14" s="3195" t="s">
        <v>3078</v>
      </c>
      <c r="G14" s="3195" t="s">
        <v>3039</v>
      </c>
      <c r="H14" s="3195" t="s">
        <v>3085</v>
      </c>
      <c r="I14" s="3195">
        <v>116388.39</v>
      </c>
      <c r="J14" s="3195">
        <v>149016.6</v>
      </c>
      <c r="K14" s="3195">
        <v>11504.76</v>
      </c>
      <c r="L14" s="3195">
        <v>28.03</v>
      </c>
      <c r="M14" s="3195" t="s">
        <v>3068</v>
      </c>
      <c r="N14" s="3195" t="s">
        <v>3038</v>
      </c>
      <c r="O14" s="3201">
        <f t="shared" si="0"/>
        <v>8986</v>
      </c>
    </row>
    <row r="15" spans="1:15" ht="14.25">
      <c r="A15" s="3195" t="s">
        <v>3087</v>
      </c>
      <c r="B15" s="3195" t="s">
        <v>3035</v>
      </c>
      <c r="C15" s="3195" t="s">
        <v>3036</v>
      </c>
      <c r="D15" s="3195">
        <v>27190.01</v>
      </c>
      <c r="E15" s="3195">
        <v>43504.02</v>
      </c>
      <c r="F15" s="3195" t="s">
        <v>3081</v>
      </c>
      <c r="G15" s="3195" t="s">
        <v>3039</v>
      </c>
      <c r="H15" s="3195" t="s">
        <v>3088</v>
      </c>
      <c r="I15" s="3195">
        <v>49349.87</v>
      </c>
      <c r="J15" s="3195">
        <v>54380.01</v>
      </c>
      <c r="K15" s="3195">
        <v>12500</v>
      </c>
      <c r="L15" s="3195">
        <v>10.19</v>
      </c>
      <c r="M15" s="3195" t="s">
        <v>3089</v>
      </c>
      <c r="N15" s="3195" t="s">
        <v>3038</v>
      </c>
      <c r="O15" s="3201">
        <f t="shared" si="0"/>
        <v>11344</v>
      </c>
    </row>
    <row r="16" spans="1:15" s="3197" customFormat="1" ht="14.25">
      <c r="A16" s="3196" t="s">
        <v>3090</v>
      </c>
      <c r="B16" s="3196" t="s">
        <v>3035</v>
      </c>
      <c r="C16" s="3196" t="s">
        <v>3036</v>
      </c>
      <c r="D16" s="3196">
        <v>63139</v>
      </c>
      <c r="E16" s="3196">
        <v>66295.95</v>
      </c>
      <c r="F16" s="3196" t="s">
        <v>3091</v>
      </c>
      <c r="G16" s="3196" t="s">
        <v>3039</v>
      </c>
      <c r="H16" s="3196" t="s">
        <v>3092</v>
      </c>
      <c r="I16" s="3196">
        <v>12627.79</v>
      </c>
      <c r="J16" s="3196">
        <v>12627.79</v>
      </c>
      <c r="K16" s="3196">
        <v>1904.75</v>
      </c>
      <c r="L16" s="3196">
        <v>0</v>
      </c>
      <c r="M16" s="3196" t="s">
        <v>3093</v>
      </c>
      <c r="N16" s="3196" t="s">
        <v>3038</v>
      </c>
      <c r="O16" s="3201">
        <f t="shared" si="0"/>
        <v>1905</v>
      </c>
    </row>
    <row r="17" spans="1:15" s="3197" customFormat="1" ht="14.25">
      <c r="A17" s="3196" t="s">
        <v>3094</v>
      </c>
      <c r="B17" s="3196" t="s">
        <v>3035</v>
      </c>
      <c r="C17" s="3196" t="s">
        <v>3036</v>
      </c>
      <c r="D17" s="3196">
        <v>73630</v>
      </c>
      <c r="E17" s="3196">
        <v>95719</v>
      </c>
      <c r="F17" s="3196" t="s">
        <v>3095</v>
      </c>
      <c r="G17" s="3196" t="s">
        <v>3039</v>
      </c>
      <c r="H17" s="3196" t="s">
        <v>3092</v>
      </c>
      <c r="I17" s="3196">
        <v>14431.47</v>
      </c>
      <c r="J17" s="3196">
        <v>14431.47</v>
      </c>
      <c r="K17" s="3196">
        <v>1507.69</v>
      </c>
      <c r="L17" s="3196">
        <v>0</v>
      </c>
      <c r="M17" s="3196" t="s">
        <v>3093</v>
      </c>
      <c r="N17" s="3196" t="s">
        <v>3038</v>
      </c>
      <c r="O17" s="3201">
        <f t="shared" si="0"/>
        <v>1508</v>
      </c>
    </row>
    <row r="18" spans="1:15" s="3197" customFormat="1" ht="14.25">
      <c r="A18" s="3196" t="s">
        <v>3096</v>
      </c>
      <c r="B18" s="3196" t="s">
        <v>3035</v>
      </c>
      <c r="C18" s="3196" t="s">
        <v>3036</v>
      </c>
      <c r="D18" s="3196">
        <v>71608</v>
      </c>
      <c r="E18" s="3196">
        <v>78768.800000000003</v>
      </c>
      <c r="F18" s="3196" t="s">
        <v>3097</v>
      </c>
      <c r="G18" s="3196" t="s">
        <v>3039</v>
      </c>
      <c r="H18" s="3196" t="s">
        <v>3092</v>
      </c>
      <c r="I18" s="3196">
        <v>14321.6</v>
      </c>
      <c r="J18" s="3196">
        <v>14321.6</v>
      </c>
      <c r="K18" s="3196">
        <v>1818.18</v>
      </c>
      <c r="L18" s="3196">
        <v>0</v>
      </c>
      <c r="M18" s="3196" t="s">
        <v>3093</v>
      </c>
      <c r="N18" s="3196" t="s">
        <v>3038</v>
      </c>
      <c r="O18" s="3201">
        <f t="shared" si="0"/>
        <v>1818</v>
      </c>
    </row>
    <row r="19" spans="1:15" s="3197" customFormat="1" ht="14.25">
      <c r="A19" s="3196" t="s">
        <v>3098</v>
      </c>
      <c r="B19" s="3196" t="s">
        <v>3035</v>
      </c>
      <c r="C19" s="3196" t="s">
        <v>3036</v>
      </c>
      <c r="D19" s="3196">
        <v>67824</v>
      </c>
      <c r="E19" s="3196">
        <v>81388.800000000003</v>
      </c>
      <c r="F19" s="3196" t="s">
        <v>3099</v>
      </c>
      <c r="G19" s="3196" t="s">
        <v>3039</v>
      </c>
      <c r="H19" s="3196" t="s">
        <v>3092</v>
      </c>
      <c r="I19" s="3196">
        <v>12750.9</v>
      </c>
      <c r="J19" s="3196">
        <v>12750.9</v>
      </c>
      <c r="K19" s="3196">
        <v>1566.67</v>
      </c>
      <c r="L19" s="3196">
        <v>0</v>
      </c>
      <c r="M19" s="3196" t="s">
        <v>3093</v>
      </c>
      <c r="N19" s="3196" t="s">
        <v>3038</v>
      </c>
      <c r="O19" s="3201">
        <f t="shared" si="0"/>
        <v>1567</v>
      </c>
    </row>
    <row r="20" spans="1:15" ht="14.25">
      <c r="A20" s="3195" t="s">
        <v>3100</v>
      </c>
      <c r="B20" s="3195" t="s">
        <v>3035</v>
      </c>
      <c r="C20" s="3195" t="s">
        <v>3036</v>
      </c>
      <c r="D20" s="3195">
        <v>44451.53</v>
      </c>
      <c r="E20" s="3195">
        <v>62232.14</v>
      </c>
      <c r="F20" s="3195" t="s">
        <v>3101</v>
      </c>
      <c r="G20" s="3195" t="s">
        <v>3039</v>
      </c>
      <c r="H20" s="3195" t="s">
        <v>3102</v>
      </c>
      <c r="I20" s="3195">
        <v>29338</v>
      </c>
      <c r="J20" s="3195">
        <v>36628.050000000003</v>
      </c>
      <c r="K20" s="3195">
        <v>5885.71</v>
      </c>
      <c r="L20" s="3195">
        <v>24.85</v>
      </c>
      <c r="M20" s="3195" t="s">
        <v>3061</v>
      </c>
      <c r="N20" s="3195" t="s">
        <v>3038</v>
      </c>
      <c r="O20" s="3201">
        <f t="shared" si="0"/>
        <v>4714</v>
      </c>
    </row>
    <row r="21" spans="1:15" s="3201" customFormat="1" ht="14.25">
      <c r="A21" s="3200" t="s">
        <v>3103</v>
      </c>
      <c r="B21" s="3200" t="s">
        <v>3035</v>
      </c>
      <c r="C21" s="3200" t="s">
        <v>3036</v>
      </c>
      <c r="D21" s="3200">
        <v>18087</v>
      </c>
      <c r="E21" s="3200">
        <v>24417.45</v>
      </c>
      <c r="F21" s="3200" t="s">
        <v>3104</v>
      </c>
      <c r="G21" s="3200" t="s">
        <v>3039</v>
      </c>
      <c r="H21" s="3200" t="s">
        <v>3105</v>
      </c>
      <c r="I21" s="3200">
        <v>4973.93</v>
      </c>
      <c r="J21" s="3200">
        <v>7270.97</v>
      </c>
      <c r="K21" s="3200">
        <v>2977.78</v>
      </c>
      <c r="L21" s="3200">
        <v>46.18</v>
      </c>
      <c r="M21" s="3200" t="s">
        <v>3106</v>
      </c>
      <c r="N21" s="3200" t="s">
        <v>3038</v>
      </c>
      <c r="O21" s="3201">
        <f>ROUND(I21*10000/E21,0)</f>
        <v>2037</v>
      </c>
    </row>
    <row r="22" spans="1:15" s="3201" customFormat="1" ht="14.25">
      <c r="A22" s="3200" t="s">
        <v>3107</v>
      </c>
      <c r="B22" s="3200" t="s">
        <v>3035</v>
      </c>
      <c r="C22" s="3200" t="s">
        <v>3036</v>
      </c>
      <c r="D22" s="3200">
        <v>28486</v>
      </c>
      <c r="E22" s="3200">
        <v>51274.8</v>
      </c>
      <c r="F22" s="3200" t="s">
        <v>3069</v>
      </c>
      <c r="G22" s="3200" t="s">
        <v>3039</v>
      </c>
      <c r="H22" s="3200" t="s">
        <v>3108</v>
      </c>
      <c r="I22" s="3200">
        <v>8503.06</v>
      </c>
      <c r="J22" s="3200">
        <v>16308.23</v>
      </c>
      <c r="K22" s="3200">
        <v>3180.55</v>
      </c>
      <c r="L22" s="3200">
        <v>91.79</v>
      </c>
      <c r="M22" s="3200" t="s">
        <v>3109</v>
      </c>
      <c r="N22" s="3200" t="s">
        <v>3038</v>
      </c>
      <c r="O22" s="3201">
        <f t="shared" ref="O22:O38" si="1">ROUND(I22*10000/E22,0)</f>
        <v>1658</v>
      </c>
    </row>
    <row r="23" spans="1:15" s="3201" customFormat="1" ht="14.25">
      <c r="A23" s="3200" t="s">
        <v>3110</v>
      </c>
      <c r="B23" s="3200" t="s">
        <v>3035</v>
      </c>
      <c r="C23" s="3200" t="s">
        <v>3036</v>
      </c>
      <c r="D23" s="3200">
        <v>102285</v>
      </c>
      <c r="E23" s="3200">
        <v>184113</v>
      </c>
      <c r="F23" s="3200" t="s">
        <v>3069</v>
      </c>
      <c r="G23" s="3200" t="s">
        <v>3039</v>
      </c>
      <c r="H23" s="3200" t="s">
        <v>3108</v>
      </c>
      <c r="I23" s="3200">
        <v>47664.800000000003</v>
      </c>
      <c r="J23" s="3200">
        <v>83362.27</v>
      </c>
      <c r="K23" s="3200">
        <v>4527.7700000000004</v>
      </c>
      <c r="L23" s="3200">
        <v>74.89</v>
      </c>
      <c r="M23" s="3200" t="s">
        <v>3111</v>
      </c>
      <c r="N23" s="3200" t="s">
        <v>3038</v>
      </c>
      <c r="O23" s="3201">
        <f t="shared" si="1"/>
        <v>2589</v>
      </c>
    </row>
    <row r="24" spans="1:15" ht="14.25">
      <c r="A24" s="3195" t="s">
        <v>3112</v>
      </c>
      <c r="B24" s="3195" t="s">
        <v>3035</v>
      </c>
      <c r="C24" s="3195" t="s">
        <v>3036</v>
      </c>
      <c r="D24" s="3195">
        <v>31033.13</v>
      </c>
      <c r="E24" s="3195">
        <v>55859.63</v>
      </c>
      <c r="F24" s="3195" t="s">
        <v>3063</v>
      </c>
      <c r="G24" s="3195" t="s">
        <v>3039</v>
      </c>
      <c r="H24" s="3195" t="s">
        <v>3113</v>
      </c>
      <c r="I24" s="3195">
        <v>56728.55</v>
      </c>
      <c r="J24" s="3195">
        <v>85744.53</v>
      </c>
      <c r="K24" s="3195">
        <v>15350</v>
      </c>
      <c r="L24" s="3195">
        <v>51.15</v>
      </c>
      <c r="M24" s="3195" t="s">
        <v>3114</v>
      </c>
      <c r="N24" s="3195" t="s">
        <v>3038</v>
      </c>
      <c r="O24" s="3201">
        <f t="shared" si="1"/>
        <v>10156</v>
      </c>
    </row>
    <row r="25" spans="1:15" ht="14.25">
      <c r="A25" s="3195" t="s">
        <v>3115</v>
      </c>
      <c r="B25" s="3195" t="s">
        <v>3035</v>
      </c>
      <c r="C25" s="3195" t="s">
        <v>3036</v>
      </c>
      <c r="D25" s="3195">
        <v>42891.360000000001</v>
      </c>
      <c r="E25" s="3195">
        <v>85782.720000000001</v>
      </c>
      <c r="F25" s="3195" t="s">
        <v>3086</v>
      </c>
      <c r="G25" s="3195" t="s">
        <v>3039</v>
      </c>
      <c r="H25" s="3195" t="s">
        <v>3116</v>
      </c>
      <c r="I25" s="3195">
        <v>73387.11</v>
      </c>
      <c r="J25" s="3195">
        <v>106199</v>
      </c>
      <c r="K25" s="3195">
        <v>12380</v>
      </c>
      <c r="L25" s="3195">
        <v>44.71</v>
      </c>
      <c r="M25" s="3195" t="s">
        <v>3117</v>
      </c>
      <c r="N25" s="3195" t="s">
        <v>3038</v>
      </c>
      <c r="O25" s="3201">
        <f t="shared" si="1"/>
        <v>8555</v>
      </c>
    </row>
    <row r="26" spans="1:15" ht="14.25">
      <c r="A26" s="3195" t="s">
        <v>3118</v>
      </c>
      <c r="B26" s="3195" t="s">
        <v>3035</v>
      </c>
      <c r="C26" s="3195" t="s">
        <v>3036</v>
      </c>
      <c r="D26" s="3195">
        <v>69833.87</v>
      </c>
      <c r="E26" s="3195">
        <v>108242.5</v>
      </c>
      <c r="F26" s="3195" t="s">
        <v>3119</v>
      </c>
      <c r="G26" s="3195" t="s">
        <v>3039</v>
      </c>
      <c r="H26" s="3195" t="s">
        <v>3120</v>
      </c>
      <c r="I26" s="3195">
        <v>59505.440000000002</v>
      </c>
      <c r="J26" s="3195">
        <v>59505.440000000002</v>
      </c>
      <c r="K26" s="3195">
        <v>5497.42</v>
      </c>
      <c r="L26" s="3195">
        <v>0</v>
      </c>
      <c r="M26" s="3195" t="s">
        <v>3121</v>
      </c>
      <c r="N26" s="3195" t="s">
        <v>3038</v>
      </c>
      <c r="O26" s="3201">
        <f t="shared" si="1"/>
        <v>5497</v>
      </c>
    </row>
    <row r="27" spans="1:15" ht="14.25">
      <c r="A27" s="3195" t="s">
        <v>3122</v>
      </c>
      <c r="B27" s="3195" t="s">
        <v>3035</v>
      </c>
      <c r="C27" s="3195" t="s">
        <v>3036</v>
      </c>
      <c r="D27" s="3195">
        <v>58224.61</v>
      </c>
      <c r="E27" s="3195">
        <v>125182.9</v>
      </c>
      <c r="F27" s="3195" t="s">
        <v>3123</v>
      </c>
      <c r="G27" s="3195" t="s">
        <v>3039</v>
      </c>
      <c r="H27" s="3195" t="s">
        <v>3124</v>
      </c>
      <c r="I27" s="3195">
        <v>173043.5</v>
      </c>
      <c r="J27" s="3195">
        <v>181835.5</v>
      </c>
      <c r="K27" s="3195">
        <v>14525.59</v>
      </c>
      <c r="L27" s="3195">
        <v>5.08</v>
      </c>
      <c r="M27" s="3195" t="s">
        <v>3125</v>
      </c>
      <c r="N27" s="3195" t="s">
        <v>3038</v>
      </c>
      <c r="O27" s="3201">
        <f t="shared" si="1"/>
        <v>13823</v>
      </c>
    </row>
    <row r="28" spans="1:15" ht="14.25">
      <c r="A28" s="3195" t="s">
        <v>3126</v>
      </c>
      <c r="B28" s="3195" t="s">
        <v>3035</v>
      </c>
      <c r="C28" s="3195" t="s">
        <v>3036</v>
      </c>
      <c r="D28" s="3195">
        <v>5028.87</v>
      </c>
      <c r="E28" s="3195">
        <v>7543.31</v>
      </c>
      <c r="F28" s="3195" t="s">
        <v>3060</v>
      </c>
      <c r="G28" s="3195" t="s">
        <v>3039</v>
      </c>
      <c r="H28" s="3195" t="s">
        <v>3127</v>
      </c>
      <c r="I28" s="3195">
        <v>5707.77</v>
      </c>
      <c r="J28" s="3195">
        <v>7677.77</v>
      </c>
      <c r="K28" s="3195">
        <v>10178.25</v>
      </c>
      <c r="L28" s="3195">
        <v>34.51</v>
      </c>
      <c r="M28" s="3195" t="s">
        <v>3083</v>
      </c>
      <c r="N28" s="3195" t="s">
        <v>3038</v>
      </c>
      <c r="O28" s="3201">
        <f t="shared" si="1"/>
        <v>7567</v>
      </c>
    </row>
    <row r="29" spans="1:15" ht="14.25">
      <c r="A29" s="3195" t="s">
        <v>3128</v>
      </c>
      <c r="B29" s="3195" t="s">
        <v>3035</v>
      </c>
      <c r="C29" s="3195" t="s">
        <v>3036</v>
      </c>
      <c r="D29" s="3195">
        <v>17796.02</v>
      </c>
      <c r="E29" s="3195">
        <v>32032.84</v>
      </c>
      <c r="F29" s="3195" t="s">
        <v>3063</v>
      </c>
      <c r="G29" s="3195" t="s">
        <v>3037</v>
      </c>
      <c r="H29" s="3195" t="s">
        <v>3129</v>
      </c>
      <c r="I29" s="3195">
        <v>13347.01</v>
      </c>
      <c r="J29" s="3195">
        <v>29274.45</v>
      </c>
      <c r="K29" s="3195">
        <v>9138.8799999999992</v>
      </c>
      <c r="L29" s="3195">
        <v>119.33</v>
      </c>
      <c r="M29" s="3195" t="s">
        <v>3061</v>
      </c>
      <c r="N29" s="3195" t="s">
        <v>3038</v>
      </c>
      <c r="O29" s="3201">
        <f t="shared" si="1"/>
        <v>4167</v>
      </c>
    </row>
    <row r="30" spans="1:15" ht="14.25">
      <c r="A30" s="3195" t="s">
        <v>3130</v>
      </c>
      <c r="B30" s="3195" t="s">
        <v>3035</v>
      </c>
      <c r="C30" s="3195" t="s">
        <v>3036</v>
      </c>
      <c r="D30" s="3195">
        <v>47488.6</v>
      </c>
      <c r="E30" s="3195">
        <v>94977.2</v>
      </c>
      <c r="F30" s="3195" t="s">
        <v>3086</v>
      </c>
      <c r="G30" s="3195" t="s">
        <v>3037</v>
      </c>
      <c r="H30" s="3195" t="s">
        <v>3131</v>
      </c>
      <c r="I30" s="3195" t="s">
        <v>2814</v>
      </c>
      <c r="J30" s="3195">
        <v>92935.19</v>
      </c>
      <c r="K30" s="3195">
        <v>9785</v>
      </c>
      <c r="L30" s="3195" t="s">
        <v>2814</v>
      </c>
      <c r="M30" s="3195" t="s">
        <v>3132</v>
      </c>
      <c r="N30" s="3195" t="s">
        <v>3038</v>
      </c>
      <c r="O30" s="3201" t="e">
        <f t="shared" si="1"/>
        <v>#VALUE!</v>
      </c>
    </row>
    <row r="31" spans="1:15" ht="14.25">
      <c r="A31" s="3195" t="s">
        <v>3133</v>
      </c>
      <c r="B31" s="3195" t="s">
        <v>3035</v>
      </c>
      <c r="C31" s="3195" t="s">
        <v>3040</v>
      </c>
      <c r="D31" s="3195">
        <v>21061.5</v>
      </c>
      <c r="E31" s="3195">
        <v>37910.699999999997</v>
      </c>
      <c r="F31" s="3195" t="s">
        <v>3069</v>
      </c>
      <c r="G31" s="3195" t="s">
        <v>3037</v>
      </c>
      <c r="H31" s="3195" t="s">
        <v>3134</v>
      </c>
      <c r="I31" s="3195">
        <v>14069.07</v>
      </c>
      <c r="J31" s="3195">
        <v>29486.09</v>
      </c>
      <c r="K31" s="3195">
        <v>7777.77</v>
      </c>
      <c r="L31" s="3195">
        <v>109.58</v>
      </c>
      <c r="M31" s="3195" t="s">
        <v>3135</v>
      </c>
      <c r="N31" s="3195" t="s">
        <v>3038</v>
      </c>
      <c r="O31" s="3201">
        <f t="shared" si="1"/>
        <v>3711</v>
      </c>
    </row>
    <row r="32" spans="1:15" ht="14.25">
      <c r="A32" s="3195" t="s">
        <v>3136</v>
      </c>
      <c r="B32" s="3195" t="s">
        <v>3035</v>
      </c>
      <c r="C32" s="3195" t="s">
        <v>3040</v>
      </c>
      <c r="D32" s="3195">
        <v>2826</v>
      </c>
      <c r="E32" s="3195">
        <v>4239</v>
      </c>
      <c r="F32" s="3195" t="s">
        <v>3137</v>
      </c>
      <c r="G32" s="3195" t="s">
        <v>3037</v>
      </c>
      <c r="H32" s="3195" t="s">
        <v>3134</v>
      </c>
      <c r="I32" s="3195">
        <v>584.98</v>
      </c>
      <c r="J32" s="3195">
        <v>779.98</v>
      </c>
      <c r="K32" s="3195">
        <v>1840</v>
      </c>
      <c r="L32" s="3195">
        <v>33.33</v>
      </c>
      <c r="M32" s="3195" t="s">
        <v>3138</v>
      </c>
      <c r="N32" s="3195" t="s">
        <v>3038</v>
      </c>
      <c r="O32" s="3201">
        <f t="shared" si="1"/>
        <v>1380</v>
      </c>
    </row>
    <row r="33" spans="1:15" ht="14.25">
      <c r="A33" s="3195" t="s">
        <v>3139</v>
      </c>
      <c r="B33" s="3195" t="s">
        <v>3035</v>
      </c>
      <c r="C33" s="3195" t="s">
        <v>3040</v>
      </c>
      <c r="D33" s="3195">
        <v>3875</v>
      </c>
      <c r="E33" s="3195">
        <v>5812.5</v>
      </c>
      <c r="F33" s="3195" t="s">
        <v>3137</v>
      </c>
      <c r="G33" s="3195" t="s">
        <v>3037</v>
      </c>
      <c r="H33" s="3195" t="s">
        <v>3134</v>
      </c>
      <c r="I33" s="3195">
        <v>806</v>
      </c>
      <c r="J33" s="3195">
        <v>976.5</v>
      </c>
      <c r="K33" s="3195">
        <v>1680</v>
      </c>
      <c r="L33" s="3195">
        <v>21.15</v>
      </c>
      <c r="M33" s="3195" t="s">
        <v>3140</v>
      </c>
      <c r="N33" s="3195" t="s">
        <v>3038</v>
      </c>
      <c r="O33" s="3201">
        <f t="shared" si="1"/>
        <v>1387</v>
      </c>
    </row>
    <row r="34" spans="1:15" ht="14.25">
      <c r="A34" s="3195" t="s">
        <v>3141</v>
      </c>
      <c r="B34" s="3195" t="s">
        <v>3035</v>
      </c>
      <c r="C34" s="3195" t="s">
        <v>3036</v>
      </c>
      <c r="D34" s="3195">
        <v>8764.9</v>
      </c>
      <c r="E34" s="3195">
        <v>13147.35</v>
      </c>
      <c r="F34" s="3195" t="s">
        <v>3137</v>
      </c>
      <c r="G34" s="3195" t="s">
        <v>3037</v>
      </c>
      <c r="H34" s="3195" t="s">
        <v>3142</v>
      </c>
      <c r="I34" s="3195">
        <v>6994.39</v>
      </c>
      <c r="J34" s="3195">
        <v>11508.3</v>
      </c>
      <c r="K34" s="3195">
        <v>8753.32</v>
      </c>
      <c r="L34" s="3195">
        <v>64.540000000000006</v>
      </c>
      <c r="M34" s="3195" t="s">
        <v>3083</v>
      </c>
      <c r="N34" s="3195" t="s">
        <v>3038</v>
      </c>
      <c r="O34" s="3201">
        <f t="shared" si="1"/>
        <v>5320</v>
      </c>
    </row>
    <row r="35" spans="1:15" ht="14.25">
      <c r="A35" s="3195" t="s">
        <v>3143</v>
      </c>
      <c r="B35" s="3195" t="s">
        <v>3035</v>
      </c>
      <c r="C35" s="3195" t="s">
        <v>3036</v>
      </c>
      <c r="D35" s="3195">
        <v>12494.91</v>
      </c>
      <c r="E35" s="3195">
        <v>22490.84</v>
      </c>
      <c r="F35" s="3195" t="s">
        <v>3144</v>
      </c>
      <c r="G35" s="3195" t="s">
        <v>3037</v>
      </c>
      <c r="H35" s="3195" t="s">
        <v>3145</v>
      </c>
      <c r="I35" s="3195">
        <v>12844.77</v>
      </c>
      <c r="J35" s="3195">
        <v>19617</v>
      </c>
      <c r="K35" s="3195">
        <v>8722.2099999999991</v>
      </c>
      <c r="L35" s="3195">
        <v>52.72</v>
      </c>
      <c r="M35" s="3195" t="s">
        <v>3146</v>
      </c>
      <c r="N35" s="3195" t="s">
        <v>3038</v>
      </c>
      <c r="O35" s="3201">
        <f t="shared" si="1"/>
        <v>5711</v>
      </c>
    </row>
    <row r="36" spans="1:15" ht="14.25">
      <c r="A36" s="3195" t="s">
        <v>3147</v>
      </c>
      <c r="B36" s="3195" t="s">
        <v>3035</v>
      </c>
      <c r="C36" s="3195" t="s">
        <v>3040</v>
      </c>
      <c r="D36" s="3195">
        <v>39211.01</v>
      </c>
      <c r="E36" s="3195">
        <v>94106.42</v>
      </c>
      <c r="F36" s="3195" t="s">
        <v>3057</v>
      </c>
      <c r="G36" s="3195" t="s">
        <v>3037</v>
      </c>
      <c r="H36" s="3195" t="s">
        <v>3148</v>
      </c>
      <c r="I36" s="3195">
        <v>66345.02</v>
      </c>
      <c r="J36" s="3195">
        <v>114888.3</v>
      </c>
      <c r="K36" s="3195">
        <v>12208.34</v>
      </c>
      <c r="L36" s="3195">
        <v>73.17</v>
      </c>
      <c r="M36" s="3195" t="s">
        <v>3044</v>
      </c>
      <c r="N36" s="3195" t="s">
        <v>3038</v>
      </c>
      <c r="O36" s="3201">
        <f t="shared" si="1"/>
        <v>7050</v>
      </c>
    </row>
    <row r="37" spans="1:15" ht="14.25">
      <c r="A37" s="3195" t="s">
        <v>3149</v>
      </c>
      <c r="B37" s="3195" t="s">
        <v>3035</v>
      </c>
      <c r="C37" s="3195" t="s">
        <v>3040</v>
      </c>
      <c r="D37" s="3195">
        <v>12383.5</v>
      </c>
      <c r="E37" s="3195">
        <v>17336.900000000001</v>
      </c>
      <c r="F37" s="3195" t="s">
        <v>3150</v>
      </c>
      <c r="G37" s="3195" t="s">
        <v>3037</v>
      </c>
      <c r="H37" s="3195" t="s">
        <v>3151</v>
      </c>
      <c r="I37" s="3195">
        <v>7925.43</v>
      </c>
      <c r="J37" s="3195">
        <v>13498.01</v>
      </c>
      <c r="K37" s="3195">
        <v>7785.71</v>
      </c>
      <c r="L37" s="3195">
        <v>70.31</v>
      </c>
      <c r="M37" s="3195" t="s">
        <v>3061</v>
      </c>
      <c r="N37" s="3195" t="s">
        <v>3038</v>
      </c>
      <c r="O37" s="3201">
        <f t="shared" si="1"/>
        <v>4571</v>
      </c>
    </row>
    <row r="38" spans="1:15" ht="14.25">
      <c r="A38" s="3195" t="s">
        <v>3152</v>
      </c>
      <c r="B38" s="3195" t="s">
        <v>3035</v>
      </c>
      <c r="C38" s="3195" t="s">
        <v>3040</v>
      </c>
      <c r="D38" s="3195">
        <v>15189.21</v>
      </c>
      <c r="E38" s="3195">
        <v>30378.42</v>
      </c>
      <c r="F38" s="3195" t="s">
        <v>3153</v>
      </c>
      <c r="G38" s="3195" t="s">
        <v>3037</v>
      </c>
      <c r="H38" s="3195" t="s">
        <v>3154</v>
      </c>
      <c r="I38" s="3195">
        <v>16753.7</v>
      </c>
      <c r="J38" s="3195">
        <v>18530.84</v>
      </c>
      <c r="K38" s="3195">
        <v>6100</v>
      </c>
      <c r="L38" s="3195">
        <v>10.61</v>
      </c>
      <c r="M38" s="3195" t="s">
        <v>3155</v>
      </c>
      <c r="N38" s="3195" t="s">
        <v>3038</v>
      </c>
      <c r="O38" s="3201">
        <f t="shared" si="1"/>
        <v>5515</v>
      </c>
    </row>
    <row r="39" spans="1:15" s="3199" customFormat="1" ht="14.25">
      <c r="A39" s="3198" t="s">
        <v>3156</v>
      </c>
      <c r="B39" s="3198" t="s">
        <v>3035</v>
      </c>
      <c r="C39" s="3198" t="s">
        <v>3036</v>
      </c>
      <c r="D39" s="3198">
        <v>248.72</v>
      </c>
      <c r="E39" s="3198">
        <v>994.88</v>
      </c>
      <c r="F39" s="3198" t="s">
        <v>3157</v>
      </c>
      <c r="G39" s="3198" t="s">
        <v>3037</v>
      </c>
      <c r="H39" s="3198" t="s">
        <v>3158</v>
      </c>
      <c r="I39" s="3198" t="s">
        <v>2814</v>
      </c>
      <c r="J39" s="3198">
        <v>57.45</v>
      </c>
      <c r="K39" s="3198">
        <v>577.46</v>
      </c>
      <c r="L39" s="3198" t="s">
        <v>2814</v>
      </c>
      <c r="M39" s="3198" t="s">
        <v>3159</v>
      </c>
      <c r="N39" s="3198" t="s">
        <v>3038</v>
      </c>
    </row>
    <row r="40" spans="1:15" s="3199" customFormat="1" ht="14.25">
      <c r="A40" s="3198" t="s">
        <v>3160</v>
      </c>
      <c r="B40" s="3198" t="s">
        <v>3035</v>
      </c>
      <c r="C40" s="3198" t="s">
        <v>3036</v>
      </c>
      <c r="D40" s="3198">
        <v>35272</v>
      </c>
      <c r="E40" s="3198">
        <v>56435.199999999997</v>
      </c>
      <c r="F40" s="3198" t="s">
        <v>3081</v>
      </c>
      <c r="G40" s="3198" t="s">
        <v>3037</v>
      </c>
      <c r="H40" s="3198" t="s">
        <v>3161</v>
      </c>
      <c r="I40" s="3198" t="s">
        <v>2814</v>
      </c>
      <c r="J40" s="3198">
        <v>35307.26</v>
      </c>
      <c r="K40" s="3198">
        <v>6256.25</v>
      </c>
      <c r="L40" s="3198" t="s">
        <v>2814</v>
      </c>
      <c r="M40" s="3198" t="s">
        <v>3162</v>
      </c>
      <c r="N40" s="3198" t="s">
        <v>3038</v>
      </c>
    </row>
    <row r="41" spans="1:15" s="3199" customFormat="1" ht="14.25">
      <c r="A41" s="3198" t="s">
        <v>3163</v>
      </c>
      <c r="B41" s="3198" t="s">
        <v>3035</v>
      </c>
      <c r="C41" s="3198" t="s">
        <v>3036</v>
      </c>
      <c r="D41" s="3198">
        <v>56316.7</v>
      </c>
      <c r="E41" s="3198">
        <v>95738.39</v>
      </c>
      <c r="F41" s="3198" t="s">
        <v>3164</v>
      </c>
      <c r="G41" s="3198" t="s">
        <v>3037</v>
      </c>
      <c r="H41" s="3198" t="s">
        <v>3165</v>
      </c>
      <c r="I41" s="3198" t="s">
        <v>2814</v>
      </c>
      <c r="J41" s="3198">
        <v>81152.36</v>
      </c>
      <c r="K41" s="3198">
        <v>8476.4599999999991</v>
      </c>
      <c r="L41" s="3198" t="s">
        <v>2814</v>
      </c>
      <c r="M41" s="3198" t="s">
        <v>3166</v>
      </c>
      <c r="N41" s="3198" t="s">
        <v>3038</v>
      </c>
    </row>
    <row r="42" spans="1:15" s="3199" customFormat="1" ht="14.25">
      <c r="A42" s="3198" t="s">
        <v>3167</v>
      </c>
      <c r="B42" s="3198" t="s">
        <v>3035</v>
      </c>
      <c r="C42" s="3198" t="s">
        <v>3036</v>
      </c>
      <c r="D42" s="3198">
        <v>83952.1</v>
      </c>
      <c r="E42" s="3198">
        <v>155311.4</v>
      </c>
      <c r="F42" s="3198" t="s">
        <v>3168</v>
      </c>
      <c r="G42" s="3198" t="s">
        <v>3037</v>
      </c>
      <c r="H42" s="3198" t="s">
        <v>3169</v>
      </c>
      <c r="I42" s="3198" t="s">
        <v>2814</v>
      </c>
      <c r="J42" s="3198">
        <v>81181.67</v>
      </c>
      <c r="K42" s="3198">
        <v>5227.0200000000004</v>
      </c>
      <c r="L42" s="3198" t="s">
        <v>2814</v>
      </c>
      <c r="M42" s="3198" t="s">
        <v>3170</v>
      </c>
      <c r="N42" s="3198" t="s">
        <v>3038</v>
      </c>
    </row>
    <row r="43" spans="1:15" s="3199" customFormat="1" ht="14.25">
      <c r="A43" s="3198" t="s">
        <v>3171</v>
      </c>
      <c r="B43" s="3198" t="s">
        <v>3035</v>
      </c>
      <c r="C43" s="3198" t="s">
        <v>3036</v>
      </c>
      <c r="D43" s="3198">
        <v>5645.44</v>
      </c>
      <c r="E43" s="3198">
        <v>25404.48</v>
      </c>
      <c r="F43" s="3198" t="s">
        <v>3172</v>
      </c>
      <c r="G43" s="3198" t="s">
        <v>3039</v>
      </c>
      <c r="H43" s="3198" t="s">
        <v>3173</v>
      </c>
      <c r="I43" s="3198" t="s">
        <v>2814</v>
      </c>
      <c r="J43" s="3198">
        <v>6006.75</v>
      </c>
      <c r="K43" s="3198">
        <v>2364.44</v>
      </c>
      <c r="L43" s="3198" t="s">
        <v>2814</v>
      </c>
      <c r="M43" s="3198" t="s">
        <v>3174</v>
      </c>
      <c r="N43" s="3198" t="s">
        <v>3038</v>
      </c>
    </row>
    <row r="44" spans="1:15" s="3199" customFormat="1" ht="14.25">
      <c r="A44" s="3198" t="s">
        <v>3175</v>
      </c>
      <c r="B44" s="3198" t="s">
        <v>3035</v>
      </c>
      <c r="C44" s="3198" t="s">
        <v>3036</v>
      </c>
      <c r="D44" s="3198">
        <v>1080.52</v>
      </c>
      <c r="E44" s="3198">
        <v>4105.9799999999996</v>
      </c>
      <c r="F44" s="3198" t="s">
        <v>3176</v>
      </c>
      <c r="G44" s="3198" t="s">
        <v>3039</v>
      </c>
      <c r="H44" s="3198" t="s">
        <v>3173</v>
      </c>
      <c r="I44" s="3198" t="s">
        <v>2814</v>
      </c>
      <c r="J44" s="3198">
        <v>995.15</v>
      </c>
      <c r="K44" s="3198">
        <v>2423.67</v>
      </c>
      <c r="L44" s="3198" t="s">
        <v>2814</v>
      </c>
      <c r="M44" s="3198" t="s">
        <v>3174</v>
      </c>
      <c r="N44" s="3198" t="s">
        <v>3038</v>
      </c>
    </row>
    <row r="45" spans="1:15" s="3199" customFormat="1" ht="14.25">
      <c r="A45" s="3198" t="s">
        <v>3177</v>
      </c>
      <c r="B45" s="3198" t="s">
        <v>3035</v>
      </c>
      <c r="C45" s="3198" t="s">
        <v>3036</v>
      </c>
      <c r="D45" s="3198">
        <v>36718.019999999997</v>
      </c>
      <c r="E45" s="3198">
        <v>62420.63</v>
      </c>
      <c r="F45" s="3198" t="s">
        <v>3164</v>
      </c>
      <c r="G45" s="3198" t="s">
        <v>3037</v>
      </c>
      <c r="H45" s="3198" t="s">
        <v>3178</v>
      </c>
      <c r="I45" s="3198" t="s">
        <v>2814</v>
      </c>
      <c r="J45" s="3198">
        <v>20929.27</v>
      </c>
      <c r="K45" s="3198">
        <v>3352.94</v>
      </c>
      <c r="L45" s="3198" t="s">
        <v>2814</v>
      </c>
      <c r="M45" s="3198" t="s">
        <v>3179</v>
      </c>
      <c r="N45" s="3198" t="s">
        <v>3038</v>
      </c>
    </row>
    <row r="46" spans="1:15" s="3199" customFormat="1" ht="14.25">
      <c r="A46" s="3198" t="s">
        <v>3180</v>
      </c>
      <c r="B46" s="3198" t="s">
        <v>3035</v>
      </c>
      <c r="C46" s="3198" t="s">
        <v>3040</v>
      </c>
      <c r="D46" s="3198">
        <v>5188.8</v>
      </c>
      <c r="E46" s="3198">
        <v>10896.48</v>
      </c>
      <c r="F46" s="3198" t="s">
        <v>3181</v>
      </c>
      <c r="G46" s="3198" t="s">
        <v>3037</v>
      </c>
      <c r="H46" s="3198" t="s">
        <v>3182</v>
      </c>
      <c r="I46" s="3198">
        <v>5837.39</v>
      </c>
      <c r="J46" s="3198">
        <v>5842.59</v>
      </c>
      <c r="K46" s="3198">
        <v>5361.9</v>
      </c>
      <c r="L46" s="3198">
        <v>0.09</v>
      </c>
      <c r="M46" s="3198" t="s">
        <v>3183</v>
      </c>
      <c r="N46" s="3198" t="s">
        <v>3038</v>
      </c>
    </row>
    <row r="47" spans="1:15" s="3199" customFormat="1" ht="14.25">
      <c r="A47" s="3198" t="s">
        <v>3184</v>
      </c>
      <c r="B47" s="3198" t="s">
        <v>3035</v>
      </c>
      <c r="C47" s="3198" t="s">
        <v>3040</v>
      </c>
      <c r="D47" s="3198">
        <v>20579.93</v>
      </c>
      <c r="E47" s="3198">
        <v>45275.85</v>
      </c>
      <c r="F47" s="3198" t="s">
        <v>3185</v>
      </c>
      <c r="G47" s="3198" t="s">
        <v>3037</v>
      </c>
      <c r="H47" s="3198" t="s">
        <v>3182</v>
      </c>
      <c r="I47" s="3198">
        <v>21608.93</v>
      </c>
      <c r="J47" s="3198">
        <v>21629.5</v>
      </c>
      <c r="K47" s="3198">
        <v>4777.2700000000004</v>
      </c>
      <c r="L47" s="3198">
        <v>0.1</v>
      </c>
      <c r="M47" s="3198" t="s">
        <v>3183</v>
      </c>
      <c r="N47" s="3198" t="s">
        <v>3038</v>
      </c>
    </row>
    <row r="48" spans="1:15" s="3199" customFormat="1" ht="14.25">
      <c r="A48" s="3198" t="s">
        <v>3186</v>
      </c>
      <c r="B48" s="3198" t="s">
        <v>3035</v>
      </c>
      <c r="C48" s="3198" t="s">
        <v>3036</v>
      </c>
      <c r="D48" s="3198">
        <v>8425</v>
      </c>
      <c r="E48" s="3198">
        <v>16850</v>
      </c>
      <c r="F48" s="3198" t="s">
        <v>3187</v>
      </c>
      <c r="G48" s="3198" t="s">
        <v>3037</v>
      </c>
      <c r="H48" s="3198" t="s">
        <v>3188</v>
      </c>
      <c r="I48" s="3198">
        <v>8644.0400000000009</v>
      </c>
      <c r="J48" s="3198">
        <v>9436</v>
      </c>
      <c r="K48" s="3198">
        <v>5600</v>
      </c>
      <c r="L48" s="3198">
        <v>9.16</v>
      </c>
      <c r="M48" s="3198" t="s">
        <v>3083</v>
      </c>
      <c r="N48" s="3198" t="s">
        <v>3038</v>
      </c>
    </row>
    <row r="49" spans="1:14" s="3199" customFormat="1" ht="14.25">
      <c r="A49" s="3198" t="s">
        <v>3189</v>
      </c>
      <c r="B49" s="3198" t="s">
        <v>3035</v>
      </c>
      <c r="C49" s="3198" t="s">
        <v>3036</v>
      </c>
      <c r="D49" s="3198">
        <v>35252.6</v>
      </c>
      <c r="E49" s="3198">
        <v>70505.2</v>
      </c>
      <c r="F49" s="3198" t="s">
        <v>3190</v>
      </c>
      <c r="G49" s="3198" t="s">
        <v>3037</v>
      </c>
      <c r="H49" s="3198" t="s">
        <v>3191</v>
      </c>
      <c r="I49" s="3198">
        <v>35605.120000000003</v>
      </c>
      <c r="J49" s="3198">
        <v>35605.120000000003</v>
      </c>
      <c r="K49" s="3198">
        <v>5050</v>
      </c>
      <c r="L49" s="3198">
        <v>0</v>
      </c>
      <c r="M49" s="3198" t="s">
        <v>3192</v>
      </c>
      <c r="N49" s="3198" t="s">
        <v>3038</v>
      </c>
    </row>
    <row r="50" spans="1:14" s="3199" customFormat="1" ht="14.25">
      <c r="A50" s="3198" t="s">
        <v>3193</v>
      </c>
      <c r="B50" s="3198" t="s">
        <v>3035</v>
      </c>
      <c r="C50" s="3198" t="s">
        <v>3036</v>
      </c>
      <c r="D50" s="3198">
        <v>8834</v>
      </c>
      <c r="E50" s="3198">
        <v>14134.4</v>
      </c>
      <c r="F50" s="3198" t="s">
        <v>3194</v>
      </c>
      <c r="G50" s="3198" t="s">
        <v>3039</v>
      </c>
      <c r="H50" s="3198" t="s">
        <v>3195</v>
      </c>
      <c r="I50" s="3198" t="s">
        <v>2814</v>
      </c>
      <c r="J50" s="3198">
        <v>5917.89</v>
      </c>
      <c r="K50" s="3198">
        <v>4186.88</v>
      </c>
      <c r="L50" s="3198" t="s">
        <v>2814</v>
      </c>
      <c r="M50" s="3198" t="s">
        <v>3196</v>
      </c>
      <c r="N50" s="3198" t="s">
        <v>3038</v>
      </c>
    </row>
    <row r="51" spans="1:14" s="3199" customFormat="1" ht="14.25">
      <c r="A51" s="3198" t="s">
        <v>3197</v>
      </c>
      <c r="B51" s="3198" t="s">
        <v>3035</v>
      </c>
      <c r="C51" s="3198" t="s">
        <v>3036</v>
      </c>
      <c r="D51" s="3198">
        <v>60274</v>
      </c>
      <c r="E51" s="3198">
        <v>132602.79999999999</v>
      </c>
      <c r="F51" s="3198" t="s">
        <v>3198</v>
      </c>
      <c r="G51" s="3198" t="s">
        <v>3039</v>
      </c>
      <c r="H51" s="3198" t="s">
        <v>3199</v>
      </c>
      <c r="I51" s="3198" t="s">
        <v>2814</v>
      </c>
      <c r="J51" s="3198">
        <v>37189.050000000003</v>
      </c>
      <c r="K51" s="3198">
        <v>2804.55</v>
      </c>
      <c r="L51" s="3198" t="s">
        <v>2814</v>
      </c>
      <c r="M51" s="3198" t="s">
        <v>3200</v>
      </c>
      <c r="N51" s="3198" t="s">
        <v>3038</v>
      </c>
    </row>
    <row r="52" spans="1:14" ht="14.25">
      <c r="A52" s="3192"/>
      <c r="B52" s="3192"/>
      <c r="C52" s="3192"/>
      <c r="D52" s="3192"/>
      <c r="E52" s="3192"/>
      <c r="F52" s="3192"/>
      <c r="G52" s="3192"/>
      <c r="H52" s="3192"/>
      <c r="I52" s="3192"/>
      <c r="J52" s="3192"/>
      <c r="K52" s="3192"/>
      <c r="L52" s="3192"/>
      <c r="M52" s="3192"/>
      <c r="N52" s="3192"/>
    </row>
    <row r="53" spans="1:14" ht="14.25">
      <c r="A53" s="3192"/>
      <c r="B53" s="3192"/>
      <c r="C53" s="3192"/>
      <c r="D53" s="3192"/>
      <c r="E53" s="3192"/>
      <c r="F53" s="3192"/>
      <c r="G53" s="3192"/>
      <c r="H53" s="3192"/>
      <c r="I53" s="3192"/>
      <c r="J53" s="3192"/>
      <c r="K53" s="3192"/>
      <c r="L53" s="3192"/>
      <c r="M53" s="3192"/>
      <c r="N53" s="3192"/>
    </row>
    <row r="54" spans="1:14" ht="14.25">
      <c r="A54" s="3192"/>
      <c r="B54" s="3192"/>
      <c r="C54" s="3192"/>
      <c r="D54" s="3192"/>
      <c r="E54" s="3192"/>
      <c r="F54" s="3192"/>
      <c r="G54" s="3192"/>
      <c r="H54" s="3192"/>
      <c r="I54" s="3192"/>
      <c r="J54" s="3192"/>
      <c r="K54" s="3192"/>
      <c r="L54" s="3192"/>
      <c r="M54" s="3192"/>
      <c r="N54" s="3192"/>
    </row>
    <row r="55" spans="1:14" ht="14.25">
      <c r="A55" s="3192"/>
      <c r="B55" s="3192"/>
      <c r="C55" s="3192"/>
      <c r="D55" s="3192"/>
      <c r="E55" s="3192"/>
      <c r="F55" s="3192"/>
      <c r="G55" s="3192"/>
      <c r="H55" s="3192"/>
      <c r="I55" s="3192"/>
      <c r="J55" s="3192"/>
      <c r="K55" s="3192"/>
      <c r="L55" s="3192"/>
      <c r="M55" s="3192"/>
      <c r="N55" s="3192"/>
    </row>
    <row r="56" spans="1:14" ht="14.25">
      <c r="A56" s="3192"/>
      <c r="B56" s="3192"/>
      <c r="C56" s="3192"/>
      <c r="D56" s="3192"/>
      <c r="E56" s="3192"/>
      <c r="F56" s="3192"/>
      <c r="G56" s="3192"/>
      <c r="H56" s="3192"/>
      <c r="I56" s="3192"/>
      <c r="J56" s="3192"/>
      <c r="K56" s="3192"/>
      <c r="L56" s="3192"/>
      <c r="M56" s="3192"/>
      <c r="N56" s="3192"/>
    </row>
    <row r="57" spans="1:14" ht="14.25">
      <c r="A57" s="3192"/>
      <c r="B57" s="3192"/>
      <c r="C57" s="3192"/>
      <c r="D57" s="3192"/>
      <c r="E57" s="3192"/>
      <c r="F57" s="3192"/>
      <c r="G57" s="3192"/>
      <c r="H57" s="3192"/>
      <c r="I57" s="3192"/>
      <c r="J57" s="3192"/>
      <c r="K57" s="3192"/>
      <c r="L57" s="3192"/>
      <c r="M57" s="3192"/>
      <c r="N57" s="3192"/>
    </row>
    <row r="58" spans="1:14" ht="14.25">
      <c r="A58" s="3192"/>
      <c r="B58" s="3192"/>
      <c r="C58" s="3192"/>
      <c r="D58" s="3192"/>
      <c r="E58" s="3192"/>
      <c r="F58" s="3192"/>
      <c r="G58" s="3192"/>
      <c r="H58" s="3192"/>
      <c r="I58" s="3192"/>
      <c r="J58" s="3192"/>
      <c r="K58" s="3192"/>
      <c r="L58" s="3192"/>
      <c r="M58" s="3192"/>
      <c r="N58" s="3192"/>
    </row>
    <row r="59" spans="1:14" ht="14.25">
      <c r="A59" s="3192"/>
      <c r="B59" s="3192"/>
      <c r="C59" s="3192"/>
      <c r="D59" s="3192"/>
      <c r="E59" s="3192"/>
      <c r="F59" s="3192"/>
      <c r="G59" s="3192"/>
      <c r="H59" s="3192"/>
      <c r="I59" s="3192"/>
      <c r="J59" s="3192"/>
      <c r="K59" s="3192"/>
      <c r="L59" s="3192"/>
      <c r="M59" s="3192"/>
      <c r="N59" s="3192"/>
    </row>
    <row r="60" spans="1:14" ht="14.25">
      <c r="A60" s="3192"/>
      <c r="B60" s="3192"/>
      <c r="C60" s="3192"/>
      <c r="D60" s="3192"/>
      <c r="E60" s="3192"/>
      <c r="F60" s="3192"/>
      <c r="G60" s="3192"/>
      <c r="H60" s="3192"/>
      <c r="I60" s="3192"/>
      <c r="J60" s="3192"/>
      <c r="K60" s="3192"/>
      <c r="L60" s="3192"/>
      <c r="M60" s="3192"/>
      <c r="N60" s="3192"/>
    </row>
    <row r="61" spans="1:14" ht="14.25">
      <c r="A61" s="3192"/>
      <c r="B61" s="3192"/>
      <c r="C61" s="3192"/>
      <c r="D61" s="3192"/>
      <c r="E61" s="3192"/>
      <c r="F61" s="3192"/>
      <c r="G61" s="3192"/>
      <c r="H61" s="3192"/>
      <c r="I61" s="3192"/>
      <c r="J61" s="3192"/>
      <c r="K61" s="3192"/>
      <c r="L61" s="3192"/>
      <c r="M61" s="3192"/>
      <c r="N61" s="3192"/>
    </row>
    <row r="62" spans="1:14" ht="14.25">
      <c r="A62" s="3192"/>
      <c r="B62" s="3192"/>
      <c r="C62" s="3192"/>
      <c r="D62" s="3192"/>
      <c r="E62" s="3192"/>
      <c r="F62" s="3192"/>
      <c r="G62" s="3192"/>
      <c r="H62" s="3192"/>
      <c r="I62" s="3192"/>
      <c r="J62" s="3192"/>
      <c r="K62" s="3192"/>
      <c r="L62" s="3192"/>
      <c r="M62" s="3192"/>
      <c r="N62" s="3192"/>
    </row>
    <row r="63" spans="1:14" ht="14.25">
      <c r="A63" s="3192"/>
      <c r="B63" s="3192"/>
      <c r="C63" s="3192"/>
      <c r="D63" s="3192"/>
      <c r="E63" s="3192"/>
      <c r="F63" s="3192"/>
      <c r="G63" s="3192"/>
      <c r="H63" s="3192"/>
      <c r="I63" s="3192"/>
      <c r="J63" s="3192"/>
      <c r="K63" s="3192"/>
      <c r="L63" s="3192"/>
      <c r="M63" s="3192"/>
      <c r="N63" s="3192"/>
    </row>
    <row r="64" spans="1:14" ht="14.25">
      <c r="A64" s="3192"/>
      <c r="B64" s="3192"/>
      <c r="C64" s="3192"/>
      <c r="D64" s="3192"/>
      <c r="E64" s="3192"/>
      <c r="F64" s="3192"/>
      <c r="G64" s="3192"/>
      <c r="H64" s="3192"/>
      <c r="I64" s="3192"/>
      <c r="J64" s="3192"/>
      <c r="K64" s="3192"/>
      <c r="L64" s="3192"/>
      <c r="M64" s="3192"/>
      <c r="N64" s="3192"/>
    </row>
    <row r="65" spans="1:14" ht="14.25">
      <c r="A65" s="3192"/>
      <c r="B65" s="3192"/>
      <c r="C65" s="3192"/>
      <c r="D65" s="3192"/>
      <c r="E65" s="3192"/>
      <c r="F65" s="3192"/>
      <c r="G65" s="3192"/>
      <c r="H65" s="3192"/>
      <c r="I65" s="3192"/>
      <c r="J65" s="3192"/>
      <c r="K65" s="3192"/>
      <c r="L65" s="3192"/>
      <c r="M65" s="3192"/>
      <c r="N65" s="3192"/>
    </row>
    <row r="66" spans="1:14" ht="14.25">
      <c r="A66" s="3192"/>
      <c r="B66" s="3192"/>
      <c r="C66" s="3192"/>
      <c r="D66" s="3192"/>
      <c r="E66" s="3192"/>
      <c r="F66" s="3192"/>
      <c r="G66" s="3192"/>
      <c r="H66" s="3192"/>
      <c r="I66" s="3192"/>
      <c r="J66" s="3192"/>
      <c r="K66" s="3192"/>
      <c r="L66" s="3192"/>
      <c r="M66" s="3192"/>
      <c r="N66" s="3192"/>
    </row>
    <row r="67" spans="1:14" ht="14.25">
      <c r="A67" s="3192"/>
      <c r="B67" s="3192"/>
      <c r="C67" s="3192"/>
      <c r="D67" s="3192"/>
      <c r="E67" s="3192"/>
      <c r="F67" s="3192"/>
      <c r="G67" s="3192"/>
      <c r="H67" s="3192"/>
      <c r="I67" s="3192"/>
      <c r="J67" s="3192"/>
      <c r="K67" s="3192"/>
      <c r="L67" s="3192"/>
      <c r="M67" s="3192"/>
      <c r="N67" s="3192"/>
    </row>
    <row r="68" spans="1:14" ht="14.25">
      <c r="A68" s="3192"/>
      <c r="B68" s="3192"/>
      <c r="C68" s="3192"/>
      <c r="D68" s="3192"/>
      <c r="E68" s="3192"/>
      <c r="F68" s="3192"/>
      <c r="G68" s="3192"/>
      <c r="H68" s="3192"/>
      <c r="I68" s="3192"/>
      <c r="J68" s="3192"/>
      <c r="K68" s="3192"/>
      <c r="L68" s="3192"/>
      <c r="M68" s="3192"/>
      <c r="N68" s="3192"/>
    </row>
    <row r="69" spans="1:14" ht="14.25">
      <c r="A69" s="3192"/>
      <c r="B69" s="3192"/>
      <c r="C69" s="3192"/>
      <c r="D69" s="3192"/>
      <c r="E69" s="3192"/>
      <c r="F69" s="3192"/>
      <c r="G69" s="3192"/>
      <c r="H69" s="3192"/>
      <c r="I69" s="3192"/>
      <c r="J69" s="3192"/>
      <c r="K69" s="3192"/>
      <c r="L69" s="3192"/>
      <c r="M69" s="3192"/>
      <c r="N69" s="3192"/>
    </row>
    <row r="70" spans="1:14" ht="14.25">
      <c r="A70" s="3192"/>
      <c r="B70" s="3192"/>
      <c r="C70" s="3192"/>
      <c r="D70" s="3192"/>
      <c r="E70" s="3192"/>
      <c r="F70" s="3192"/>
      <c r="G70" s="3192"/>
      <c r="H70" s="3192"/>
      <c r="I70" s="3192"/>
      <c r="J70" s="3192"/>
      <c r="K70" s="3192"/>
      <c r="L70" s="3192"/>
      <c r="M70" s="3192"/>
      <c r="N70" s="3192"/>
    </row>
    <row r="71" spans="1:14" ht="14.25">
      <c r="A71" s="3192"/>
      <c r="B71" s="3192"/>
      <c r="C71" s="3192"/>
      <c r="D71" s="3192"/>
      <c r="E71" s="3192"/>
      <c r="F71" s="3192"/>
      <c r="G71" s="3192"/>
      <c r="H71" s="3192"/>
      <c r="I71" s="3192"/>
      <c r="J71" s="3192"/>
      <c r="K71" s="3192"/>
      <c r="L71" s="3192"/>
      <c r="M71" s="3192"/>
      <c r="N71" s="3192"/>
    </row>
    <row r="72" spans="1:14" ht="14.25">
      <c r="A72" s="3192"/>
      <c r="B72" s="3192"/>
      <c r="C72" s="3192"/>
      <c r="D72" s="3192"/>
      <c r="E72" s="3192"/>
      <c r="F72" s="3192"/>
      <c r="G72" s="3192"/>
      <c r="H72" s="3192"/>
      <c r="I72" s="3192"/>
      <c r="J72" s="3192"/>
      <c r="K72" s="3192"/>
      <c r="L72" s="3192"/>
      <c r="M72" s="3192"/>
      <c r="N72" s="3192"/>
    </row>
    <row r="73" spans="1:14" ht="14.25">
      <c r="A73" s="3192"/>
      <c r="B73" s="3192"/>
      <c r="C73" s="3192"/>
      <c r="D73" s="3192"/>
      <c r="E73" s="3192"/>
      <c r="F73" s="3192"/>
      <c r="G73" s="3192"/>
      <c r="H73" s="3192"/>
      <c r="I73" s="3192"/>
      <c r="J73" s="3192"/>
      <c r="K73" s="3192"/>
      <c r="L73" s="3192"/>
      <c r="M73" s="3192"/>
      <c r="N73" s="3192"/>
    </row>
    <row r="74" spans="1:14" ht="14.25">
      <c r="A74" s="3192"/>
      <c r="B74" s="3192"/>
      <c r="C74" s="3192"/>
      <c r="D74" s="3192"/>
      <c r="E74" s="3192"/>
      <c r="F74" s="3192"/>
      <c r="G74" s="3192"/>
      <c r="H74" s="3192"/>
      <c r="I74" s="3192"/>
      <c r="J74" s="3192"/>
      <c r="K74" s="3192"/>
      <c r="L74" s="3192"/>
      <c r="M74" s="3192"/>
      <c r="N74" s="3192"/>
    </row>
    <row r="75" spans="1:14" ht="14.25">
      <c r="A75" s="3192"/>
      <c r="B75" s="3192"/>
      <c r="C75" s="3192"/>
      <c r="D75" s="3192"/>
      <c r="E75" s="3192"/>
      <c r="F75" s="3192"/>
      <c r="G75" s="3192"/>
      <c r="H75" s="3192"/>
      <c r="I75" s="3192"/>
      <c r="J75" s="3192"/>
      <c r="K75" s="3192"/>
      <c r="L75" s="3192"/>
      <c r="M75" s="3192"/>
      <c r="N75" s="3192"/>
    </row>
    <row r="76" spans="1:14" ht="14.25">
      <c r="A76" s="3192"/>
      <c r="B76" s="3192"/>
      <c r="C76" s="3192"/>
      <c r="D76" s="3192"/>
      <c r="E76" s="3192"/>
      <c r="F76" s="3192"/>
      <c r="G76" s="3192"/>
      <c r="H76" s="3192"/>
      <c r="I76" s="3192"/>
      <c r="J76" s="3192"/>
      <c r="K76" s="3192"/>
      <c r="L76" s="3192"/>
      <c r="M76" s="3192"/>
      <c r="N76" s="3192"/>
    </row>
    <row r="77" spans="1:14" ht="14.25">
      <c r="A77" s="3192"/>
      <c r="B77" s="3192"/>
      <c r="C77" s="3192"/>
      <c r="D77" s="3192"/>
      <c r="E77" s="3192"/>
      <c r="F77" s="3192"/>
      <c r="G77" s="3192"/>
      <c r="H77" s="3192"/>
      <c r="I77" s="3192"/>
      <c r="J77" s="3192"/>
      <c r="K77" s="3192"/>
      <c r="L77" s="3192"/>
      <c r="M77" s="3192"/>
      <c r="N77" s="3192"/>
    </row>
    <row r="78" spans="1:14" ht="14.25">
      <c r="A78" s="3192"/>
      <c r="B78" s="3192"/>
      <c r="C78" s="3192"/>
      <c r="D78" s="3192"/>
      <c r="E78" s="3192"/>
      <c r="F78" s="3192"/>
      <c r="G78" s="3192"/>
      <c r="H78" s="3192"/>
      <c r="I78" s="3192"/>
      <c r="J78" s="3192"/>
      <c r="K78" s="3192"/>
      <c r="L78" s="3192"/>
      <c r="M78" s="3192"/>
      <c r="N78" s="3192"/>
    </row>
    <row r="79" spans="1:14" ht="14.25">
      <c r="A79" s="3192"/>
      <c r="B79" s="3192"/>
      <c r="C79" s="3192"/>
      <c r="D79" s="3192"/>
      <c r="E79" s="3192"/>
      <c r="F79" s="3192"/>
      <c r="G79" s="3192"/>
      <c r="H79" s="3192"/>
      <c r="I79" s="3192"/>
      <c r="J79" s="3192"/>
      <c r="K79" s="3192"/>
      <c r="L79" s="3192"/>
      <c r="M79" s="3192"/>
      <c r="N79" s="3192"/>
    </row>
    <row r="80" spans="1:14" ht="14.25">
      <c r="A80" s="3192"/>
      <c r="B80" s="3192"/>
      <c r="C80" s="3192"/>
      <c r="D80" s="3192"/>
      <c r="E80" s="3192"/>
      <c r="F80" s="3192"/>
      <c r="G80" s="3192"/>
      <c r="H80" s="3192"/>
      <c r="I80" s="3192"/>
      <c r="J80" s="3192"/>
      <c r="K80" s="3192"/>
      <c r="L80" s="3192"/>
      <c r="M80" s="3192"/>
      <c r="N80" s="3192"/>
    </row>
    <row r="81" spans="1:14" ht="14.25">
      <c r="A81" s="3192"/>
      <c r="B81" s="3192"/>
      <c r="C81" s="3192"/>
      <c r="D81" s="3192"/>
      <c r="E81" s="3192"/>
      <c r="F81" s="3192"/>
      <c r="G81" s="3192"/>
      <c r="H81" s="3192"/>
      <c r="I81" s="3192"/>
      <c r="J81" s="3192"/>
      <c r="K81" s="3192"/>
      <c r="L81" s="3192"/>
      <c r="M81" s="3192"/>
      <c r="N81" s="3192"/>
    </row>
    <row r="82" spans="1:14" ht="14.25">
      <c r="A82" s="3192"/>
      <c r="B82" s="3192"/>
      <c r="C82" s="3192"/>
      <c r="D82" s="3192"/>
      <c r="E82" s="3192"/>
      <c r="F82" s="3192"/>
      <c r="G82" s="3192"/>
      <c r="H82" s="3192"/>
      <c r="I82" s="3192"/>
      <c r="J82" s="3192"/>
      <c r="K82" s="3192"/>
      <c r="L82" s="3192"/>
      <c r="M82" s="3192"/>
      <c r="N82" s="3192"/>
    </row>
    <row r="83" spans="1:14" ht="14.25">
      <c r="A83" s="3192"/>
      <c r="B83" s="3192"/>
      <c r="C83" s="3192"/>
      <c r="D83" s="3192"/>
      <c r="E83" s="3192"/>
      <c r="F83" s="3192"/>
      <c r="G83" s="3192"/>
      <c r="H83" s="3192"/>
      <c r="I83" s="3192"/>
      <c r="J83" s="3192"/>
      <c r="K83" s="3192"/>
      <c r="L83" s="3192"/>
      <c r="M83" s="3192"/>
      <c r="N83" s="3192"/>
    </row>
    <row r="84" spans="1:14" ht="14.25">
      <c r="A84" s="3192"/>
      <c r="B84" s="3192"/>
      <c r="C84" s="3192"/>
      <c r="D84" s="3192"/>
      <c r="E84" s="3192"/>
      <c r="F84" s="3192"/>
      <c r="G84" s="3192"/>
      <c r="H84" s="3192"/>
      <c r="I84" s="3192"/>
      <c r="J84" s="3192"/>
      <c r="K84" s="3192"/>
      <c r="L84" s="3192"/>
      <c r="M84" s="3192"/>
      <c r="N84" s="3192"/>
    </row>
    <row r="85" spans="1:14" ht="14.25">
      <c r="A85" s="3192"/>
      <c r="B85" s="3192"/>
      <c r="C85" s="3192"/>
      <c r="D85" s="3192"/>
      <c r="E85" s="3192"/>
      <c r="F85" s="3192"/>
      <c r="G85" s="3192"/>
      <c r="H85" s="3192"/>
      <c r="I85" s="3192"/>
      <c r="J85" s="3192"/>
      <c r="K85" s="3192"/>
      <c r="L85" s="3192"/>
      <c r="M85" s="3192"/>
      <c r="N85" s="3192"/>
    </row>
    <row r="86" spans="1:14" ht="14.25">
      <c r="A86" s="3192"/>
      <c r="B86" s="3192"/>
      <c r="C86" s="3192"/>
      <c r="D86" s="3192"/>
      <c r="E86" s="3192"/>
      <c r="F86" s="3192"/>
      <c r="G86" s="3192"/>
      <c r="H86" s="3192"/>
      <c r="I86" s="3192"/>
      <c r="J86" s="3192"/>
      <c r="K86" s="3192"/>
      <c r="L86" s="3192"/>
      <c r="M86" s="3192"/>
      <c r="N86" s="3192"/>
    </row>
    <row r="87" spans="1:14" ht="14.25">
      <c r="A87" s="3192"/>
      <c r="B87" s="3192"/>
      <c r="C87" s="3192"/>
      <c r="D87" s="3192"/>
      <c r="E87" s="3192"/>
      <c r="F87" s="3192"/>
      <c r="G87" s="3192"/>
      <c r="H87" s="3192"/>
      <c r="I87" s="3192"/>
      <c r="J87" s="3192"/>
      <c r="K87" s="3192"/>
      <c r="L87" s="3192"/>
      <c r="M87" s="3192"/>
      <c r="N87" s="3192"/>
    </row>
    <row r="88" spans="1:14" ht="14.25">
      <c r="A88" s="3192"/>
      <c r="B88" s="3192"/>
      <c r="C88" s="3192"/>
      <c r="D88" s="3192"/>
      <c r="E88" s="3192"/>
      <c r="F88" s="3192"/>
      <c r="G88" s="3192"/>
      <c r="H88" s="3192"/>
      <c r="I88" s="3192"/>
      <c r="J88" s="3192"/>
      <c r="K88" s="3192"/>
      <c r="L88" s="3192"/>
      <c r="M88" s="3192"/>
      <c r="N88" s="3192"/>
    </row>
    <row r="89" spans="1:14" ht="14.25">
      <c r="A89" s="3192"/>
      <c r="B89" s="3192"/>
      <c r="C89" s="3192"/>
      <c r="D89" s="3192"/>
      <c r="E89" s="3192"/>
      <c r="F89" s="3192"/>
      <c r="G89" s="3192"/>
      <c r="H89" s="3192"/>
      <c r="I89" s="3192"/>
      <c r="J89" s="3192"/>
      <c r="K89" s="3192"/>
      <c r="L89" s="3192"/>
      <c r="M89" s="3192"/>
      <c r="N89" s="3192"/>
    </row>
    <row r="90" spans="1:14" ht="14.25">
      <c r="A90" s="3192"/>
      <c r="B90" s="3192"/>
      <c r="C90" s="3192"/>
      <c r="D90" s="3192"/>
      <c r="E90" s="3192"/>
      <c r="F90" s="3192"/>
      <c r="G90" s="3192"/>
      <c r="H90" s="3192"/>
      <c r="I90" s="3192"/>
      <c r="J90" s="3192"/>
      <c r="K90" s="3192"/>
      <c r="L90" s="3192"/>
      <c r="M90" s="3192"/>
      <c r="N90" s="3192"/>
    </row>
    <row r="91" spans="1:14" ht="14.25">
      <c r="A91" s="3192"/>
      <c r="B91" s="3192"/>
      <c r="C91" s="3192"/>
      <c r="D91" s="3192"/>
      <c r="E91" s="3192"/>
      <c r="F91" s="3192"/>
      <c r="G91" s="3192"/>
      <c r="H91" s="3192"/>
      <c r="I91" s="3192"/>
      <c r="J91" s="3192"/>
      <c r="K91" s="3192"/>
      <c r="L91" s="3192"/>
      <c r="M91" s="3192"/>
      <c r="N91" s="3192"/>
    </row>
    <row r="92" spans="1:14" ht="14.25">
      <c r="A92" s="3192"/>
      <c r="B92" s="3192"/>
      <c r="C92" s="3192"/>
      <c r="D92" s="3192"/>
      <c r="E92" s="3192"/>
      <c r="F92" s="3192"/>
      <c r="G92" s="3192"/>
      <c r="H92" s="3192"/>
      <c r="I92" s="3192"/>
      <c r="J92" s="3192"/>
      <c r="K92" s="3192"/>
      <c r="L92" s="3192"/>
      <c r="M92" s="3192"/>
      <c r="N92" s="3192"/>
    </row>
    <row r="93" spans="1:14" ht="14.25">
      <c r="A93" s="3192"/>
      <c r="B93" s="3192"/>
      <c r="C93" s="3192"/>
      <c r="D93" s="3192"/>
      <c r="E93" s="3192"/>
      <c r="F93" s="3192"/>
      <c r="G93" s="3192"/>
      <c r="H93" s="3192"/>
      <c r="I93" s="3192"/>
      <c r="J93" s="3192"/>
      <c r="K93" s="3192"/>
      <c r="L93" s="3192"/>
      <c r="M93" s="3192"/>
      <c r="N93" s="3192"/>
    </row>
    <row r="94" spans="1:14" ht="14.25">
      <c r="A94" s="3192"/>
      <c r="B94" s="3192"/>
      <c r="C94" s="3192"/>
      <c r="D94" s="3192"/>
      <c r="E94" s="3192"/>
      <c r="F94" s="3192"/>
      <c r="G94" s="3192"/>
      <c r="H94" s="3192"/>
      <c r="I94" s="3192"/>
      <c r="J94" s="3192"/>
      <c r="K94" s="3192"/>
      <c r="L94" s="3192"/>
      <c r="M94" s="3192"/>
      <c r="N94" s="3192"/>
    </row>
    <row r="95" spans="1:14" ht="14.25">
      <c r="A95" s="3192"/>
      <c r="B95" s="3192"/>
      <c r="C95" s="3192"/>
      <c r="D95" s="3192"/>
      <c r="E95" s="3192"/>
      <c r="F95" s="3192"/>
      <c r="G95" s="3192"/>
      <c r="H95" s="3192"/>
      <c r="I95" s="3192"/>
      <c r="J95" s="3192"/>
      <c r="K95" s="3192"/>
      <c r="L95" s="3192"/>
      <c r="M95" s="3192"/>
      <c r="N95" s="3192"/>
    </row>
    <row r="96" spans="1:14" ht="14.25">
      <c r="A96" s="3192"/>
      <c r="B96" s="3192"/>
      <c r="C96" s="3192"/>
      <c r="D96" s="3192"/>
      <c r="E96" s="3192"/>
      <c r="F96" s="3192"/>
      <c r="G96" s="3192"/>
      <c r="H96" s="3192"/>
      <c r="I96" s="3192"/>
      <c r="J96" s="3192"/>
      <c r="K96" s="3192"/>
      <c r="L96" s="3192"/>
      <c r="M96" s="3192"/>
      <c r="N96" s="3192"/>
    </row>
    <row r="97" spans="1:14" ht="14.25">
      <c r="A97" s="3192"/>
      <c r="B97" s="3192"/>
      <c r="C97" s="3192"/>
      <c r="D97" s="3192"/>
      <c r="E97" s="3192"/>
      <c r="F97" s="3192"/>
      <c r="G97" s="3192"/>
      <c r="H97" s="3192"/>
      <c r="I97" s="3192"/>
      <c r="J97" s="3192"/>
      <c r="K97" s="3192"/>
      <c r="L97" s="3192"/>
      <c r="M97" s="3192"/>
      <c r="N97" s="3192"/>
    </row>
    <row r="98" spans="1:14" ht="14.25">
      <c r="A98" s="3192"/>
      <c r="B98" s="3192"/>
      <c r="C98" s="3192"/>
      <c r="D98" s="3192"/>
      <c r="E98" s="3192"/>
      <c r="F98" s="3192"/>
      <c r="G98" s="3192"/>
      <c r="H98" s="3192"/>
      <c r="I98" s="3192"/>
      <c r="J98" s="3192"/>
      <c r="K98" s="3192"/>
      <c r="L98" s="3192"/>
      <c r="M98" s="3192"/>
      <c r="N98" s="3192"/>
    </row>
    <row r="99" spans="1:14" ht="14.25">
      <c r="A99" s="3192"/>
      <c r="B99" s="3192"/>
      <c r="C99" s="3192"/>
      <c r="D99" s="3192"/>
      <c r="E99" s="3192"/>
      <c r="F99" s="3192"/>
      <c r="G99" s="3192"/>
      <c r="H99" s="3192"/>
      <c r="I99" s="3192"/>
      <c r="J99" s="3192"/>
      <c r="K99" s="3192"/>
      <c r="L99" s="3192"/>
      <c r="M99" s="3192"/>
      <c r="N99" s="3192"/>
    </row>
    <row r="100" spans="1:14" ht="14.25">
      <c r="A100" s="3192"/>
      <c r="B100" s="3192"/>
      <c r="C100" s="3192"/>
      <c r="D100" s="3192"/>
      <c r="E100" s="3192"/>
      <c r="F100" s="3192"/>
      <c r="G100" s="3192"/>
      <c r="H100" s="3192"/>
      <c r="I100" s="3192"/>
      <c r="J100" s="3192"/>
      <c r="K100" s="3192"/>
      <c r="L100" s="3192"/>
      <c r="M100" s="3192"/>
      <c r="N100" s="3192"/>
    </row>
    <row r="101" spans="1:14" ht="14.25">
      <c r="A101" s="3192"/>
      <c r="B101" s="3192"/>
      <c r="C101" s="3192"/>
      <c r="D101" s="3192"/>
      <c r="E101" s="3192"/>
      <c r="F101" s="3192"/>
      <c r="G101" s="3192"/>
      <c r="H101" s="3192"/>
      <c r="I101" s="3192"/>
      <c r="J101" s="3192"/>
      <c r="K101" s="3192"/>
      <c r="L101" s="3192"/>
      <c r="M101" s="3192"/>
      <c r="N101" s="3192"/>
    </row>
    <row r="102" spans="1:14" ht="14.25">
      <c r="A102" s="3193"/>
      <c r="B102" s="3193"/>
      <c r="C102" s="3193"/>
      <c r="D102" s="3193"/>
      <c r="E102" s="3193"/>
      <c r="F102" s="3193"/>
      <c r="G102" s="3193"/>
      <c r="H102" s="3193"/>
      <c r="I102" s="3193"/>
      <c r="J102" s="3193"/>
      <c r="K102" s="3193"/>
      <c r="L102" s="3193"/>
      <c r="M102" s="3193"/>
      <c r="N102" s="3193"/>
    </row>
    <row r="103" spans="1:14" ht="14.25">
      <c r="A103" s="3193"/>
      <c r="B103" s="3193"/>
      <c r="C103" s="3193"/>
      <c r="D103" s="3193"/>
      <c r="E103" s="3193"/>
      <c r="F103" s="3193"/>
      <c r="G103" s="3193"/>
      <c r="H103" s="3193"/>
      <c r="I103" s="3193"/>
      <c r="J103" s="3193"/>
      <c r="K103" s="3193"/>
      <c r="L103" s="3193"/>
      <c r="M103" s="3193"/>
      <c r="N103" s="3193"/>
    </row>
    <row r="104" spans="1:14" ht="14.25">
      <c r="A104" s="3193"/>
      <c r="B104" s="3193"/>
      <c r="C104" s="3193"/>
      <c r="D104" s="3193"/>
      <c r="E104" s="3193"/>
      <c r="F104" s="3193"/>
      <c r="G104" s="3193"/>
      <c r="H104" s="3193"/>
      <c r="I104" s="3193"/>
      <c r="J104" s="3193"/>
      <c r="K104" s="3193"/>
      <c r="L104" s="3193"/>
      <c r="M104" s="3193"/>
      <c r="N104" s="3193"/>
    </row>
    <row r="105" spans="1:14" ht="14.25">
      <c r="A105" s="3193"/>
      <c r="B105" s="3193"/>
      <c r="C105" s="3193"/>
      <c r="D105" s="3193"/>
      <c r="E105" s="3193"/>
      <c r="F105" s="3193"/>
      <c r="G105" s="3193"/>
      <c r="H105" s="3193"/>
      <c r="I105" s="3193"/>
      <c r="J105" s="3193"/>
      <c r="K105" s="3193"/>
      <c r="L105" s="3193"/>
      <c r="M105" s="3193"/>
      <c r="N105" s="3193"/>
    </row>
    <row r="106" spans="1:14" ht="14.25">
      <c r="A106" s="3193"/>
      <c r="B106" s="3193"/>
      <c r="C106" s="3193"/>
      <c r="D106" s="3193"/>
      <c r="E106" s="3193"/>
      <c r="F106" s="3193"/>
      <c r="G106" s="3193"/>
      <c r="H106" s="3193"/>
      <c r="I106" s="3193"/>
      <c r="J106" s="3193"/>
      <c r="K106" s="3193"/>
      <c r="L106" s="3193"/>
      <c r="M106" s="3193"/>
      <c r="N106" s="3193"/>
    </row>
    <row r="107" spans="1:14" ht="14.25">
      <c r="A107" s="3193"/>
      <c r="B107" s="3193"/>
      <c r="C107" s="3193"/>
      <c r="D107" s="3193"/>
      <c r="E107" s="3193"/>
      <c r="F107" s="3193"/>
      <c r="G107" s="3193"/>
      <c r="H107" s="3193"/>
      <c r="I107" s="3193"/>
      <c r="J107" s="3193"/>
      <c r="K107" s="3193"/>
      <c r="L107" s="3193"/>
      <c r="M107" s="3193"/>
      <c r="N107" s="3193"/>
    </row>
    <row r="108" spans="1:14" ht="14.25">
      <c r="A108" s="3193"/>
      <c r="B108" s="3193"/>
      <c r="C108" s="3193"/>
      <c r="D108" s="3193"/>
      <c r="E108" s="3193"/>
      <c r="F108" s="3193"/>
      <c r="G108" s="3193"/>
      <c r="H108" s="3193"/>
      <c r="I108" s="3193"/>
      <c r="J108" s="3193"/>
      <c r="K108" s="3193"/>
      <c r="L108" s="3193"/>
      <c r="M108" s="3193"/>
      <c r="N108" s="3193"/>
    </row>
    <row r="109" spans="1:14" ht="14.25">
      <c r="A109" s="3193"/>
      <c r="B109" s="3193"/>
      <c r="C109" s="3193"/>
      <c r="D109" s="3193"/>
      <c r="E109" s="3193"/>
      <c r="F109" s="3193"/>
      <c r="G109" s="3193"/>
      <c r="H109" s="3193"/>
      <c r="I109" s="3193"/>
      <c r="J109" s="3193"/>
      <c r="K109" s="3193"/>
      <c r="L109" s="3193"/>
      <c r="M109" s="3193"/>
      <c r="N109" s="3193"/>
    </row>
    <row r="110" spans="1:14" ht="14.25">
      <c r="A110" s="3193"/>
      <c r="B110" s="3193"/>
      <c r="C110" s="3193"/>
      <c r="D110" s="3193"/>
      <c r="E110" s="3193"/>
      <c r="F110" s="3193"/>
      <c r="G110" s="3193"/>
      <c r="H110" s="3193"/>
      <c r="I110" s="3193"/>
      <c r="J110" s="3193"/>
      <c r="K110" s="3193"/>
      <c r="L110" s="3193"/>
      <c r="M110" s="3193"/>
      <c r="N110" s="3193"/>
    </row>
    <row r="111" spans="1:14" ht="14.25">
      <c r="A111" s="3193"/>
      <c r="B111" s="3193"/>
      <c r="C111" s="3193"/>
      <c r="D111" s="3193"/>
      <c r="E111" s="3193"/>
      <c r="F111" s="3193"/>
      <c r="G111" s="3193"/>
      <c r="H111" s="3193"/>
      <c r="I111" s="3193"/>
      <c r="J111" s="3193"/>
      <c r="K111" s="3193"/>
      <c r="L111" s="3193"/>
      <c r="M111" s="3193"/>
      <c r="N111" s="3193"/>
    </row>
    <row r="112" spans="1:14" ht="14.25">
      <c r="A112" s="3193"/>
      <c r="B112" s="3193"/>
      <c r="C112" s="3193"/>
      <c r="D112" s="3193"/>
      <c r="E112" s="3193"/>
      <c r="F112" s="3193"/>
      <c r="G112" s="3193"/>
      <c r="H112" s="3193"/>
      <c r="I112" s="3193"/>
      <c r="J112" s="3193"/>
      <c r="K112" s="3193"/>
      <c r="L112" s="3193"/>
      <c r="M112" s="3193"/>
      <c r="N112" s="3193"/>
    </row>
    <row r="113" spans="1:14" ht="14.25">
      <c r="A113" s="3193"/>
      <c r="B113" s="3193"/>
      <c r="C113" s="3193"/>
      <c r="D113" s="3193"/>
      <c r="E113" s="3193"/>
      <c r="F113" s="3193"/>
      <c r="G113" s="3193"/>
      <c r="H113" s="3193"/>
      <c r="I113" s="3193"/>
      <c r="J113" s="3193"/>
      <c r="K113" s="3193"/>
      <c r="L113" s="3193"/>
      <c r="M113" s="3193"/>
      <c r="N113" s="3193"/>
    </row>
    <row r="114" spans="1:14" ht="14.25">
      <c r="A114" s="3193"/>
      <c r="B114" s="3193"/>
      <c r="C114" s="3193"/>
      <c r="D114" s="3193"/>
      <c r="E114" s="3193"/>
      <c r="F114" s="3193"/>
      <c r="G114" s="3193"/>
      <c r="H114" s="3193"/>
      <c r="I114" s="3193"/>
      <c r="J114" s="3193"/>
      <c r="K114" s="3193"/>
      <c r="L114" s="3193"/>
      <c r="M114" s="3193"/>
      <c r="N114" s="3193"/>
    </row>
    <row r="115" spans="1:14" ht="14.25">
      <c r="A115" s="3193"/>
      <c r="B115" s="3193"/>
      <c r="C115" s="3193"/>
      <c r="D115" s="3193"/>
      <c r="E115" s="3193"/>
      <c r="F115" s="3193"/>
      <c r="G115" s="3193"/>
      <c r="H115" s="3193"/>
      <c r="I115" s="3193"/>
      <c r="J115" s="3193"/>
      <c r="K115" s="3193"/>
      <c r="L115" s="3193"/>
      <c r="M115" s="3193"/>
      <c r="N115" s="3193"/>
    </row>
    <row r="116" spans="1:14" ht="14.25">
      <c r="A116" s="3193"/>
      <c r="B116" s="3193"/>
      <c r="C116" s="3193"/>
      <c r="D116" s="3193"/>
      <c r="E116" s="3193"/>
      <c r="F116" s="3193"/>
      <c r="G116" s="3193"/>
      <c r="H116" s="3193"/>
      <c r="I116" s="3193"/>
      <c r="J116" s="3193"/>
      <c r="K116" s="3193"/>
      <c r="L116" s="3193"/>
      <c r="M116" s="3193"/>
      <c r="N116" s="3193"/>
    </row>
    <row r="117" spans="1:14" ht="14.25">
      <c r="A117" s="3193"/>
      <c r="B117" s="3193"/>
      <c r="C117" s="3193"/>
      <c r="D117" s="3193"/>
      <c r="E117" s="3193"/>
      <c r="F117" s="3193"/>
      <c r="G117" s="3193"/>
      <c r="H117" s="3193"/>
      <c r="I117" s="3193"/>
      <c r="J117" s="3193"/>
      <c r="K117" s="3193"/>
      <c r="L117" s="3193"/>
      <c r="M117" s="3193"/>
      <c r="N117" s="3193"/>
    </row>
    <row r="118" spans="1:14" ht="14.25">
      <c r="A118" s="3193"/>
      <c r="B118" s="3193"/>
      <c r="C118" s="3193"/>
      <c r="D118" s="3193"/>
      <c r="E118" s="3193"/>
      <c r="F118" s="3193"/>
      <c r="G118" s="3193"/>
      <c r="H118" s="3193"/>
      <c r="I118" s="3193"/>
      <c r="J118" s="3193"/>
      <c r="K118" s="3193"/>
      <c r="L118" s="3193"/>
      <c r="M118" s="3193"/>
      <c r="N118" s="3193"/>
    </row>
    <row r="119" spans="1:14" ht="14.25">
      <c r="A119" s="3193"/>
      <c r="B119" s="3193"/>
      <c r="C119" s="3193"/>
      <c r="D119" s="3193"/>
      <c r="E119" s="3193"/>
      <c r="F119" s="3193"/>
      <c r="G119" s="3193"/>
      <c r="H119" s="3193"/>
      <c r="I119" s="3193"/>
      <c r="J119" s="3193"/>
      <c r="K119" s="3193"/>
      <c r="L119" s="3193"/>
      <c r="M119" s="3193"/>
      <c r="N119" s="3193"/>
    </row>
    <row r="120" spans="1:14" ht="14.25">
      <c r="A120" s="3193"/>
      <c r="B120" s="3193"/>
      <c r="C120" s="3193"/>
      <c r="D120" s="3193"/>
      <c r="E120" s="3193"/>
      <c r="F120" s="3193"/>
      <c r="G120" s="3193"/>
      <c r="H120" s="3193"/>
      <c r="I120" s="3193"/>
      <c r="J120" s="3193"/>
      <c r="K120" s="3193"/>
      <c r="L120" s="3193"/>
      <c r="M120" s="3193"/>
      <c r="N120" s="3193"/>
    </row>
    <row r="121" spans="1:14" ht="14.25">
      <c r="A121" s="3193"/>
      <c r="B121" s="3193"/>
      <c r="C121" s="3193"/>
      <c r="D121" s="3193"/>
      <c r="E121" s="3193"/>
      <c r="F121" s="3193"/>
      <c r="G121" s="3193"/>
      <c r="H121" s="3193"/>
      <c r="I121" s="3193"/>
      <c r="J121" s="3193"/>
      <c r="K121" s="3193"/>
      <c r="L121" s="3193"/>
      <c r="M121" s="3193"/>
      <c r="N121" s="3193"/>
    </row>
    <row r="122" spans="1:14" ht="14.25">
      <c r="A122" s="3193"/>
      <c r="B122" s="3193"/>
      <c r="C122" s="3193"/>
      <c r="D122" s="3193"/>
      <c r="E122" s="3193"/>
      <c r="F122" s="3193"/>
      <c r="G122" s="3193"/>
      <c r="H122" s="3193"/>
      <c r="I122" s="3193"/>
      <c r="J122" s="3193"/>
      <c r="K122" s="3193"/>
      <c r="L122" s="3193"/>
      <c r="M122" s="3193"/>
      <c r="N122" s="3193"/>
    </row>
    <row r="123" spans="1:14" ht="14.25">
      <c r="A123" s="3193"/>
      <c r="B123" s="3193"/>
      <c r="C123" s="3193"/>
      <c r="D123" s="3193"/>
      <c r="E123" s="3193"/>
      <c r="F123" s="3193"/>
      <c r="G123" s="3193"/>
      <c r="H123" s="3193"/>
      <c r="I123" s="3193"/>
      <c r="J123" s="3193"/>
      <c r="K123" s="3193"/>
      <c r="L123" s="3193"/>
      <c r="M123" s="3193"/>
      <c r="N123" s="3193"/>
    </row>
    <row r="124" spans="1:14" ht="14.25">
      <c r="A124" s="3193"/>
      <c r="B124" s="3193"/>
      <c r="C124" s="3193"/>
      <c r="D124" s="3193"/>
      <c r="E124" s="3193"/>
      <c r="F124" s="3193"/>
      <c r="G124" s="3193"/>
      <c r="H124" s="3193"/>
      <c r="I124" s="3193"/>
      <c r="J124" s="3193"/>
      <c r="K124" s="3193"/>
      <c r="L124" s="3193"/>
      <c r="M124" s="3193"/>
      <c r="N124" s="3193"/>
    </row>
    <row r="125" spans="1:14" ht="14.25">
      <c r="A125" s="3193"/>
      <c r="B125" s="3193"/>
      <c r="C125" s="3193"/>
      <c r="D125" s="3193"/>
      <c r="E125" s="3193"/>
      <c r="F125" s="3193"/>
      <c r="G125" s="3193"/>
      <c r="H125" s="3193"/>
      <c r="I125" s="3193"/>
      <c r="J125" s="3193"/>
      <c r="K125" s="3193"/>
      <c r="L125" s="3193"/>
      <c r="M125" s="3193"/>
      <c r="N125" s="3193"/>
    </row>
    <row r="126" spans="1:14" ht="14.25">
      <c r="A126" s="3193"/>
      <c r="B126" s="3193"/>
      <c r="C126" s="3193"/>
      <c r="D126" s="3193"/>
      <c r="E126" s="3193"/>
      <c r="F126" s="3193"/>
      <c r="G126" s="3193"/>
      <c r="H126" s="3193"/>
      <c r="I126" s="3193"/>
      <c r="J126" s="3193"/>
      <c r="K126" s="3193"/>
      <c r="L126" s="3193"/>
      <c r="M126" s="3193"/>
      <c r="N126" s="3193"/>
    </row>
    <row r="127" spans="1:14" ht="14.25">
      <c r="A127" s="3193"/>
      <c r="B127" s="3193"/>
      <c r="C127" s="3193"/>
      <c r="D127" s="3193"/>
      <c r="E127" s="3193"/>
      <c r="F127" s="3193"/>
      <c r="G127" s="3193"/>
      <c r="H127" s="3193"/>
      <c r="I127" s="3193"/>
      <c r="J127" s="3193"/>
      <c r="K127" s="3193"/>
      <c r="L127" s="3193"/>
      <c r="M127" s="3193"/>
      <c r="N127" s="3193"/>
    </row>
    <row r="128" spans="1:14" ht="14.25">
      <c r="A128" s="3193"/>
      <c r="B128" s="3193"/>
      <c r="C128" s="3193"/>
      <c r="D128" s="3193"/>
      <c r="E128" s="3193"/>
      <c r="F128" s="3193"/>
      <c r="G128" s="3193"/>
      <c r="H128" s="3193"/>
      <c r="I128" s="3193"/>
      <c r="J128" s="3193"/>
      <c r="K128" s="3193"/>
      <c r="L128" s="3193"/>
      <c r="M128" s="3193"/>
      <c r="N128" s="3193"/>
    </row>
    <row r="129" spans="1:14" ht="14.25">
      <c r="A129" s="3193"/>
      <c r="B129" s="3193"/>
      <c r="C129" s="3193"/>
      <c r="D129" s="3193"/>
      <c r="E129" s="3193"/>
      <c r="F129" s="3193"/>
      <c r="G129" s="3193"/>
      <c r="H129" s="3193"/>
      <c r="I129" s="3193"/>
      <c r="J129" s="3193"/>
      <c r="K129" s="3193"/>
      <c r="L129" s="3193"/>
      <c r="M129" s="3193"/>
      <c r="N129" s="3193"/>
    </row>
    <row r="130" spans="1:14" ht="14.25">
      <c r="A130" s="3193"/>
      <c r="B130" s="3193"/>
      <c r="C130" s="3193"/>
      <c r="D130" s="3193"/>
      <c r="E130" s="3193"/>
      <c r="F130" s="3193"/>
      <c r="G130" s="3193"/>
      <c r="H130" s="3193"/>
      <c r="I130" s="3193"/>
      <c r="J130" s="3193"/>
      <c r="K130" s="3193"/>
      <c r="L130" s="3193"/>
      <c r="M130" s="3193"/>
      <c r="N130" s="3193"/>
    </row>
    <row r="131" spans="1:14" ht="14.25">
      <c r="A131" s="3193"/>
      <c r="B131" s="3193"/>
      <c r="C131" s="3193"/>
      <c r="D131" s="3193"/>
      <c r="E131" s="3193"/>
      <c r="F131" s="3193"/>
      <c r="G131" s="3193"/>
      <c r="H131" s="3193"/>
      <c r="I131" s="3193"/>
      <c r="J131" s="3193"/>
      <c r="K131" s="3193"/>
      <c r="L131" s="3193"/>
      <c r="M131" s="3193"/>
      <c r="N131" s="3193"/>
    </row>
    <row r="132" spans="1:14" ht="14.25">
      <c r="A132" s="3193"/>
      <c r="B132" s="3193"/>
      <c r="C132" s="3193"/>
      <c r="D132" s="3193"/>
      <c r="E132" s="3193"/>
      <c r="F132" s="3193"/>
      <c r="G132" s="3193"/>
      <c r="H132" s="3193"/>
      <c r="I132" s="3193"/>
      <c r="J132" s="3193"/>
      <c r="K132" s="3193"/>
      <c r="L132" s="3193"/>
      <c r="M132" s="3193"/>
      <c r="N132" s="3193"/>
    </row>
    <row r="133" spans="1:14" ht="14.25">
      <c r="A133" s="3193"/>
      <c r="B133" s="3193"/>
      <c r="C133" s="3193"/>
      <c r="D133" s="3193"/>
      <c r="E133" s="3193"/>
      <c r="F133" s="3193"/>
      <c r="G133" s="3193"/>
      <c r="H133" s="3193"/>
      <c r="I133" s="3193"/>
      <c r="J133" s="3193"/>
      <c r="K133" s="3193"/>
      <c r="L133" s="3193"/>
      <c r="M133" s="3193"/>
      <c r="N133" s="3193"/>
    </row>
    <row r="134" spans="1:14" ht="14.25">
      <c r="A134" s="3193"/>
      <c r="B134" s="3193"/>
      <c r="C134" s="3193"/>
      <c r="D134" s="3193"/>
      <c r="E134" s="3193"/>
      <c r="F134" s="3193"/>
      <c r="G134" s="3193"/>
      <c r="H134" s="3193"/>
      <c r="I134" s="3193"/>
      <c r="J134" s="3193"/>
      <c r="K134" s="3193"/>
      <c r="L134" s="3193"/>
      <c r="M134" s="3193"/>
      <c r="N134" s="3193"/>
    </row>
    <row r="135" spans="1:14" ht="14.25">
      <c r="A135" s="3193"/>
      <c r="B135" s="3193"/>
      <c r="C135" s="3193"/>
      <c r="D135" s="3193"/>
      <c r="E135" s="3193"/>
      <c r="F135" s="3193"/>
      <c r="G135" s="3193"/>
      <c r="H135" s="3193"/>
      <c r="I135" s="3193"/>
      <c r="J135" s="3193"/>
      <c r="K135" s="3193"/>
      <c r="L135" s="3193"/>
      <c r="M135" s="3193"/>
      <c r="N135" s="3193"/>
    </row>
    <row r="136" spans="1:14" ht="14.25">
      <c r="A136" s="3193"/>
      <c r="B136" s="3193"/>
      <c r="C136" s="3193"/>
      <c r="D136" s="3193"/>
      <c r="E136" s="3193"/>
      <c r="F136" s="3193"/>
      <c r="G136" s="3193"/>
      <c r="H136" s="3193"/>
      <c r="I136" s="3193"/>
      <c r="J136" s="3193"/>
      <c r="K136" s="3193"/>
      <c r="L136" s="3193"/>
      <c r="M136" s="3193"/>
      <c r="N136" s="3193"/>
    </row>
    <row r="137" spans="1:14" ht="14.25">
      <c r="A137" s="3193"/>
      <c r="B137" s="3193"/>
      <c r="C137" s="3193"/>
      <c r="D137" s="3193"/>
      <c r="E137" s="3193"/>
      <c r="F137" s="3193"/>
      <c r="G137" s="3193"/>
      <c r="H137" s="3193"/>
      <c r="I137" s="3193"/>
      <c r="J137" s="3193"/>
      <c r="K137" s="3193"/>
      <c r="L137" s="3193"/>
      <c r="M137" s="3193"/>
      <c r="N137" s="3193"/>
    </row>
    <row r="138" spans="1:14" ht="14.25">
      <c r="A138" s="3193"/>
      <c r="B138" s="3193"/>
      <c r="C138" s="3193"/>
      <c r="D138" s="3193"/>
      <c r="E138" s="3193"/>
      <c r="F138" s="3193"/>
      <c r="G138" s="3193"/>
      <c r="H138" s="3193"/>
      <c r="I138" s="3193"/>
      <c r="J138" s="3193"/>
      <c r="K138" s="3193"/>
      <c r="L138" s="3193"/>
      <c r="M138" s="3193"/>
      <c r="N138" s="3193"/>
    </row>
    <row r="139" spans="1:14" ht="14.25">
      <c r="A139" s="3193"/>
      <c r="B139" s="3193"/>
      <c r="C139" s="3193"/>
      <c r="D139" s="3193"/>
      <c r="E139" s="3193"/>
      <c r="F139" s="3193"/>
      <c r="G139" s="3193"/>
      <c r="H139" s="3193"/>
      <c r="I139" s="3193"/>
      <c r="J139" s="3193"/>
      <c r="K139" s="3193"/>
      <c r="L139" s="3193"/>
      <c r="M139" s="3193"/>
      <c r="N139" s="3193"/>
    </row>
    <row r="140" spans="1:14" ht="14.25">
      <c r="A140" s="3193"/>
      <c r="B140" s="3193"/>
      <c r="C140" s="3193"/>
      <c r="D140" s="3193"/>
      <c r="E140" s="3193"/>
      <c r="F140" s="3193"/>
      <c r="G140" s="3193"/>
      <c r="H140" s="3193"/>
      <c r="I140" s="3193"/>
      <c r="J140" s="3193"/>
      <c r="K140" s="3193"/>
      <c r="L140" s="3193"/>
      <c r="M140" s="3193"/>
      <c r="N140" s="3193"/>
    </row>
    <row r="141" spans="1:14" ht="14.25">
      <c r="A141" s="3193"/>
      <c r="B141" s="3193"/>
      <c r="C141" s="3193"/>
      <c r="D141" s="3193"/>
      <c r="E141" s="3193"/>
      <c r="F141" s="3193"/>
      <c r="G141" s="3193"/>
      <c r="H141" s="3193"/>
      <c r="I141" s="3193"/>
      <c r="J141" s="3193"/>
      <c r="K141" s="3193"/>
      <c r="L141" s="3193"/>
      <c r="M141" s="3193"/>
      <c r="N141" s="3193"/>
    </row>
    <row r="142" spans="1:14" ht="14.25">
      <c r="A142" s="3193"/>
      <c r="B142" s="3193"/>
      <c r="C142" s="3193"/>
      <c r="D142" s="3193"/>
      <c r="E142" s="3193"/>
      <c r="F142" s="3193"/>
      <c r="G142" s="3193"/>
      <c r="H142" s="3193"/>
      <c r="I142" s="3193"/>
      <c r="J142" s="3193"/>
      <c r="K142" s="3193"/>
      <c r="L142" s="3193"/>
      <c r="M142" s="3193"/>
      <c r="N142" s="3193"/>
    </row>
    <row r="143" spans="1:14" ht="14.25">
      <c r="A143" s="3193"/>
      <c r="B143" s="3193"/>
      <c r="C143" s="3193"/>
      <c r="D143" s="3193"/>
      <c r="E143" s="3193"/>
      <c r="F143" s="3193"/>
      <c r="G143" s="3193"/>
      <c r="H143" s="3193"/>
      <c r="I143" s="3193"/>
      <c r="J143" s="3193"/>
      <c r="K143" s="3193"/>
      <c r="L143" s="3193"/>
      <c r="M143" s="3193"/>
      <c r="N143" s="3193"/>
    </row>
    <row r="144" spans="1:14" ht="14.25">
      <c r="A144" s="3193"/>
      <c r="B144" s="3193"/>
      <c r="C144" s="3193"/>
      <c r="D144" s="3193"/>
      <c r="E144" s="3193"/>
      <c r="F144" s="3193"/>
      <c r="G144" s="3193"/>
      <c r="H144" s="3193"/>
      <c r="I144" s="3193"/>
      <c r="J144" s="3193"/>
      <c r="K144" s="3193"/>
      <c r="L144" s="3193"/>
      <c r="M144" s="3193"/>
      <c r="N144" s="3193"/>
    </row>
    <row r="145" spans="1:14" ht="14.25">
      <c r="A145" s="3193"/>
      <c r="B145" s="3193"/>
      <c r="C145" s="3193"/>
      <c r="D145" s="3193"/>
      <c r="E145" s="3193"/>
      <c r="F145" s="3193"/>
      <c r="G145" s="3193"/>
      <c r="H145" s="3193"/>
      <c r="I145" s="3193"/>
      <c r="J145" s="3193"/>
      <c r="K145" s="3193"/>
      <c r="L145" s="3193"/>
      <c r="M145" s="3193"/>
      <c r="N145" s="3193"/>
    </row>
    <row r="146" spans="1:14" ht="14.25">
      <c r="A146" s="3193"/>
      <c r="B146" s="3193"/>
      <c r="C146" s="3193"/>
      <c r="D146" s="3193"/>
      <c r="E146" s="3193"/>
      <c r="F146" s="3193"/>
      <c r="G146" s="3193"/>
      <c r="H146" s="3193"/>
      <c r="I146" s="3193"/>
      <c r="J146" s="3193"/>
      <c r="K146" s="3193"/>
      <c r="L146" s="3193"/>
      <c r="M146" s="3193"/>
      <c r="N146" s="3193"/>
    </row>
    <row r="147" spans="1:14" ht="14.25">
      <c r="A147" s="3193"/>
      <c r="B147" s="3193"/>
      <c r="C147" s="3193"/>
      <c r="D147" s="3193"/>
      <c r="E147" s="3193"/>
      <c r="F147" s="3193"/>
      <c r="G147" s="3193"/>
      <c r="H147" s="3193"/>
      <c r="I147" s="3193"/>
      <c r="J147" s="3193"/>
      <c r="K147" s="3193"/>
      <c r="L147" s="3193"/>
      <c r="M147" s="3193"/>
      <c r="N147" s="3193"/>
    </row>
    <row r="148" spans="1:14" ht="14.25">
      <c r="A148" s="3193"/>
      <c r="B148" s="3193"/>
      <c r="C148" s="3193"/>
      <c r="D148" s="3193"/>
      <c r="E148" s="3193"/>
      <c r="F148" s="3193"/>
      <c r="G148" s="3193"/>
      <c r="H148" s="3193"/>
      <c r="I148" s="3193"/>
      <c r="J148" s="3193"/>
      <c r="K148" s="3193"/>
      <c r="L148" s="3193"/>
      <c r="M148" s="3193"/>
      <c r="N148" s="3193"/>
    </row>
    <row r="149" spans="1:14" ht="14.25">
      <c r="A149" s="3193"/>
      <c r="B149" s="3193"/>
      <c r="C149" s="3193"/>
      <c r="D149" s="3193"/>
      <c r="E149" s="3193"/>
      <c r="F149" s="3193"/>
      <c r="G149" s="3193"/>
      <c r="H149" s="3193"/>
      <c r="I149" s="3193"/>
      <c r="J149" s="3193"/>
      <c r="K149" s="3193"/>
      <c r="L149" s="3193"/>
      <c r="M149" s="3193"/>
      <c r="N149" s="3193"/>
    </row>
    <row r="150" spans="1:14" ht="14.25">
      <c r="A150" s="3193"/>
      <c r="B150" s="3193"/>
      <c r="C150" s="3193"/>
      <c r="D150" s="3193"/>
      <c r="E150" s="3193"/>
      <c r="F150" s="3193"/>
      <c r="G150" s="3193"/>
      <c r="H150" s="3193"/>
      <c r="I150" s="3193"/>
      <c r="J150" s="3193"/>
      <c r="K150" s="3193"/>
      <c r="L150" s="3193"/>
      <c r="M150" s="3193"/>
      <c r="N150" s="3193"/>
    </row>
    <row r="151" spans="1:14" ht="14.25">
      <c r="A151" s="3193"/>
      <c r="B151" s="3193"/>
      <c r="C151" s="3193"/>
      <c r="D151" s="3193"/>
      <c r="E151" s="3193"/>
      <c r="F151" s="3193"/>
      <c r="G151" s="3193"/>
      <c r="H151" s="3193"/>
      <c r="I151" s="3193"/>
      <c r="J151" s="3193"/>
      <c r="K151" s="3193"/>
      <c r="L151" s="3193"/>
      <c r="M151" s="3193"/>
      <c r="N151" s="3193"/>
    </row>
    <row r="152" spans="1:14" ht="14.25">
      <c r="A152" s="3194"/>
      <c r="B152" s="3194"/>
      <c r="C152" s="3194"/>
      <c r="D152" s="3194"/>
      <c r="E152" s="3194"/>
      <c r="F152" s="3194"/>
      <c r="G152" s="3194"/>
      <c r="H152" s="3194"/>
      <c r="I152" s="3194"/>
      <c r="J152" s="3194"/>
      <c r="K152" s="3194"/>
      <c r="L152" s="3194"/>
      <c r="M152" s="3194"/>
      <c r="N152" s="3194"/>
    </row>
    <row r="153" spans="1:14" ht="14.25">
      <c r="A153" s="3194"/>
      <c r="B153" s="3194"/>
      <c r="C153" s="3194"/>
      <c r="D153" s="3194"/>
      <c r="E153" s="3194"/>
      <c r="F153" s="3194"/>
      <c r="G153" s="3194"/>
      <c r="H153" s="3194"/>
      <c r="I153" s="3194"/>
      <c r="J153" s="3194"/>
      <c r="K153" s="3194"/>
      <c r="L153" s="3194"/>
      <c r="M153" s="3194"/>
      <c r="N153" s="3194"/>
    </row>
    <row r="154" spans="1:14" ht="14.25">
      <c r="A154" s="3194"/>
      <c r="B154" s="3194"/>
      <c r="C154" s="3194"/>
      <c r="D154" s="3194"/>
      <c r="E154" s="3194"/>
      <c r="F154" s="3194"/>
      <c r="G154" s="3194"/>
      <c r="H154" s="3194"/>
      <c r="I154" s="3194"/>
      <c r="J154" s="3194"/>
      <c r="K154" s="3194"/>
      <c r="L154" s="3194"/>
      <c r="M154" s="3194"/>
      <c r="N154" s="3194"/>
    </row>
    <row r="155" spans="1:14" ht="14.25">
      <c r="A155" s="3194"/>
      <c r="B155" s="3194"/>
      <c r="C155" s="3194"/>
      <c r="D155" s="3194"/>
      <c r="E155" s="3194"/>
      <c r="F155" s="3194"/>
      <c r="G155" s="3194"/>
      <c r="H155" s="3194"/>
      <c r="I155" s="3194"/>
      <c r="J155" s="3194"/>
      <c r="K155" s="3194"/>
      <c r="L155" s="3194"/>
      <c r="M155" s="3194"/>
      <c r="N155" s="3194"/>
    </row>
    <row r="156" spans="1:14" ht="14.25">
      <c r="A156" s="3194"/>
      <c r="B156" s="3194"/>
      <c r="C156" s="3194"/>
      <c r="D156" s="3194"/>
      <c r="E156" s="3194"/>
      <c r="F156" s="3194"/>
      <c r="G156" s="3194"/>
      <c r="H156" s="3194"/>
      <c r="I156" s="3194"/>
      <c r="J156" s="3194"/>
      <c r="K156" s="3194"/>
      <c r="L156" s="3194"/>
      <c r="M156" s="3194"/>
      <c r="N156" s="3194"/>
    </row>
    <row r="157" spans="1:14" ht="14.25">
      <c r="A157" s="3194"/>
      <c r="B157" s="3194"/>
      <c r="C157" s="3194"/>
      <c r="D157" s="3194"/>
      <c r="E157" s="3194"/>
      <c r="F157" s="3194"/>
      <c r="G157" s="3194"/>
      <c r="H157" s="3194"/>
      <c r="I157" s="3194"/>
      <c r="J157" s="3194"/>
      <c r="K157" s="3194"/>
      <c r="L157" s="3194"/>
      <c r="M157" s="3194"/>
      <c r="N157" s="3194"/>
    </row>
    <row r="158" spans="1:14" ht="14.25">
      <c r="A158" s="3194"/>
      <c r="B158" s="3194"/>
      <c r="C158" s="3194"/>
      <c r="D158" s="3194"/>
      <c r="E158" s="3194"/>
      <c r="F158" s="3194"/>
      <c r="G158" s="3194"/>
      <c r="H158" s="3194"/>
      <c r="I158" s="3194"/>
      <c r="J158" s="3194"/>
      <c r="K158" s="3194"/>
      <c r="L158" s="3194"/>
      <c r="M158" s="3194"/>
      <c r="N158" s="3194"/>
    </row>
    <row r="159" spans="1:14" ht="14.25">
      <c r="A159" s="3194"/>
      <c r="B159" s="3194"/>
      <c r="C159" s="3194"/>
      <c r="D159" s="3194"/>
      <c r="E159" s="3194"/>
      <c r="F159" s="3194"/>
      <c r="G159" s="3194"/>
      <c r="H159" s="3194"/>
      <c r="I159" s="3194"/>
      <c r="J159" s="3194"/>
      <c r="K159" s="3194"/>
      <c r="L159" s="3194"/>
      <c r="M159" s="3194"/>
      <c r="N159" s="3194"/>
    </row>
    <row r="160" spans="1:14" ht="14.25">
      <c r="A160" s="3194"/>
      <c r="B160" s="3194"/>
      <c r="C160" s="3194"/>
      <c r="D160" s="3194"/>
      <c r="E160" s="3194"/>
      <c r="F160" s="3194"/>
      <c r="G160" s="3194"/>
      <c r="H160" s="3194"/>
      <c r="I160" s="3194"/>
      <c r="J160" s="3194"/>
      <c r="K160" s="3194"/>
      <c r="L160" s="3194"/>
      <c r="M160" s="3194"/>
      <c r="N160" s="3194"/>
    </row>
    <row r="161" spans="1:14" ht="14.25">
      <c r="A161" s="3194"/>
      <c r="B161" s="3194"/>
      <c r="C161" s="3194"/>
      <c r="D161" s="3194"/>
      <c r="E161" s="3194"/>
      <c r="F161" s="3194"/>
      <c r="G161" s="3194"/>
      <c r="H161" s="3194"/>
      <c r="I161" s="3194"/>
      <c r="J161" s="3194"/>
      <c r="K161" s="3194"/>
      <c r="L161" s="3194"/>
      <c r="M161" s="3194"/>
      <c r="N161" s="3194"/>
    </row>
    <row r="162" spans="1:14" ht="14.25">
      <c r="A162" s="3194"/>
      <c r="B162" s="3194"/>
      <c r="C162" s="3194"/>
      <c r="D162" s="3194"/>
      <c r="E162" s="3194"/>
      <c r="F162" s="3194"/>
      <c r="G162" s="3194"/>
      <c r="H162" s="3194"/>
      <c r="I162" s="3194"/>
      <c r="J162" s="3194"/>
      <c r="K162" s="3194"/>
      <c r="L162" s="3194"/>
      <c r="M162" s="3194"/>
      <c r="N162" s="3194"/>
    </row>
    <row r="163" spans="1:14" ht="14.25">
      <c r="A163" s="3194"/>
      <c r="B163" s="3194"/>
      <c r="C163" s="3194"/>
      <c r="D163" s="3194"/>
      <c r="E163" s="3194"/>
      <c r="F163" s="3194"/>
      <c r="G163" s="3194"/>
      <c r="H163" s="3194"/>
      <c r="I163" s="3194"/>
      <c r="J163" s="3194"/>
      <c r="K163" s="3194"/>
      <c r="L163" s="3194"/>
      <c r="M163" s="3194"/>
      <c r="N163" s="3194"/>
    </row>
    <row r="164" spans="1:14" ht="14.25">
      <c r="A164" s="3194"/>
      <c r="B164" s="3194"/>
      <c r="C164" s="3194"/>
      <c r="D164" s="3194"/>
      <c r="E164" s="3194"/>
      <c r="F164" s="3194"/>
      <c r="G164" s="3194"/>
      <c r="H164" s="3194"/>
      <c r="I164" s="3194"/>
      <c r="J164" s="3194"/>
      <c r="K164" s="3194"/>
      <c r="L164" s="3194"/>
      <c r="M164" s="3194"/>
      <c r="N164" s="3194"/>
    </row>
    <row r="165" spans="1:14" ht="14.25">
      <c r="A165" s="3194"/>
      <c r="B165" s="3194"/>
      <c r="C165" s="3194"/>
      <c r="D165" s="3194"/>
      <c r="E165" s="3194"/>
      <c r="F165" s="3194"/>
      <c r="G165" s="3194"/>
      <c r="H165" s="3194"/>
      <c r="I165" s="3194"/>
      <c r="J165" s="3194"/>
      <c r="K165" s="3194"/>
      <c r="L165" s="3194"/>
      <c r="M165" s="3194"/>
      <c r="N165" s="3194"/>
    </row>
    <row r="166" spans="1:14" ht="14.25">
      <c r="A166" s="3194"/>
      <c r="B166" s="3194"/>
      <c r="C166" s="3194"/>
      <c r="D166" s="3194"/>
      <c r="E166" s="3194"/>
      <c r="F166" s="3194"/>
      <c r="G166" s="3194"/>
      <c r="H166" s="3194"/>
      <c r="I166" s="3194"/>
      <c r="J166" s="3194"/>
      <c r="K166" s="3194"/>
      <c r="L166" s="3194"/>
      <c r="M166" s="3194"/>
      <c r="N166" s="3194"/>
    </row>
    <row r="167" spans="1:14" ht="14.25">
      <c r="A167" s="3194"/>
      <c r="B167" s="3194"/>
      <c r="C167" s="3194"/>
      <c r="D167" s="3194"/>
      <c r="E167" s="3194"/>
      <c r="F167" s="3194"/>
      <c r="G167" s="3194"/>
      <c r="H167" s="3194"/>
      <c r="I167" s="3194"/>
      <c r="J167" s="3194"/>
      <c r="K167" s="3194"/>
      <c r="L167" s="3194"/>
      <c r="M167" s="3194"/>
      <c r="N167" s="3194"/>
    </row>
    <row r="168" spans="1:14" ht="14.25">
      <c r="A168" s="3194"/>
      <c r="B168" s="3194"/>
      <c r="C168" s="3194"/>
      <c r="D168" s="3194"/>
      <c r="E168" s="3194"/>
      <c r="F168" s="3194"/>
      <c r="G168" s="3194"/>
      <c r="H168" s="3194"/>
      <c r="I168" s="3194"/>
      <c r="J168" s="3194"/>
      <c r="K168" s="3194"/>
      <c r="L168" s="3194"/>
      <c r="M168" s="3194"/>
      <c r="N168" s="3194"/>
    </row>
    <row r="169" spans="1:14" ht="14.25">
      <c r="A169" s="3194"/>
      <c r="B169" s="3194"/>
      <c r="C169" s="3194"/>
      <c r="D169" s="3194"/>
      <c r="E169" s="3194"/>
      <c r="F169" s="3194"/>
      <c r="G169" s="3194"/>
      <c r="H169" s="3194"/>
      <c r="I169" s="3194"/>
      <c r="J169" s="3194"/>
      <c r="K169" s="3194"/>
      <c r="L169" s="3194"/>
      <c r="M169" s="3194"/>
      <c r="N169" s="3194"/>
    </row>
    <row r="170" spans="1:14" ht="14.25">
      <c r="A170" s="3194"/>
      <c r="B170" s="3194"/>
      <c r="C170" s="3194"/>
      <c r="D170" s="3194"/>
      <c r="E170" s="3194"/>
      <c r="F170" s="3194"/>
      <c r="G170" s="3194"/>
      <c r="H170" s="3194"/>
      <c r="I170" s="3194"/>
      <c r="J170" s="3194"/>
      <c r="K170" s="3194"/>
      <c r="L170" s="3194"/>
      <c r="M170" s="3194"/>
      <c r="N170" s="3194"/>
    </row>
    <row r="171" spans="1:14" ht="14.25">
      <c r="A171" s="3194"/>
      <c r="B171" s="3194"/>
      <c r="C171" s="3194"/>
      <c r="D171" s="3194"/>
      <c r="E171" s="3194"/>
      <c r="F171" s="3194"/>
      <c r="G171" s="3194"/>
      <c r="H171" s="3194"/>
      <c r="I171" s="3194"/>
      <c r="J171" s="3194"/>
      <c r="K171" s="3194"/>
      <c r="L171" s="3194"/>
      <c r="M171" s="3194"/>
      <c r="N171" s="3194"/>
    </row>
    <row r="172" spans="1:14" ht="14.25">
      <c r="A172" s="3194"/>
      <c r="B172" s="3194"/>
      <c r="C172" s="3194"/>
      <c r="D172" s="3194"/>
      <c r="E172" s="3194"/>
      <c r="F172" s="3194"/>
      <c r="G172" s="3194"/>
      <c r="H172" s="3194"/>
      <c r="I172" s="3194"/>
      <c r="J172" s="3194"/>
      <c r="K172" s="3194"/>
      <c r="L172" s="3194"/>
      <c r="M172" s="3194"/>
      <c r="N172" s="3194"/>
    </row>
    <row r="173" spans="1:14" ht="14.25">
      <c r="A173" s="3194"/>
      <c r="B173" s="3194"/>
      <c r="C173" s="3194"/>
      <c r="D173" s="3194"/>
      <c r="E173" s="3194"/>
      <c r="F173" s="3194"/>
      <c r="G173" s="3194"/>
      <c r="H173" s="3194"/>
      <c r="I173" s="3194"/>
      <c r="J173" s="3194"/>
      <c r="K173" s="3194"/>
      <c r="L173" s="3194"/>
      <c r="M173" s="3194"/>
      <c r="N173" s="3194"/>
    </row>
    <row r="174" spans="1:14" ht="14.25">
      <c r="A174" s="3194"/>
      <c r="B174" s="3194"/>
      <c r="C174" s="3194"/>
      <c r="D174" s="3194"/>
      <c r="E174" s="3194"/>
      <c r="F174" s="3194"/>
      <c r="G174" s="3194"/>
      <c r="H174" s="3194"/>
      <c r="I174" s="3194"/>
      <c r="J174" s="3194"/>
      <c r="K174" s="3194"/>
      <c r="L174" s="3194"/>
      <c r="M174" s="3194"/>
      <c r="N174" s="3194"/>
    </row>
    <row r="175" spans="1:14" ht="14.25">
      <c r="A175" s="3194"/>
      <c r="B175" s="3194"/>
      <c r="C175" s="3194"/>
      <c r="D175" s="3194"/>
      <c r="E175" s="3194"/>
      <c r="F175" s="3194"/>
      <c r="G175" s="3194"/>
      <c r="H175" s="3194"/>
      <c r="I175" s="3194"/>
      <c r="J175" s="3194"/>
      <c r="K175" s="3194"/>
      <c r="L175" s="3194"/>
      <c r="M175" s="3194"/>
      <c r="N175" s="3194"/>
    </row>
    <row r="176" spans="1:14" ht="14.25">
      <c r="A176" s="3194"/>
      <c r="B176" s="3194"/>
      <c r="C176" s="3194"/>
      <c r="D176" s="3194"/>
      <c r="E176" s="3194"/>
      <c r="F176" s="3194"/>
      <c r="G176" s="3194"/>
      <c r="H176" s="3194"/>
      <c r="I176" s="3194"/>
      <c r="J176" s="3194"/>
      <c r="K176" s="3194"/>
      <c r="L176" s="3194"/>
      <c r="M176" s="3194"/>
      <c r="N176" s="3194"/>
    </row>
    <row r="177" spans="1:14" ht="14.25">
      <c r="A177" s="3194"/>
      <c r="B177" s="3194"/>
      <c r="C177" s="3194"/>
      <c r="D177" s="3194"/>
      <c r="E177" s="3194"/>
      <c r="F177" s="3194"/>
      <c r="G177" s="3194"/>
      <c r="H177" s="3194"/>
      <c r="I177" s="3194"/>
      <c r="J177" s="3194"/>
      <c r="K177" s="3194"/>
      <c r="L177" s="3194"/>
      <c r="M177" s="3194"/>
      <c r="N177" s="3194"/>
    </row>
    <row r="178" spans="1:14" ht="14.25">
      <c r="A178" s="3194"/>
      <c r="B178" s="3194"/>
      <c r="C178" s="3194"/>
      <c r="D178" s="3194"/>
      <c r="E178" s="3194"/>
      <c r="F178" s="3194"/>
      <c r="G178" s="3194"/>
      <c r="H178" s="3194"/>
      <c r="I178" s="3194"/>
      <c r="J178" s="3194"/>
      <c r="K178" s="3194"/>
      <c r="L178" s="3194"/>
      <c r="M178" s="3194"/>
      <c r="N178" s="3194"/>
    </row>
    <row r="179" spans="1:14" ht="14.25">
      <c r="A179" s="3194"/>
      <c r="B179" s="3194"/>
      <c r="C179" s="3194"/>
      <c r="D179" s="3194"/>
      <c r="E179" s="3194"/>
      <c r="F179" s="3194"/>
      <c r="G179" s="3194"/>
      <c r="H179" s="3194"/>
      <c r="I179" s="3194"/>
      <c r="J179" s="3194"/>
      <c r="K179" s="3194"/>
      <c r="L179" s="3194"/>
      <c r="M179" s="3194"/>
      <c r="N179" s="3194"/>
    </row>
    <row r="180" spans="1:14" ht="14.25">
      <c r="A180" s="3194"/>
      <c r="B180" s="3194"/>
      <c r="C180" s="3194"/>
      <c r="D180" s="3194"/>
      <c r="E180" s="3194"/>
      <c r="F180" s="3194"/>
      <c r="G180" s="3194"/>
      <c r="H180" s="3194"/>
      <c r="I180" s="3194"/>
      <c r="J180" s="3194"/>
      <c r="K180" s="3194"/>
      <c r="L180" s="3194"/>
      <c r="M180" s="3194"/>
      <c r="N180" s="3194"/>
    </row>
    <row r="181" spans="1:14" ht="14.25">
      <c r="A181" s="3194"/>
      <c r="B181" s="3194"/>
      <c r="C181" s="3194"/>
      <c r="D181" s="3194"/>
      <c r="E181" s="3194"/>
      <c r="F181" s="3194"/>
      <c r="G181" s="3194"/>
      <c r="H181" s="3194"/>
      <c r="I181" s="3194"/>
      <c r="J181" s="3194"/>
      <c r="K181" s="3194"/>
      <c r="L181" s="3194"/>
      <c r="M181" s="3194"/>
      <c r="N181" s="3194"/>
    </row>
    <row r="182" spans="1:14" ht="14.25">
      <c r="A182" s="3194"/>
      <c r="B182" s="3194"/>
      <c r="C182" s="3194"/>
      <c r="D182" s="3194"/>
      <c r="E182" s="3194"/>
      <c r="F182" s="3194"/>
      <c r="G182" s="3194"/>
      <c r="H182" s="3194"/>
      <c r="I182" s="3194"/>
      <c r="J182" s="3194"/>
      <c r="K182" s="3194"/>
      <c r="L182" s="3194"/>
      <c r="M182" s="3194"/>
      <c r="N182" s="3194"/>
    </row>
    <row r="183" spans="1:14" ht="14.25">
      <c r="A183" s="3194"/>
      <c r="B183" s="3194"/>
      <c r="C183" s="3194"/>
      <c r="D183" s="3194"/>
      <c r="E183" s="3194"/>
      <c r="F183" s="3194"/>
      <c r="G183" s="3194"/>
      <c r="H183" s="3194"/>
      <c r="I183" s="3194"/>
      <c r="J183" s="3194"/>
      <c r="K183" s="3194"/>
      <c r="L183" s="3194"/>
      <c r="M183" s="3194"/>
      <c r="N183" s="3194"/>
    </row>
    <row r="184" spans="1:14" ht="14.25">
      <c r="A184" s="3194"/>
      <c r="B184" s="3194"/>
      <c r="C184" s="3194"/>
      <c r="D184" s="3194"/>
      <c r="E184" s="3194"/>
      <c r="F184" s="3194"/>
      <c r="G184" s="3194"/>
      <c r="H184" s="3194"/>
      <c r="I184" s="3194"/>
      <c r="J184" s="3194"/>
      <c r="K184" s="3194"/>
      <c r="L184" s="3194"/>
      <c r="M184" s="3194"/>
      <c r="N184" s="3194"/>
    </row>
    <row r="185" spans="1:14" ht="14.25">
      <c r="A185" s="3194"/>
      <c r="B185" s="3194"/>
      <c r="C185" s="3194"/>
      <c r="D185" s="3194"/>
      <c r="E185" s="3194"/>
      <c r="F185" s="3194"/>
      <c r="G185" s="3194"/>
      <c r="H185" s="3194"/>
      <c r="I185" s="3194"/>
      <c r="J185" s="3194"/>
      <c r="K185" s="3194"/>
      <c r="L185" s="3194"/>
      <c r="M185" s="3194"/>
      <c r="N185" s="3194"/>
    </row>
    <row r="186" spans="1:14" ht="14.25">
      <c r="A186" s="3194"/>
      <c r="B186" s="3194"/>
      <c r="C186" s="3194"/>
      <c r="D186" s="3194"/>
      <c r="E186" s="3194"/>
      <c r="F186" s="3194"/>
      <c r="G186" s="3194"/>
      <c r="H186" s="3194"/>
      <c r="I186" s="3194"/>
      <c r="J186" s="3194"/>
      <c r="K186" s="3194"/>
      <c r="L186" s="3194"/>
      <c r="M186" s="3194"/>
      <c r="N186" s="3194"/>
    </row>
    <row r="187" spans="1:14" ht="14.25">
      <c r="A187" s="3194"/>
      <c r="B187" s="3194"/>
      <c r="C187" s="3194"/>
      <c r="D187" s="3194"/>
      <c r="E187" s="3194"/>
      <c r="F187" s="3194"/>
      <c r="G187" s="3194"/>
      <c r="H187" s="3194"/>
      <c r="I187" s="3194"/>
      <c r="J187" s="3194"/>
      <c r="K187" s="3194"/>
      <c r="L187" s="3194"/>
      <c r="M187" s="3194"/>
      <c r="N187" s="3194"/>
    </row>
    <row r="188" spans="1:14" ht="14.25">
      <c r="A188" s="3194"/>
      <c r="B188" s="3194"/>
      <c r="C188" s="3194"/>
      <c r="D188" s="3194"/>
      <c r="E188" s="3194"/>
      <c r="F188" s="3194"/>
      <c r="G188" s="3194"/>
      <c r="H188" s="3194"/>
      <c r="I188" s="3194"/>
      <c r="J188" s="3194"/>
      <c r="K188" s="3194"/>
      <c r="L188" s="3194"/>
      <c r="M188" s="3194"/>
      <c r="N188" s="3194"/>
    </row>
    <row r="189" spans="1:14" ht="14.25">
      <c r="A189" s="3194"/>
      <c r="B189" s="3194"/>
      <c r="C189" s="3194"/>
      <c r="D189" s="3194"/>
      <c r="E189" s="3194"/>
      <c r="F189" s="3194"/>
      <c r="G189" s="3194"/>
      <c r="H189" s="3194"/>
      <c r="I189" s="3194"/>
      <c r="J189" s="3194"/>
      <c r="K189" s="3194"/>
      <c r="L189" s="3194"/>
      <c r="M189" s="3194"/>
      <c r="N189" s="3194"/>
    </row>
    <row r="190" spans="1:14" ht="14.25">
      <c r="A190" s="3194"/>
      <c r="B190" s="3194"/>
      <c r="C190" s="3194"/>
      <c r="D190" s="3194"/>
      <c r="E190" s="3194"/>
      <c r="F190" s="3194"/>
      <c r="G190" s="3194"/>
      <c r="H190" s="3194"/>
      <c r="I190" s="3194"/>
      <c r="J190" s="3194"/>
      <c r="K190" s="3194"/>
      <c r="L190" s="3194"/>
      <c r="M190" s="3194"/>
      <c r="N190" s="3194"/>
    </row>
    <row r="191" spans="1:14" ht="14.25">
      <c r="A191" s="3194"/>
      <c r="B191" s="3194"/>
      <c r="C191" s="3194"/>
      <c r="D191" s="3194"/>
      <c r="E191" s="3194"/>
      <c r="F191" s="3194"/>
      <c r="G191" s="3194"/>
      <c r="H191" s="3194"/>
      <c r="I191" s="3194"/>
      <c r="J191" s="3194"/>
      <c r="K191" s="3194"/>
      <c r="L191" s="3194"/>
      <c r="M191" s="3194"/>
      <c r="N191" s="3194"/>
    </row>
    <row r="192" spans="1:14" ht="14.25">
      <c r="A192" s="3194"/>
      <c r="B192" s="3194"/>
      <c r="C192" s="3194"/>
      <c r="D192" s="3194"/>
      <c r="E192" s="3194"/>
      <c r="F192" s="3194"/>
      <c r="G192" s="3194"/>
      <c r="H192" s="3194"/>
      <c r="I192" s="3194"/>
      <c r="J192" s="3194"/>
      <c r="K192" s="3194"/>
      <c r="L192" s="3194"/>
      <c r="M192" s="3194"/>
      <c r="N192" s="3194"/>
    </row>
    <row r="193" spans="1:14" ht="14.25">
      <c r="A193" s="3194"/>
      <c r="B193" s="3194"/>
      <c r="C193" s="3194"/>
      <c r="D193" s="3194"/>
      <c r="E193" s="3194"/>
      <c r="F193" s="3194"/>
      <c r="G193" s="3194"/>
      <c r="H193" s="3194"/>
      <c r="I193" s="3194"/>
      <c r="J193" s="3194"/>
      <c r="K193" s="3194"/>
      <c r="L193" s="3194"/>
      <c r="M193" s="3194"/>
      <c r="N193" s="3194"/>
    </row>
    <row r="194" spans="1:14" ht="14.25">
      <c r="A194" s="3194"/>
      <c r="B194" s="3194"/>
      <c r="C194" s="3194"/>
      <c r="D194" s="3194"/>
      <c r="E194" s="3194"/>
      <c r="F194" s="3194"/>
      <c r="G194" s="3194"/>
      <c r="H194" s="3194"/>
      <c r="I194" s="3194"/>
      <c r="J194" s="3194"/>
      <c r="K194" s="3194"/>
      <c r="L194" s="3194"/>
      <c r="M194" s="3194"/>
      <c r="N194" s="3194"/>
    </row>
    <row r="195" spans="1:14" ht="14.25">
      <c r="A195" s="3194"/>
      <c r="B195" s="3194"/>
      <c r="C195" s="3194"/>
      <c r="D195" s="3194"/>
      <c r="E195" s="3194"/>
      <c r="F195" s="3194"/>
      <c r="G195" s="3194"/>
      <c r="H195" s="3194"/>
      <c r="I195" s="3194"/>
      <c r="J195" s="3194"/>
      <c r="K195" s="3194"/>
      <c r="L195" s="3194"/>
      <c r="M195" s="3194"/>
      <c r="N195" s="3194"/>
    </row>
    <row r="196" spans="1:14" ht="14.25">
      <c r="A196" s="3194"/>
      <c r="B196" s="3194"/>
      <c r="C196" s="3194"/>
      <c r="D196" s="3194"/>
      <c r="E196" s="3194"/>
      <c r="F196" s="3194"/>
      <c r="G196" s="3194"/>
      <c r="H196" s="3194"/>
      <c r="I196" s="3194"/>
      <c r="J196" s="3194"/>
      <c r="K196" s="3194"/>
      <c r="L196" s="3194"/>
      <c r="M196" s="3194"/>
      <c r="N196" s="3194"/>
    </row>
    <row r="197" spans="1:14" ht="14.25">
      <c r="A197" s="3194"/>
      <c r="B197" s="3194"/>
      <c r="C197" s="3194"/>
      <c r="D197" s="3194"/>
      <c r="E197" s="3194"/>
      <c r="F197" s="3194"/>
      <c r="G197" s="3194"/>
      <c r="H197" s="3194"/>
      <c r="I197" s="3194"/>
      <c r="J197" s="3194"/>
      <c r="K197" s="3194"/>
      <c r="L197" s="3194"/>
      <c r="M197" s="3194"/>
      <c r="N197" s="3194"/>
    </row>
    <row r="198" spans="1:14" ht="14.25">
      <c r="A198" s="3194"/>
      <c r="B198" s="3194"/>
      <c r="C198" s="3194"/>
      <c r="D198" s="3194"/>
      <c r="E198" s="3194"/>
      <c r="F198" s="3194"/>
      <c r="G198" s="3194"/>
      <c r="H198" s="3194"/>
      <c r="I198" s="3194"/>
      <c r="J198" s="3194"/>
      <c r="K198" s="3194"/>
      <c r="L198" s="3194"/>
      <c r="M198" s="3194"/>
      <c r="N198" s="3194"/>
    </row>
    <row r="199" spans="1:14" ht="14.25">
      <c r="A199" s="3194"/>
      <c r="B199" s="3194"/>
      <c r="C199" s="3194"/>
      <c r="D199" s="3194"/>
      <c r="E199" s="3194"/>
      <c r="F199" s="3194"/>
      <c r="G199" s="3194"/>
      <c r="H199" s="3194"/>
      <c r="I199" s="3194"/>
      <c r="J199" s="3194"/>
      <c r="K199" s="3194"/>
      <c r="L199" s="3194"/>
      <c r="M199" s="3194"/>
      <c r="N199" s="3194"/>
    </row>
    <row r="200" spans="1:14" ht="14.25">
      <c r="A200" s="3194"/>
      <c r="B200" s="3194"/>
      <c r="C200" s="3194"/>
      <c r="D200" s="3194"/>
      <c r="E200" s="3194"/>
      <c r="F200" s="3194"/>
      <c r="G200" s="3194"/>
      <c r="H200" s="3194"/>
      <c r="I200" s="3194"/>
      <c r="J200" s="3194"/>
      <c r="K200" s="3194"/>
      <c r="L200" s="3194"/>
      <c r="M200" s="3194"/>
      <c r="N200" s="3194"/>
    </row>
    <row r="201" spans="1:14" ht="14.25">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2035</v>
      </c>
      <c r="B1" s="3223"/>
      <c r="C1" s="3223"/>
      <c r="D1" s="3223"/>
      <c r="E1" s="3223"/>
      <c r="F1" s="3223"/>
      <c r="G1" s="3223"/>
      <c r="H1" s="3223"/>
      <c r="I1" s="3223"/>
      <c r="J1" s="3223"/>
      <c r="K1" s="3223"/>
      <c r="L1" s="3223"/>
      <c r="M1" s="3223"/>
      <c r="N1" s="3223"/>
      <c r="O1" s="3223"/>
      <c r="P1" s="3223"/>
      <c r="Q1" s="3223"/>
      <c r="R1" s="3223"/>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4" t="s">
        <v>2026</v>
      </c>
      <c r="B3" s="3224" t="s">
        <v>2727</v>
      </c>
      <c r="C3" s="3225" t="s">
        <v>2027</v>
      </c>
      <c r="D3" s="3224" t="s">
        <v>2731</v>
      </c>
      <c r="E3" s="3227" t="s">
        <v>2028</v>
      </c>
      <c r="F3" s="3227"/>
      <c r="G3" s="3227"/>
      <c r="H3" s="3227" t="s">
        <v>2029</v>
      </c>
      <c r="I3" s="3227"/>
      <c r="J3" s="3227"/>
      <c r="K3" s="3225" t="s">
        <v>2030</v>
      </c>
      <c r="L3" s="3225" t="s">
        <v>2031</v>
      </c>
      <c r="M3" s="3224" t="s">
        <v>2728</v>
      </c>
      <c r="N3" s="3226" t="str">
        <f>"（分摊）"&amp;项目基本情况!B16&amp;"国有建设用地使用权面积/㎡"</f>
        <v>（分摊）出让国有建设用地使用权面积/㎡</v>
      </c>
      <c r="O3" s="3224" t="s">
        <v>2060</v>
      </c>
      <c r="P3" s="3225" t="s">
        <v>2040</v>
      </c>
      <c r="Q3" s="3225" t="s">
        <v>2061</v>
      </c>
      <c r="R3" s="3225" t="s">
        <v>2032</v>
      </c>
    </row>
    <row r="4" spans="1:18" ht="36.75" customHeight="1">
      <c r="A4" s="3224"/>
      <c r="B4" s="3224"/>
      <c r="C4" s="3225"/>
      <c r="D4" s="3224"/>
      <c r="E4" s="2614" t="s">
        <v>2039</v>
      </c>
      <c r="F4" s="2614" t="s">
        <v>2740</v>
      </c>
      <c r="G4" s="2614" t="s">
        <v>2033</v>
      </c>
      <c r="H4" s="2614" t="s">
        <v>2034</v>
      </c>
      <c r="I4" s="2614" t="s">
        <v>2741</v>
      </c>
      <c r="J4" s="2614" t="s">
        <v>2033</v>
      </c>
      <c r="K4" s="3225"/>
      <c r="L4" s="3225"/>
      <c r="M4" s="3224"/>
      <c r="N4" s="3226"/>
      <c r="O4" s="3224"/>
      <c r="P4" s="3225"/>
      <c r="Q4" s="3225"/>
      <c r="R4" s="3225"/>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2347</v>
      </c>
      <c r="Q5" s="1796">
        <f ca="1">结果表!D42</f>
        <v>2133</v>
      </c>
      <c r="R5" s="1797">
        <f ca="1">结果表!C42</f>
        <v>16804</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8">
        <f ca="1">结果表!O39</f>
        <v>16367</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8"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8" t="s">
        <v>2062</v>
      </c>
      <c r="B1" s="3228"/>
      <c r="C1" s="3228"/>
      <c r="D1" s="3228"/>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31" t="s">
        <v>2063</v>
      </c>
      <c r="B5" s="3231"/>
      <c r="C5" s="3231"/>
      <c r="D5" s="3231"/>
    </row>
    <row r="6" spans="1:4">
      <c r="A6" s="3228" t="s">
        <v>2041</v>
      </c>
      <c r="B6" s="3228"/>
      <c r="C6" s="3228"/>
      <c r="D6" s="3228"/>
    </row>
    <row r="7" spans="1:4" ht="33" customHeight="1">
      <c r="A7" s="3228" t="s">
        <v>2572</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（1）根据估价对象《不动产权证书》复印件，截至估价期日，估价对象抵押权未见登记。</v>
      </c>
      <c r="B11" s="3230"/>
      <c r="C11" s="3230"/>
      <c r="D11" s="3230"/>
    </row>
    <row r="12" spans="1:4" ht="168" customHeight="1">
      <c r="A12" s="3231" t="s">
        <v>2065</v>
      </c>
      <c r="B12" s="3231"/>
      <c r="C12" s="3231"/>
      <c r="D12" s="3231"/>
    </row>
    <row r="13" spans="1:4">
      <c r="A13" s="3229" t="s">
        <v>2742</v>
      </c>
      <c r="B13" s="3229"/>
      <c r="C13" s="3229"/>
      <c r="D13" s="3229"/>
    </row>
    <row r="14" spans="1:4">
      <c r="A14" s="3230" t="str">
        <f>IF(项目基本情况!B8="抵押","综上，"&amp;结果表!K47,"——")</f>
        <v>综上，本次评估估价师知悉的法定优先受偿款为人民币437万元整。</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2698</v>
      </c>
      <c r="B17" s="3228"/>
      <c r="C17" s="3228"/>
      <c r="D17" s="3228"/>
    </row>
    <row r="18" spans="1:4">
      <c r="A18" s="3228" t="s">
        <v>2690</v>
      </c>
      <c r="B18" s="3228"/>
      <c r="C18" s="3228"/>
      <c r="D18" s="3228"/>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28" t="s">
        <v>2695</v>
      </c>
      <c r="B23" s="3228"/>
      <c r="C23" s="3228"/>
      <c r="D23" s="3228"/>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40" t="s">
        <v>53</v>
      </c>
      <c r="B15" s="3241" t="s">
        <v>845</v>
      </c>
      <c r="C15" s="3237"/>
    </row>
    <row r="16" spans="1:7" ht="14.25">
      <c r="A16" s="3240"/>
      <c r="B16" s="3238" t="s">
        <v>54</v>
      </c>
      <c r="C16" s="1168" t="s">
        <v>53</v>
      </c>
    </row>
    <row r="17" spans="1:3" ht="14.25">
      <c r="A17" s="3240"/>
      <c r="B17" s="3238"/>
      <c r="C17" s="1168" t="s">
        <v>55</v>
      </c>
    </row>
    <row r="18" spans="1:3" ht="14.25">
      <c r="A18" s="3240"/>
      <c r="B18" s="3238"/>
      <c r="C18" s="1168" t="s">
        <v>56</v>
      </c>
    </row>
    <row r="19" spans="1:3" ht="14.25">
      <c r="A19" s="3240"/>
      <c r="B19" s="3236" t="s">
        <v>57</v>
      </c>
      <c r="C19" s="3237"/>
    </row>
    <row r="20" spans="1:3" ht="14.25">
      <c r="A20" s="1169" t="s">
        <v>58</v>
      </c>
      <c r="B20" s="1170"/>
      <c r="C20" s="1171"/>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2" t="s">
        <v>836</v>
      </c>
    </row>
    <row r="25" spans="1:3" ht="14.25">
      <c r="A25" s="3239"/>
      <c r="B25" s="3243"/>
      <c r="C25" s="1172" t="s">
        <v>837</v>
      </c>
    </row>
    <row r="26" spans="1:3" ht="14.25">
      <c r="A26" s="3239"/>
      <c r="B26" s="3243"/>
      <c r="C26" s="1172" t="s">
        <v>838</v>
      </c>
    </row>
    <row r="27" spans="1:3" ht="14.25">
      <c r="A27" s="3239"/>
      <c r="B27" s="3243"/>
      <c r="C27" s="1172" t="s">
        <v>839</v>
      </c>
    </row>
    <row r="28" spans="1:3" ht="14.25">
      <c r="A28" s="3239"/>
      <c r="B28" s="3243"/>
      <c r="C28" s="1172" t="s">
        <v>840</v>
      </c>
    </row>
    <row r="29" spans="1:3" ht="14.25">
      <c r="A29" s="3239"/>
      <c r="B29" s="3243"/>
      <c r="C29" s="1172" t="s">
        <v>841</v>
      </c>
    </row>
    <row r="30" spans="1:3" ht="14.25">
      <c r="A30" s="3239"/>
      <c r="B30" s="3243"/>
      <c r="C30" s="1172" t="s">
        <v>842</v>
      </c>
    </row>
    <row r="31" spans="1:3" ht="14.25">
      <c r="A31" s="3239"/>
      <c r="B31" s="3243"/>
      <c r="C31" s="1172" t="s">
        <v>843</v>
      </c>
    </row>
    <row r="32" spans="1:3" ht="14.25">
      <c r="A32" s="3239"/>
      <c r="B32" s="3243"/>
      <c r="C32" s="1172" t="s">
        <v>1645</v>
      </c>
    </row>
    <row r="33" spans="1:3" ht="14.25">
      <c r="A33" s="3239"/>
      <c r="B33" s="3233" t="s">
        <v>1651</v>
      </c>
      <c r="C33" s="1172" t="s">
        <v>1646</v>
      </c>
    </row>
    <row r="34" spans="1:3" ht="14.25">
      <c r="A34" s="3239"/>
      <c r="B34" s="3234"/>
      <c r="C34" s="1177" t="s">
        <v>1647</v>
      </c>
    </row>
    <row r="35" spans="1:3" ht="14.25">
      <c r="A35" s="3239"/>
      <c r="B35" s="3234"/>
      <c r="C35" s="1178" t="s">
        <v>1648</v>
      </c>
    </row>
    <row r="36" spans="1:3" ht="14.25">
      <c r="A36" s="3239"/>
      <c r="B36" s="3234"/>
      <c r="C36" s="1178" t="s">
        <v>1649</v>
      </c>
    </row>
    <row r="37" spans="1:3" ht="14.25">
      <c r="A37" s="3239"/>
      <c r="B37" s="3235"/>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44" t="s">
        <v>1925</v>
      </c>
      <c r="B25" s="3244"/>
      <c r="C25" s="3244"/>
      <c r="D25" s="3244"/>
      <c r="E25" s="3244"/>
      <c r="F25" s="3244"/>
      <c r="G25" s="3244"/>
    </row>
    <row r="26" spans="1:7" ht="20.25" customHeight="1">
      <c r="A26" s="3245" t="s">
        <v>1926</v>
      </c>
      <c r="B26" s="3245"/>
      <c r="C26" s="3245"/>
      <c r="D26" s="3245" t="s">
        <v>1927</v>
      </c>
      <c r="E26" s="3245"/>
      <c r="F26" s="3245"/>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2945</v>
      </c>
      <c r="C18" s="1541"/>
    </row>
    <row r="19" spans="1:3">
      <c r="A19" s="8" t="s">
        <v>120</v>
      </c>
      <c r="B19" s="3063" t="s">
        <v>2953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46"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46"/>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6"/>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6"/>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6"/>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2019-08-14T07:20:07Z</dcterms:modified>
</cp:coreProperties>
</file>