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收益法 (元)" sheetId="67" state="hidden" r:id="rId20"/>
    <sheet name="酒店收入计算" sheetId="66" state="hidden" r:id="rId21"/>
    <sheet name="比较法-住宅" sheetId="21" state="hidden" r:id="rId22"/>
    <sheet name="比较法-商业" sheetId="33" state="hidden" r:id="rId23"/>
    <sheet name="结果表" sheetId="9" r:id="rId24"/>
    <sheet name="收益法-办公" sheetId="15" r:id="rId25"/>
    <sheet name="收益法-仓储" sheetId="77" state="hidden" r:id="rId26"/>
    <sheet name="收益法（汇总）" sheetId="70" state="hidden" r:id="rId27"/>
    <sheet name="比较法-办公" sheetId="34" state="hidden" r:id="rId28"/>
    <sheet name="比较法-工业" sheetId="37" state="hidden" r:id="rId29"/>
    <sheet name="成本法" sheetId="82" r:id="rId30"/>
    <sheet name="基准地价修正-办公" sheetId="83" r:id="rId31"/>
    <sheet name="结果表-车库" sheetId="79" state="hidden" r:id="rId32"/>
    <sheet name="收益法-车库" sheetId="78" state="hidden" r:id="rId33"/>
    <sheet name=".." sheetId="80" state="hidden" r:id="rId34"/>
    <sheet name="成本法-车库" sheetId="68" state="hidden" r:id="rId35"/>
    <sheet name="典型户型修正" sheetId="31" state="hidden" r:id="rId36"/>
    <sheet name="基准地价修正" sheetId="43"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1" r:id="rId51"/>
    <sheet name="租约" sheetId="84" r:id="rId52"/>
  </sheets>
  <definedNames>
    <definedName name="_xlnm._FilterDatabase" localSheetId="27" hidden="1">'比较法-办公'!$A$1:$L$50</definedName>
    <definedName name="_xlnm._FilterDatabase" localSheetId="38" hidden="1">'比较法-仓储'!$A$1:$L$37</definedName>
    <definedName name="_xlnm._FilterDatabase" localSheetId="37" hidden="1">'比较法-车位'!$A$1:$L$39</definedName>
    <definedName name="_xlnm._FilterDatabase" localSheetId="28"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3">'..'!$A$1:$AK$69</definedName>
    <definedName name="_xlnm.Print_Area" localSheetId="8">估价师及机构信息!$A$1:$F$29</definedName>
    <definedName name="_xlnm.Print_Area" localSheetId="19">'收益法 (元)'!$A$1:$AK$69</definedName>
    <definedName name="_xlnm.Print_Area" localSheetId="24">'收益法-办公'!$A$1:$AK$69</definedName>
    <definedName name="_xlnm.Print_Area" localSheetId="25">'收益法-仓储'!$A$1:$AK$69</definedName>
    <definedName name="_xlnm.Print_Area" localSheetId="3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5" i="3" l="1"/>
  <c r="P29" i="84"/>
  <c r="L29" i="84"/>
  <c r="O31" i="84"/>
  <c r="J32" i="84"/>
  <c r="F49" i="15"/>
  <c r="Z6" i="1"/>
  <c r="F29" i="84"/>
  <c r="J22" i="84"/>
  <c r="F27" i="84"/>
  <c r="BR15" i="3"/>
  <c r="BL15" i="3"/>
  <c r="AZ15" i="3"/>
  <c r="AZ5" i="3"/>
  <c r="E3" i="6"/>
  <c r="E5" i="6"/>
  <c r="E6" i="6"/>
  <c r="D10" i="82"/>
  <c r="C10" i="82"/>
  <c r="B29" i="1"/>
  <c r="D4" i="73"/>
  <c r="E20" i="83"/>
  <c r="N28" i="83"/>
  <c r="G20" i="83"/>
  <c r="H6" i="1"/>
  <c r="C20" i="83"/>
  <c r="C6" i="83"/>
  <c r="C5" i="83"/>
  <c r="F59" i="83"/>
  <c r="H59" i="83"/>
  <c r="G59" i="83"/>
  <c r="K59" i="83"/>
  <c r="D59" i="83"/>
  <c r="H60" i="83"/>
  <c r="G60" i="83"/>
  <c r="K60" i="83"/>
  <c r="D60" i="83"/>
  <c r="H61" i="83"/>
  <c r="G61" i="83"/>
  <c r="K61" i="83"/>
  <c r="D61" i="83"/>
  <c r="H62" i="83"/>
  <c r="G62" i="83"/>
  <c r="K62" i="83"/>
  <c r="D62" i="83"/>
  <c r="D63" i="83"/>
  <c r="H64" i="83"/>
  <c r="G64" i="83"/>
  <c r="K64" i="83"/>
  <c r="D64" i="83"/>
  <c r="H65" i="83"/>
  <c r="G65" i="83"/>
  <c r="K65" i="83"/>
  <c r="D65" i="83"/>
  <c r="H66" i="83"/>
  <c r="G66" i="83"/>
  <c r="K66" i="83"/>
  <c r="J66" i="83"/>
  <c r="D66" i="83"/>
  <c r="H67" i="83"/>
  <c r="G67" i="83"/>
  <c r="K67" i="83"/>
  <c r="D67" i="83"/>
  <c r="E59" i="83"/>
  <c r="B57" i="83"/>
  <c r="C24" i="83"/>
  <c r="I4" i="6"/>
  <c r="G3" i="83"/>
  <c r="E22" i="83"/>
  <c r="G22" i="83"/>
  <c r="F22" i="83"/>
  <c r="H22" i="83"/>
  <c r="D22" i="83"/>
  <c r="C21" i="83"/>
  <c r="C19" i="83"/>
  <c r="C29" i="83"/>
  <c r="E29" i="83"/>
  <c r="D5" i="83"/>
  <c r="C33" i="83"/>
  <c r="E33" i="83"/>
  <c r="C34" i="83"/>
  <c r="E34" i="83"/>
  <c r="C35" i="83"/>
  <c r="E35" i="83"/>
  <c r="C36" i="83"/>
  <c r="E36" i="83"/>
  <c r="C37" i="83"/>
  <c r="E37" i="83"/>
  <c r="E41" i="83"/>
  <c r="C41" i="83"/>
  <c r="C38" i="83"/>
  <c r="E38" i="83"/>
  <c r="C39" i="83"/>
  <c r="E39" i="83"/>
  <c r="C26" i="83"/>
  <c r="B2" i="83"/>
  <c r="C6" i="82"/>
  <c r="D39" i="83"/>
  <c r="D33" i="83"/>
  <c r="C11" i="15"/>
  <c r="AB6" i="1"/>
  <c r="AA6" i="1"/>
  <c r="L23" i="84"/>
  <c r="I32" i="84"/>
  <c r="I31" i="84"/>
  <c r="I30" i="84"/>
  <c r="W19" i="1"/>
  <c r="V19" i="1"/>
  <c r="U6" i="1"/>
  <c r="F19" i="84"/>
  <c r="G19" i="6"/>
  <c r="M14" i="3"/>
  <c r="E19" i="6"/>
  <c r="J16" i="84"/>
  <c r="F35" i="6"/>
  <c r="N20" i="1"/>
  <c r="N22" i="1"/>
  <c r="F19" i="6"/>
  <c r="C34" i="34"/>
  <c r="N6" i="1"/>
  <c r="E16" i="84"/>
  <c r="E17" i="84"/>
  <c r="E18" i="84"/>
  <c r="E20" i="84"/>
  <c r="D3" i="84"/>
  <c r="J20" i="84"/>
  <c r="E15" i="84"/>
  <c r="H15" i="84"/>
  <c r="H22" i="84"/>
  <c r="H17" i="84"/>
  <c r="H18" i="84"/>
  <c r="H16" i="84"/>
  <c r="C1" i="73"/>
  <c r="J1" i="73"/>
  <c r="F15" i="4"/>
  <c r="F6" i="1"/>
  <c r="I20" i="83"/>
  <c r="J20" i="83"/>
  <c r="I19" i="83"/>
  <c r="B2" i="1"/>
  <c r="G19" i="8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83"/>
  <c r="M19" i="83"/>
  <c r="G2" i="83"/>
  <c r="I2" i="83"/>
  <c r="M5" i="83"/>
  <c r="C16" i="83"/>
  <c r="C18" i="8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N5" i="83"/>
  <c r="D29" i="83"/>
  <c r="F33" i="83"/>
  <c r="F34" i="83"/>
  <c r="F35" i="83"/>
  <c r="F36" i="83"/>
  <c r="F37" i="83"/>
  <c r="H15" i="4"/>
  <c r="G41" i="83"/>
  <c r="F38" i="83"/>
  <c r="F39" i="83"/>
  <c r="D5" i="73"/>
  <c r="B22" i="1"/>
  <c r="E1" i="73"/>
  <c r="K1" i="73"/>
  <c r="G1" i="73"/>
  <c r="B40" i="1"/>
  <c r="L1" i="73"/>
  <c r="F4" i="73"/>
  <c r="I1" i="73"/>
  <c r="B39" i="1"/>
  <c r="BT15" i="3"/>
  <c r="BM15" i="3"/>
  <c r="BN15" i="3"/>
  <c r="BO15" i="3"/>
  <c r="BP15" i="3"/>
  <c r="BQ15" i="3"/>
  <c r="BS15" i="3"/>
  <c r="BB15" i="3"/>
  <c r="BC15" i="3"/>
  <c r="BD15" i="3"/>
  <c r="BE15" i="3"/>
  <c r="BF15" i="3"/>
  <c r="BG15" i="3"/>
  <c r="BH15" i="3"/>
  <c r="BI15" i="3"/>
  <c r="BJ15" i="3"/>
  <c r="BK15" i="3"/>
  <c r="BA1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5" i="3"/>
  <c r="G15" i="3"/>
  <c r="H13" i="3"/>
  <c r="G13" i="3"/>
  <c r="H14" i="3"/>
  <c r="G14"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D19" i="6"/>
  <c r="BR5" i="3"/>
  <c r="BT5" i="3"/>
  <c r="G28" i="6"/>
  <c r="BQ5" i="3"/>
  <c r="BS5" i="3"/>
  <c r="F28" i="6"/>
  <c r="E28" i="6"/>
  <c r="E20" i="6"/>
  <c r="E21" i="6"/>
  <c r="E22" i="6"/>
  <c r="E23" i="6"/>
  <c r="E24" i="6"/>
  <c r="E25" i="6"/>
  <c r="E26" i="6"/>
  <c r="BA5" i="3"/>
  <c r="BE10" i="3"/>
  <c r="E8" i="6"/>
  <c r="F27" i="6"/>
  <c r="E27" i="6"/>
  <c r="K19" i="6"/>
  <c r="C19" i="6"/>
  <c r="L19" i="6"/>
  <c r="M19" i="6"/>
  <c r="I19" i="6"/>
  <c r="H19" i="6"/>
  <c r="R19" i="6"/>
  <c r="A6" i="1"/>
  <c r="R6" i="1"/>
  <c r="G1" i="15"/>
  <c r="L48" i="15"/>
  <c r="J50" i="15"/>
  <c r="J51" i="15"/>
  <c r="M47" i="15"/>
  <c r="J53" i="15"/>
  <c r="F1" i="15"/>
  <c r="AE6" i="1"/>
  <c r="B113" i="83"/>
  <c r="I118" i="83"/>
  <c r="J118" i="83"/>
  <c r="K118" i="83"/>
  <c r="L118" i="83"/>
  <c r="M118" i="83"/>
  <c r="G118" i="83"/>
  <c r="H118" i="83"/>
  <c r="D118" i="83"/>
  <c r="E118" i="83"/>
  <c r="F118" i="83"/>
  <c r="B118" i="83"/>
  <c r="C118" i="83"/>
  <c r="I117" i="83"/>
  <c r="J117" i="83"/>
  <c r="K117" i="83"/>
  <c r="L117" i="83"/>
  <c r="M117" i="83"/>
  <c r="D117" i="83"/>
  <c r="E117" i="83"/>
  <c r="F117" i="83"/>
  <c r="G117" i="83"/>
  <c r="H117" i="83"/>
  <c r="B117" i="83"/>
  <c r="C117" i="83"/>
  <c r="I116" i="83"/>
  <c r="J116" i="83"/>
  <c r="K116" i="83"/>
  <c r="L116" i="83"/>
  <c r="M116" i="83"/>
  <c r="D116" i="83"/>
  <c r="E116" i="83"/>
  <c r="F116" i="83"/>
  <c r="G116" i="83"/>
  <c r="H116" i="83"/>
  <c r="B116" i="83"/>
  <c r="C116" i="83"/>
  <c r="I115" i="83"/>
  <c r="J115" i="83"/>
  <c r="K115" i="83"/>
  <c r="L115" i="83"/>
  <c r="M115" i="83"/>
  <c r="D115" i="83"/>
  <c r="E115" i="83"/>
  <c r="F115" i="83"/>
  <c r="G115" i="83"/>
  <c r="H115" i="83"/>
  <c r="B115" i="83"/>
  <c r="C115" i="83"/>
  <c r="H113" i="83"/>
  <c r="F113" i="83"/>
  <c r="D113" i="83"/>
  <c r="N99" i="83"/>
  <c r="N108" i="83"/>
  <c r="N101" i="83"/>
  <c r="N109" i="83"/>
  <c r="M99" i="83"/>
  <c r="M108" i="83"/>
  <c r="M101" i="83"/>
  <c r="M109" i="83"/>
  <c r="L99" i="83"/>
  <c r="L108" i="83"/>
  <c r="L101" i="83"/>
  <c r="L109" i="83"/>
  <c r="K99" i="83"/>
  <c r="K108" i="83"/>
  <c r="K101" i="83"/>
  <c r="K109" i="83"/>
  <c r="J99" i="83"/>
  <c r="J108" i="83"/>
  <c r="J101" i="83"/>
  <c r="J109" i="83"/>
  <c r="I99" i="83"/>
  <c r="I108" i="83"/>
  <c r="I101" i="83"/>
  <c r="I109" i="83"/>
  <c r="H99" i="83"/>
  <c r="H108" i="83"/>
  <c r="H101" i="83"/>
  <c r="H109" i="83"/>
  <c r="G99" i="83"/>
  <c r="G108" i="83"/>
  <c r="G101" i="83"/>
  <c r="G109" i="83"/>
  <c r="F99" i="83"/>
  <c r="F108" i="83"/>
  <c r="F101" i="83"/>
  <c r="F109" i="83"/>
  <c r="E99" i="83"/>
  <c r="E108" i="83"/>
  <c r="E101" i="83"/>
  <c r="E109" i="83"/>
  <c r="D99" i="83"/>
  <c r="D108" i="83"/>
  <c r="D101" i="83"/>
  <c r="D109" i="83"/>
  <c r="C99" i="83"/>
  <c r="C108" i="83"/>
  <c r="C101" i="83"/>
  <c r="C109" i="83"/>
  <c r="N107" i="83"/>
  <c r="M107" i="83"/>
  <c r="L107" i="83"/>
  <c r="K107" i="83"/>
  <c r="J107" i="83"/>
  <c r="I107" i="83"/>
  <c r="H107" i="83"/>
  <c r="G107" i="83"/>
  <c r="F107" i="83"/>
  <c r="E107" i="83"/>
  <c r="D107" i="83"/>
  <c r="C107" i="83"/>
  <c r="N106" i="83"/>
  <c r="M106" i="83"/>
  <c r="L106" i="83"/>
  <c r="K106" i="83"/>
  <c r="J106" i="83"/>
  <c r="I106" i="83"/>
  <c r="H106" i="83"/>
  <c r="G106" i="83"/>
  <c r="F106" i="83"/>
  <c r="E106" i="83"/>
  <c r="D106" i="83"/>
  <c r="C106" i="83"/>
  <c r="N105" i="83"/>
  <c r="M105" i="83"/>
  <c r="L105" i="83"/>
  <c r="K105" i="83"/>
  <c r="J105" i="83"/>
  <c r="I105" i="83"/>
  <c r="H105" i="83"/>
  <c r="G105" i="83"/>
  <c r="F105" i="83"/>
  <c r="E105" i="83"/>
  <c r="D105" i="83"/>
  <c r="C105" i="83"/>
  <c r="N104" i="83"/>
  <c r="M104" i="83"/>
  <c r="L104" i="83"/>
  <c r="K104" i="83"/>
  <c r="J104" i="83"/>
  <c r="I104" i="83"/>
  <c r="H104" i="83"/>
  <c r="G104" i="83"/>
  <c r="F104" i="83"/>
  <c r="E104" i="83"/>
  <c r="D104" i="83"/>
  <c r="C104" i="83"/>
  <c r="N103" i="83"/>
  <c r="M103" i="83"/>
  <c r="L103" i="83"/>
  <c r="K103" i="83"/>
  <c r="J103" i="83"/>
  <c r="I103" i="83"/>
  <c r="H103" i="83"/>
  <c r="G103" i="83"/>
  <c r="F103" i="83"/>
  <c r="E103" i="83"/>
  <c r="D103" i="83"/>
  <c r="C103" i="83"/>
  <c r="N102" i="83"/>
  <c r="M102" i="83"/>
  <c r="L102" i="83"/>
  <c r="K102" i="83"/>
  <c r="J102" i="83"/>
  <c r="I102" i="83"/>
  <c r="H102" i="83"/>
  <c r="G102" i="83"/>
  <c r="F102" i="83"/>
  <c r="E102" i="83"/>
  <c r="D102" i="83"/>
  <c r="C102" i="83"/>
  <c r="N100" i="83"/>
  <c r="M100" i="83"/>
  <c r="L100" i="83"/>
  <c r="K100" i="83"/>
  <c r="J100" i="83"/>
  <c r="I100" i="83"/>
  <c r="H100" i="83"/>
  <c r="G100" i="83"/>
  <c r="F100" i="83"/>
  <c r="E100" i="83"/>
  <c r="D100" i="83"/>
  <c r="C100" i="83"/>
  <c r="M88" i="83"/>
  <c r="N88" i="83"/>
  <c r="K88" i="83"/>
  <c r="J88" i="83"/>
  <c r="F81" i="83"/>
  <c r="H88" i="83"/>
  <c r="D88" i="83"/>
  <c r="G18" i="20"/>
  <c r="B88" i="83"/>
  <c r="M87" i="83"/>
  <c r="N87" i="83"/>
  <c r="K87" i="83"/>
  <c r="J87" i="83"/>
  <c r="H87" i="83"/>
  <c r="D87" i="83"/>
  <c r="M86" i="83"/>
  <c r="N86" i="83"/>
  <c r="K86" i="83"/>
  <c r="J86" i="83"/>
  <c r="H86" i="83"/>
  <c r="D86" i="83"/>
  <c r="G20" i="20"/>
  <c r="B86" i="83"/>
  <c r="M85" i="83"/>
  <c r="N85" i="83"/>
  <c r="K85" i="83"/>
  <c r="J85" i="83"/>
  <c r="H85" i="83"/>
  <c r="D85" i="83"/>
  <c r="G19" i="20"/>
  <c r="B85" i="83"/>
  <c r="M84" i="83"/>
  <c r="N84" i="83"/>
  <c r="K84" i="83"/>
  <c r="J84" i="83"/>
  <c r="H84" i="83"/>
  <c r="D84" i="83"/>
  <c r="B84" i="83"/>
  <c r="M83" i="83"/>
  <c r="N83" i="83"/>
  <c r="K83" i="83"/>
  <c r="J83" i="83"/>
  <c r="H83" i="83"/>
  <c r="D83" i="83"/>
  <c r="B83" i="83"/>
  <c r="M82" i="83"/>
  <c r="N82" i="83"/>
  <c r="K82" i="83"/>
  <c r="J82" i="83"/>
  <c r="H82" i="83"/>
  <c r="D82" i="83"/>
  <c r="G16" i="20"/>
  <c r="B82" i="83"/>
  <c r="M81" i="83"/>
  <c r="N81" i="83"/>
  <c r="K81" i="83"/>
  <c r="J81" i="83"/>
  <c r="H81" i="83"/>
  <c r="D81" i="83"/>
  <c r="E81" i="83"/>
  <c r="G15" i="20"/>
  <c r="B81" i="83"/>
  <c r="B79" i="83"/>
  <c r="M78" i="83"/>
  <c r="N78" i="83"/>
  <c r="K78" i="83"/>
  <c r="J78" i="83"/>
  <c r="F70" i="83"/>
  <c r="H78" i="83"/>
  <c r="D78" i="83"/>
  <c r="M77" i="83"/>
  <c r="N77" i="83"/>
  <c r="K77" i="83"/>
  <c r="J77" i="83"/>
  <c r="H77" i="83"/>
  <c r="D77" i="83"/>
  <c r="C20" i="20"/>
  <c r="B77" i="83"/>
  <c r="M76" i="83"/>
  <c r="N76" i="83"/>
  <c r="K76" i="83"/>
  <c r="J76" i="83"/>
  <c r="H76" i="83"/>
  <c r="D76" i="83"/>
  <c r="M75" i="83"/>
  <c r="N75" i="83"/>
  <c r="K75" i="83"/>
  <c r="J75" i="83"/>
  <c r="H75" i="83"/>
  <c r="D75" i="83"/>
  <c r="C22" i="20"/>
  <c r="B75" i="83"/>
  <c r="M74" i="83"/>
  <c r="N74" i="83"/>
  <c r="K74" i="83"/>
  <c r="J74" i="83"/>
  <c r="H74" i="83"/>
  <c r="D74" i="83"/>
  <c r="C21" i="20"/>
  <c r="B74" i="83"/>
  <c r="M73" i="83"/>
  <c r="N73" i="83"/>
  <c r="K73" i="83"/>
  <c r="J73" i="83"/>
  <c r="H73" i="83"/>
  <c r="D73" i="83"/>
  <c r="C24" i="20"/>
  <c r="B73" i="83"/>
  <c r="M72" i="83"/>
  <c r="N72" i="83"/>
  <c r="K72" i="83"/>
  <c r="J72" i="83"/>
  <c r="H72" i="83"/>
  <c r="D72" i="83"/>
  <c r="B72" i="83"/>
  <c r="M71" i="83"/>
  <c r="N71" i="83"/>
  <c r="K71" i="83"/>
  <c r="J71" i="83"/>
  <c r="H71" i="83"/>
  <c r="D71" i="83"/>
  <c r="C18" i="20"/>
  <c r="B71" i="83"/>
  <c r="M70" i="83"/>
  <c r="N70" i="83"/>
  <c r="K70" i="83"/>
  <c r="J70" i="83"/>
  <c r="H70" i="83"/>
  <c r="D70" i="83"/>
  <c r="E70" i="83"/>
  <c r="C15" i="20"/>
  <c r="B70" i="83"/>
  <c r="B68" i="83"/>
  <c r="M67" i="83"/>
  <c r="N67" i="83"/>
  <c r="J67" i="83"/>
  <c r="B67" i="83"/>
  <c r="M66" i="83"/>
  <c r="N66" i="83"/>
  <c r="B66" i="83"/>
  <c r="M65" i="83"/>
  <c r="N65" i="83"/>
  <c r="J65" i="83"/>
  <c r="B65" i="83"/>
  <c r="M64" i="83"/>
  <c r="N64" i="83"/>
  <c r="J64" i="83"/>
  <c r="H63" i="83"/>
  <c r="G63" i="83"/>
  <c r="M63" i="83"/>
  <c r="N63" i="83"/>
  <c r="K63" i="83"/>
  <c r="J63" i="83"/>
  <c r="B63" i="83"/>
  <c r="M62" i="83"/>
  <c r="N62" i="83"/>
  <c r="J62" i="83"/>
  <c r="M61" i="83"/>
  <c r="N61" i="83"/>
  <c r="J61" i="83"/>
  <c r="B61" i="83"/>
  <c r="M60" i="83"/>
  <c r="N60" i="83"/>
  <c r="J60" i="83"/>
  <c r="B60" i="83"/>
  <c r="M59" i="83"/>
  <c r="N59" i="83"/>
  <c r="J59" i="83"/>
  <c r="C17" i="20"/>
  <c r="B59" i="83"/>
  <c r="M56" i="83"/>
  <c r="N56" i="83"/>
  <c r="K56" i="83"/>
  <c r="J56" i="83"/>
  <c r="F48" i="83"/>
  <c r="H56" i="83"/>
  <c r="D56" i="83"/>
  <c r="B56" i="83"/>
  <c r="M55" i="83"/>
  <c r="N55" i="83"/>
  <c r="K55" i="83"/>
  <c r="J55" i="83"/>
  <c r="H55" i="83"/>
  <c r="D55" i="83"/>
  <c r="B55" i="83"/>
  <c r="M54" i="83"/>
  <c r="N54" i="83"/>
  <c r="K54" i="83"/>
  <c r="J54" i="83"/>
  <c r="H54" i="83"/>
  <c r="D54" i="83"/>
  <c r="B54" i="83"/>
  <c r="M53" i="83"/>
  <c r="N53" i="83"/>
  <c r="K53" i="83"/>
  <c r="J53" i="83"/>
  <c r="H53" i="83"/>
  <c r="D53" i="83"/>
  <c r="M52" i="83"/>
  <c r="N52" i="83"/>
  <c r="K52" i="83"/>
  <c r="J52" i="83"/>
  <c r="H52" i="83"/>
  <c r="D52" i="83"/>
  <c r="B52" i="83"/>
  <c r="M51" i="83"/>
  <c r="N51" i="83"/>
  <c r="K51" i="83"/>
  <c r="J51" i="83"/>
  <c r="H51" i="83"/>
  <c r="D51" i="83"/>
  <c r="M50" i="83"/>
  <c r="N50" i="83"/>
  <c r="K50" i="83"/>
  <c r="J50" i="83"/>
  <c r="H50" i="83"/>
  <c r="D50" i="83"/>
  <c r="B50" i="83"/>
  <c r="M49" i="83"/>
  <c r="N49" i="83"/>
  <c r="K49" i="83"/>
  <c r="J49" i="83"/>
  <c r="H49" i="83"/>
  <c r="D49" i="83"/>
  <c r="B49" i="83"/>
  <c r="M48" i="83"/>
  <c r="N48" i="83"/>
  <c r="K48" i="83"/>
  <c r="J48" i="83"/>
  <c r="H48" i="83"/>
  <c r="D48" i="83"/>
  <c r="E48" i="83"/>
  <c r="B48" i="83"/>
  <c r="B46" i="83"/>
  <c r="H17" i="83"/>
  <c r="I17" i="83"/>
  <c r="J17" i="83"/>
  <c r="K17" i="83"/>
  <c r="L17" i="83"/>
  <c r="M17" i="83"/>
  <c r="N17" i="83"/>
  <c r="O17" i="83"/>
  <c r="G17" i="83"/>
  <c r="C17" i="83"/>
  <c r="G39" i="83"/>
  <c r="H39" i="83"/>
  <c r="I39" i="83"/>
  <c r="G38" i="83"/>
  <c r="H38" i="83"/>
  <c r="I38" i="83"/>
  <c r="G37" i="83"/>
  <c r="H37" i="83"/>
  <c r="I37" i="83"/>
  <c r="G36" i="83"/>
  <c r="H36" i="83"/>
  <c r="I36" i="83"/>
  <c r="G35" i="83"/>
  <c r="H35" i="83"/>
  <c r="I35" i="83"/>
  <c r="G34" i="83"/>
  <c r="H34" i="83"/>
  <c r="I34" i="83"/>
  <c r="G33" i="83"/>
  <c r="H33" i="83"/>
  <c r="I33" i="83"/>
  <c r="C30" i="83"/>
  <c r="E30" i="83"/>
  <c r="P28" i="83"/>
  <c r="O28" i="83"/>
  <c r="M28" i="83"/>
  <c r="C27" i="8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5" i="83"/>
  <c r="P24" i="83"/>
  <c r="P23" i="83"/>
  <c r="C23" i="83"/>
  <c r="P22" i="83"/>
  <c r="J22" i="83"/>
  <c r="P21" i="83"/>
  <c r="O19" i="83"/>
  <c r="D17" i="83"/>
  <c r="T16" i="83"/>
  <c r="V16" i="83"/>
  <c r="T15" i="83"/>
  <c r="V15" i="83"/>
  <c r="F15" i="83"/>
  <c r="E15" i="83"/>
  <c r="D15" i="83"/>
  <c r="C15" i="83"/>
  <c r="T14" i="83"/>
  <c r="V14" i="83"/>
  <c r="AJ9" i="83"/>
  <c r="AJ12" i="83"/>
  <c r="AJ11" i="83"/>
  <c r="AJ13" i="83"/>
  <c r="AI9" i="83"/>
  <c r="AI12" i="83"/>
  <c r="AI11" i="83"/>
  <c r="AI13" i="83"/>
  <c r="AH9" i="83"/>
  <c r="AH12" i="83"/>
  <c r="AH11" i="83"/>
  <c r="AH13" i="83"/>
  <c r="AG9" i="83"/>
  <c r="AG12" i="83"/>
  <c r="AG11" i="83"/>
  <c r="AG13" i="83"/>
  <c r="AF9" i="83"/>
  <c r="AF12" i="83"/>
  <c r="AF11" i="83"/>
  <c r="AF13" i="83"/>
  <c r="AE9" i="83"/>
  <c r="AE12" i="83"/>
  <c r="AE11" i="83"/>
  <c r="AE13" i="83"/>
  <c r="AD9" i="83"/>
  <c r="AD12" i="83"/>
  <c r="AD11" i="83"/>
  <c r="AD13" i="83"/>
  <c r="AC9" i="83"/>
  <c r="AC12" i="83"/>
  <c r="AC11" i="83"/>
  <c r="AC13" i="83"/>
  <c r="AB9" i="83"/>
  <c r="AB12" i="83"/>
  <c r="AB11" i="83"/>
  <c r="AB13" i="83"/>
  <c r="AA9" i="83"/>
  <c r="AA12" i="83"/>
  <c r="AA11" i="83"/>
  <c r="AA13" i="83"/>
  <c r="Z9" i="83"/>
  <c r="Z12" i="83"/>
  <c r="Z11" i="83"/>
  <c r="Z13" i="83"/>
  <c r="Y12" i="83"/>
  <c r="Y11" i="83"/>
  <c r="Y13" i="83"/>
  <c r="T13" i="83"/>
  <c r="V13" i="83"/>
  <c r="T12" i="83"/>
  <c r="V12" i="83"/>
  <c r="N12" i="83"/>
  <c r="M12" i="83"/>
  <c r="C12" i="83"/>
  <c r="T11" i="83"/>
  <c r="V11" i="83"/>
  <c r="N11" i="83"/>
  <c r="M11" i="83"/>
  <c r="C10" i="83"/>
  <c r="C11" i="83"/>
  <c r="E11" i="83"/>
  <c r="AJ10" i="83"/>
  <c r="AI10" i="83"/>
  <c r="AH10" i="83"/>
  <c r="AG10" i="83"/>
  <c r="AF10" i="83"/>
  <c r="AE10" i="83"/>
  <c r="AD10" i="83"/>
  <c r="AC10" i="83"/>
  <c r="AB10" i="83"/>
  <c r="AA10" i="83"/>
  <c r="Z10" i="83"/>
  <c r="Y10" i="83"/>
  <c r="T10" i="83"/>
  <c r="V10" i="83"/>
  <c r="N10" i="83"/>
  <c r="M10" i="83"/>
  <c r="E10" i="83"/>
  <c r="T9" i="83"/>
  <c r="V9" i="83"/>
  <c r="N9" i="83"/>
  <c r="M9" i="83"/>
  <c r="E9" i="83"/>
  <c r="C9" i="83"/>
  <c r="T8" i="83"/>
  <c r="V8" i="83"/>
  <c r="N8" i="83"/>
  <c r="M8" i="83"/>
  <c r="E8" i="83"/>
  <c r="Z7" i="83"/>
  <c r="X7" i="83"/>
  <c r="S7" i="83"/>
  <c r="T7" i="83"/>
  <c r="V7" i="83"/>
  <c r="N7" i="83"/>
  <c r="M7" i="83"/>
  <c r="C7" i="83"/>
  <c r="A7" i="83"/>
  <c r="S6" i="83"/>
  <c r="T6" i="83"/>
  <c r="V6" i="83"/>
  <c r="N6" i="83"/>
  <c r="M6" i="83"/>
  <c r="S5" i="83"/>
  <c r="T5" i="83"/>
  <c r="V5" i="83"/>
  <c r="S4" i="83"/>
  <c r="T4" i="83"/>
  <c r="V4" i="83"/>
  <c r="N4" i="83"/>
  <c r="M4" i="83"/>
  <c r="S3" i="83"/>
  <c r="T3" i="83"/>
  <c r="V3" i="83"/>
  <c r="N3" i="83"/>
  <c r="M3" i="83"/>
  <c r="D1" i="83"/>
  <c r="B3" i="83"/>
  <c r="S2" i="83"/>
  <c r="T2" i="83"/>
  <c r="V2" i="83"/>
  <c r="N2" i="83"/>
  <c r="M2" i="83"/>
  <c r="N1" i="83"/>
  <c r="M1" i="83"/>
  <c r="B24" i="1"/>
  <c r="F34" i="82"/>
  <c r="A7" i="1"/>
  <c r="A8" i="1"/>
  <c r="G1" i="82"/>
  <c r="K6" i="1"/>
  <c r="M6" i="1"/>
  <c r="S6" i="1"/>
  <c r="T6" i="1"/>
  <c r="K7" i="1"/>
  <c r="M7" i="1"/>
  <c r="K8" i="1"/>
  <c r="M8" i="1"/>
  <c r="A9" i="1"/>
  <c r="K9" i="1"/>
  <c r="M9" i="1"/>
  <c r="A10" i="1"/>
  <c r="K10" i="1"/>
  <c r="M10" i="1"/>
  <c r="A11" i="1"/>
  <c r="K11" i="1"/>
  <c r="M11" i="1"/>
  <c r="A12" i="1"/>
  <c r="K12" i="1"/>
  <c r="M12" i="1"/>
  <c r="A13" i="1"/>
  <c r="K13" i="1"/>
  <c r="M13" i="1"/>
  <c r="K14" i="1"/>
  <c r="M14" i="1"/>
  <c r="M16" i="1"/>
  <c r="C34" i="82"/>
  <c r="F35" i="82"/>
  <c r="C35" i="82"/>
  <c r="C42" i="1"/>
  <c r="F36" i="82"/>
  <c r="C36" i="82"/>
  <c r="E37" i="8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D9" i="82"/>
  <c r="D19" i="82"/>
  <c r="D37" i="82"/>
  <c r="C37" i="82"/>
  <c r="F38" i="82"/>
  <c r="C38" i="82"/>
  <c r="C33" i="82"/>
  <c r="F20" i="82"/>
  <c r="C39" i="82"/>
  <c r="F22" i="82"/>
  <c r="C42" i="82"/>
  <c r="C43" i="82"/>
  <c r="C41" i="82"/>
  <c r="Q16" i="1"/>
  <c r="F27" i="82"/>
  <c r="C46" i="82"/>
  <c r="C45" i="82"/>
  <c r="F21" i="82"/>
  <c r="C40" i="82"/>
  <c r="C44" i="82"/>
  <c r="D41" i="82"/>
  <c r="C47" i="82"/>
  <c r="D45" i="82"/>
  <c r="B43" i="1"/>
  <c r="B41" i="1"/>
  <c r="F30" i="82"/>
  <c r="C48" i="82"/>
  <c r="C49" i="82"/>
  <c r="N14" i="1"/>
  <c r="N16" i="1"/>
  <c r="F50" i="82"/>
  <c r="C51" i="82"/>
  <c r="F7" i="82"/>
  <c r="C7" i="82"/>
  <c r="E9" i="82"/>
  <c r="C9" i="82"/>
  <c r="E10" i="82"/>
  <c r="C8" i="82"/>
  <c r="C5" i="82"/>
  <c r="C19" i="82"/>
  <c r="C20" i="82"/>
  <c r="B23" i="1"/>
  <c r="C23" i="82"/>
  <c r="C24" i="82"/>
  <c r="C25" i="82"/>
  <c r="C22" i="82"/>
  <c r="C28" i="82"/>
  <c r="C27" i="82"/>
  <c r="C21" i="82"/>
  <c r="C26" i="82"/>
  <c r="D22" i="82"/>
  <c r="C29" i="82"/>
  <c r="D27" i="82"/>
  <c r="C30" i="82"/>
  <c r="C31" i="82"/>
  <c r="C52" i="82"/>
  <c r="C57" i="82"/>
  <c r="C56" i="82"/>
  <c r="G41" i="82"/>
  <c r="G22" i="82"/>
  <c r="B31" i="1"/>
  <c r="E19" i="82"/>
  <c r="B2" i="82"/>
  <c r="B3" i="82"/>
  <c r="E2" i="82"/>
  <c r="D4" i="31"/>
  <c r="E4" i="31"/>
  <c r="F4" i="31"/>
  <c r="G4" i="31"/>
  <c r="H4" i="31"/>
  <c r="I4" i="31"/>
  <c r="C4" i="31"/>
  <c r="D3" i="31"/>
  <c r="E3" i="31"/>
  <c r="F3" i="31"/>
  <c r="G3" i="31"/>
  <c r="H3" i="31"/>
  <c r="I3" i="31"/>
  <c r="C3" i="31"/>
  <c r="G1" i="78"/>
  <c r="F6" i="78"/>
  <c r="F8" i="78"/>
  <c r="F7" i="78"/>
  <c r="F9" i="78"/>
  <c r="C6" i="78"/>
  <c r="F11" i="78"/>
  <c r="C10" i="78"/>
  <c r="C5" i="78"/>
  <c r="F32" i="78"/>
  <c r="C32" i="78"/>
  <c r="F33" i="78"/>
  <c r="C33" i="78"/>
  <c r="L20" i="6"/>
  <c r="K20" i="6"/>
  <c r="M20" i="6"/>
  <c r="I20" i="6"/>
  <c r="H20" i="6"/>
  <c r="D20" i="6"/>
  <c r="R20" i="6"/>
  <c r="R7" i="1"/>
  <c r="F35" i="78"/>
  <c r="B52" i="1"/>
  <c r="F34" i="78"/>
  <c r="C34" i="78"/>
  <c r="C31" i="78"/>
  <c r="S7" i="1"/>
  <c r="T7"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L48" i="78"/>
  <c r="J50" i="78"/>
  <c r="J51" i="78"/>
  <c r="M47" i="78"/>
  <c r="J53" i="78"/>
  <c r="F1" i="78"/>
  <c r="G1" i="77"/>
  <c r="F7" i="1"/>
  <c r="L48" i="77"/>
  <c r="M47" i="77"/>
  <c r="J50" i="77"/>
  <c r="J51" i="77"/>
  <c r="J53" i="77"/>
  <c r="F1" i="77"/>
  <c r="AE7" i="1"/>
  <c r="F41" i="78"/>
  <c r="C40" i="78"/>
  <c r="M6" i="78"/>
  <c r="M8" i="78"/>
  <c r="M7" i="78"/>
  <c r="M9" i="78"/>
  <c r="J6" i="78"/>
  <c r="M11" i="78"/>
  <c r="J10" i="78"/>
  <c r="J5" i="78"/>
  <c r="J26" i="78"/>
  <c r="J29" i="78"/>
  <c r="J57" i="78"/>
  <c r="J55" i="78"/>
  <c r="J58" i="78"/>
  <c r="J59" i="78"/>
  <c r="J60" i="78"/>
  <c r="L46" i="78"/>
  <c r="B2" i="78"/>
  <c r="C19" i="79"/>
  <c r="E20" i="43"/>
  <c r="N28" i="43"/>
  <c r="G20" i="43"/>
  <c r="I20" i="43"/>
  <c r="J20" i="43"/>
  <c r="C20" i="43"/>
  <c r="G2" i="43"/>
  <c r="H17" i="43"/>
  <c r="I17" i="43"/>
  <c r="J17" i="43"/>
  <c r="K17" i="43"/>
  <c r="L17" i="43"/>
  <c r="M17" i="43"/>
  <c r="N17" i="43"/>
  <c r="O17" i="43"/>
  <c r="G17" i="43"/>
  <c r="I2" i="43"/>
  <c r="M5" i="43"/>
  <c r="C6" i="43"/>
  <c r="G3" i="43"/>
  <c r="E22" i="43"/>
  <c r="G22" i="43"/>
  <c r="F22" i="43"/>
  <c r="H22" i="43"/>
  <c r="D22" i="43"/>
  <c r="C21" i="43"/>
  <c r="G19" i="43"/>
  <c r="M20" i="43"/>
  <c r="M19" i="43"/>
  <c r="C19" i="43"/>
  <c r="E41" i="43"/>
  <c r="G41" i="43"/>
  <c r="C41" i="43"/>
  <c r="G1" i="68"/>
  <c r="D9" i="68"/>
  <c r="E9" i="68"/>
  <c r="C9" i="68"/>
  <c r="D10" i="68"/>
  <c r="E10" i="68"/>
  <c r="C10" i="68"/>
  <c r="C8" i="68"/>
  <c r="F20" i="68"/>
  <c r="F22" i="68"/>
  <c r="C19" i="68"/>
  <c r="C24" i="68"/>
  <c r="F27" i="68"/>
  <c r="F21" i="68"/>
  <c r="C26" i="68"/>
  <c r="D22" i="68"/>
  <c r="C21" i="68"/>
  <c r="C29" i="68"/>
  <c r="D27" i="68"/>
  <c r="F30" i="68"/>
  <c r="C30" i="68"/>
  <c r="F34" i="68"/>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17" i="79"/>
  <c r="D17" i="79"/>
  <c r="C18" i="79"/>
  <c r="E14" i="3"/>
  <c r="G1" i="80"/>
  <c r="C14" i="80"/>
  <c r="F15" i="80"/>
  <c r="C15" i="80"/>
  <c r="F16" i="80"/>
  <c r="C16" i="80"/>
  <c r="F17" i="80"/>
  <c r="F43" i="80"/>
  <c r="C17" i="80"/>
  <c r="F18" i="80"/>
  <c r="C18" i="80"/>
  <c r="C19" i="80"/>
  <c r="F20" i="80"/>
  <c r="C20" i="80"/>
  <c r="F24" i="80"/>
  <c r="F23" i="80"/>
  <c r="C23" i="80"/>
  <c r="F26" i="80"/>
  <c r="C26" i="80"/>
  <c r="F21" i="80"/>
  <c r="C24" i="80"/>
  <c r="C27" i="80"/>
  <c r="F28" i="80"/>
  <c r="C28" i="80"/>
  <c r="C29" i="80"/>
  <c r="Y6" i="1"/>
  <c r="F13" i="80"/>
  <c r="C13" i="80"/>
  <c r="F6" i="80"/>
  <c r="F8" i="80"/>
  <c r="F7" i="80"/>
  <c r="F9" i="80"/>
  <c r="C6" i="80"/>
  <c r="F11" i="80"/>
  <c r="C10" i="80"/>
  <c r="C5" i="80"/>
  <c r="F32" i="80"/>
  <c r="C32" i="80"/>
  <c r="F33" i="80"/>
  <c r="C33" i="80"/>
  <c r="F34" i="80"/>
  <c r="F35" i="80"/>
  <c r="C34"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M18" i="80"/>
  <c r="J18" i="80"/>
  <c r="M19" i="80"/>
  <c r="J19" i="80"/>
  <c r="M21" i="80"/>
  <c r="M20" i="80"/>
  <c r="J20" i="80"/>
  <c r="J17" i="80"/>
  <c r="J14" i="80"/>
  <c r="M22" i="80"/>
  <c r="J22" i="80"/>
  <c r="J15" i="80"/>
  <c r="J13" i="80"/>
  <c r="M23" i="80"/>
  <c r="J23" i="80"/>
  <c r="M24" i="80"/>
  <c r="J24" i="80"/>
  <c r="J16" i="80"/>
  <c r="J25" i="80"/>
  <c r="M28" i="80"/>
  <c r="M26" i="80"/>
  <c r="AG6" i="1"/>
  <c r="M27" i="80"/>
  <c r="J26" i="80"/>
  <c r="J29" i="80"/>
  <c r="Q65" i="80"/>
  <c r="M47" i="80"/>
  <c r="L48" i="80"/>
  <c r="J50" i="80"/>
  <c r="J51" i="80"/>
  <c r="L60" i="80"/>
  <c r="Q66" i="80"/>
  <c r="Q75" i="80"/>
  <c r="D6"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J53" i="80"/>
  <c r="J60" i="80"/>
  <c r="Q59" i="80"/>
  <c r="N59" i="80"/>
  <c r="M59" i="80"/>
  <c r="F59" i="80"/>
  <c r="Q58" i="80"/>
  <c r="L57" i="80"/>
  <c r="L56" i="80"/>
  <c r="I54" i="80"/>
  <c r="Q47" i="80"/>
  <c r="Q48" i="80"/>
  <c r="Q53" i="80"/>
  <c r="Q52" i="80"/>
  <c r="Q51" i="80"/>
  <c r="Q50" i="80"/>
  <c r="Q49" i="80"/>
  <c r="L46" i="80"/>
  <c r="D46" i="80"/>
  <c r="C46" i="80"/>
  <c r="C43" i="80"/>
  <c r="F31" i="80"/>
  <c r="M29" i="80"/>
  <c r="D24" i="80"/>
  <c r="D23" i="80"/>
  <c r="D22" i="80"/>
  <c r="M17" i="80"/>
  <c r="B2" i="80"/>
  <c r="B3" i="80"/>
  <c r="F1" i="80"/>
  <c r="D39" i="43"/>
  <c r="C18" i="43"/>
  <c r="D63" i="43"/>
  <c r="N5" i="43"/>
  <c r="F59" i="43"/>
  <c r="H59" i="43"/>
  <c r="G59" i="43"/>
  <c r="K59" i="43"/>
  <c r="D59" i="43"/>
  <c r="H60" i="43"/>
  <c r="G60" i="43"/>
  <c r="K60" i="43"/>
  <c r="D60" i="43"/>
  <c r="H61" i="43"/>
  <c r="G61" i="43"/>
  <c r="K61" i="43"/>
  <c r="D61" i="43"/>
  <c r="H62" i="43"/>
  <c r="G62" i="43"/>
  <c r="K62" i="43"/>
  <c r="D62" i="43"/>
  <c r="H64" i="43"/>
  <c r="G64" i="43"/>
  <c r="K64" i="43"/>
  <c r="D64" i="43"/>
  <c r="H65" i="43"/>
  <c r="G65" i="43"/>
  <c r="K65" i="43"/>
  <c r="D65" i="43"/>
  <c r="H66" i="43"/>
  <c r="G66" i="43"/>
  <c r="K66" i="43"/>
  <c r="J66" i="43"/>
  <c r="D66" i="43"/>
  <c r="H67" i="43"/>
  <c r="G67" i="43"/>
  <c r="K67" i="43"/>
  <c r="D67" i="43"/>
  <c r="E59" i="43"/>
  <c r="B57" i="43"/>
  <c r="C24" i="43"/>
  <c r="H63" i="43"/>
  <c r="G63" i="43"/>
  <c r="E111" i="79"/>
  <c r="H111" i="79"/>
  <c r="D126" i="79"/>
  <c r="D127" i="79"/>
  <c r="A126" i="79"/>
  <c r="E109" i="79"/>
  <c r="H109" i="79"/>
  <c r="D124" i="79"/>
  <c r="D125" i="79"/>
  <c r="A124" i="79"/>
  <c r="E107" i="79"/>
  <c r="F6" i="15"/>
  <c r="F8" i="15"/>
  <c r="F7" i="15"/>
  <c r="F9" i="15"/>
  <c r="C6" i="15"/>
  <c r="F11" i="15"/>
  <c r="C10" i="15"/>
  <c r="C5" i="15"/>
  <c r="F32" i="15"/>
  <c r="C32" i="15"/>
  <c r="F33" i="15"/>
  <c r="C33" i="15"/>
  <c r="F35" i="15"/>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M18" i="15"/>
  <c r="J18" i="15"/>
  <c r="M19" i="15"/>
  <c r="J19" i="15"/>
  <c r="M21" i="15"/>
  <c r="M20" i="15"/>
  <c r="J20" i="15"/>
  <c r="J17" i="15"/>
  <c r="J14" i="15"/>
  <c r="M22" i="15"/>
  <c r="J22" i="15"/>
  <c r="J15" i="15"/>
  <c r="J13" i="15"/>
  <c r="M23" i="15"/>
  <c r="J23" i="15"/>
  <c r="M24" i="15"/>
  <c r="J24" i="15"/>
  <c r="J16" i="15"/>
  <c r="J25" i="15"/>
  <c r="M28" i="15"/>
  <c r="M26" i="15"/>
  <c r="M27" i="15"/>
  <c r="J26" i="15"/>
  <c r="J29" i="15"/>
  <c r="J57" i="15"/>
  <c r="J55" i="15"/>
  <c r="J58" i="15"/>
  <c r="J59" i="15"/>
  <c r="J60" i="15"/>
  <c r="L46" i="15"/>
  <c r="B2" i="15"/>
  <c r="F6" i="77"/>
  <c r="F8" i="77"/>
  <c r="F7" i="77"/>
  <c r="F9" i="77"/>
  <c r="C6" i="77"/>
  <c r="F11" i="77"/>
  <c r="C10" i="77"/>
  <c r="C5" i="77"/>
  <c r="F32" i="77"/>
  <c r="C32" i="77"/>
  <c r="F33" i="77"/>
  <c r="C33" i="77"/>
  <c r="K21" i="6"/>
  <c r="L21" i="6"/>
  <c r="M21" i="6"/>
  <c r="I21" i="6"/>
  <c r="H21" i="6"/>
  <c r="D21" i="6"/>
  <c r="R21" i="6"/>
  <c r="R8" i="1"/>
  <c r="F35" i="77"/>
  <c r="F34" i="77"/>
  <c r="C34" i="77"/>
  <c r="C31" i="77"/>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AE8" i="1"/>
  <c r="F41" i="77"/>
  <c r="C40" i="77"/>
  <c r="M6" i="77"/>
  <c r="M8" i="77"/>
  <c r="M7" i="77"/>
  <c r="M9" i="77"/>
  <c r="J6" i="77"/>
  <c r="M11" i="77"/>
  <c r="J10" i="77"/>
  <c r="J5" i="77"/>
  <c r="M18" i="77"/>
  <c r="J18" i="77"/>
  <c r="M19" i="77"/>
  <c r="J19" i="77"/>
  <c r="M21" i="77"/>
  <c r="M20" i="77"/>
  <c r="J20" i="77"/>
  <c r="J17" i="77"/>
  <c r="J14" i="77"/>
  <c r="M22" i="77"/>
  <c r="J22" i="77"/>
  <c r="J15" i="77"/>
  <c r="J13" i="77"/>
  <c r="M23" i="77"/>
  <c r="J23" i="77"/>
  <c r="M24" i="77"/>
  <c r="J24" i="77"/>
  <c r="J16" i="77"/>
  <c r="J25" i="77"/>
  <c r="M28" i="77"/>
  <c r="M26" i="77"/>
  <c r="AG7" i="1"/>
  <c r="M27" i="77"/>
  <c r="J26" i="77"/>
  <c r="J29" i="77"/>
  <c r="J57" i="77"/>
  <c r="J55" i="77"/>
  <c r="J58" i="77"/>
  <c r="J59" i="77"/>
  <c r="J60" i="77"/>
  <c r="L46" i="77"/>
  <c r="B2" i="77"/>
  <c r="C76" i="78"/>
  <c r="L51" i="78"/>
  <c r="L57" i="78"/>
  <c r="L47" i="78"/>
  <c r="L58" i="78"/>
  <c r="L59" i="78"/>
  <c r="L60" i="78"/>
  <c r="V48" i="34"/>
  <c r="C7" i="34"/>
  <c r="E7" i="34"/>
  <c r="G7" i="34"/>
  <c r="I7" i="34"/>
  <c r="C59" i="34"/>
  <c r="D59" i="34"/>
  <c r="E59" i="34"/>
  <c r="F59" i="34"/>
  <c r="G59" i="34"/>
  <c r="H59" i="34"/>
  <c r="I59" i="34"/>
  <c r="J59" i="34"/>
  <c r="K59" i="34"/>
  <c r="L59" i="34"/>
  <c r="M59" i="34"/>
  <c r="N59" i="34"/>
  <c r="O59" i="34"/>
  <c r="J7" i="34"/>
  <c r="AC7" i="34"/>
  <c r="C37" i="34"/>
  <c r="D112" i="34"/>
  <c r="E112" i="34"/>
  <c r="F112" i="34"/>
  <c r="G112" i="34"/>
  <c r="J37" i="34"/>
  <c r="AC37" i="34"/>
  <c r="D118" i="34"/>
  <c r="E118" i="34"/>
  <c r="J40" i="34"/>
  <c r="AC40" i="34"/>
  <c r="J34" i="34"/>
  <c r="AC34" i="34"/>
  <c r="J8" i="34"/>
  <c r="AC8" i="34"/>
  <c r="C64" i="34"/>
  <c r="J9" i="34"/>
  <c r="AC9" i="34"/>
  <c r="F67" i="34"/>
  <c r="J10" i="34"/>
  <c r="AC10" i="34"/>
  <c r="J11" i="34"/>
  <c r="AC11" i="34"/>
  <c r="B71" i="34"/>
  <c r="J12" i="34"/>
  <c r="AC12" i="34"/>
  <c r="B73" i="34"/>
  <c r="J13" i="34"/>
  <c r="AC13" i="34"/>
  <c r="B75" i="34"/>
  <c r="J14" i="34"/>
  <c r="AC14" i="34"/>
  <c r="D78" i="34"/>
  <c r="J15" i="34"/>
  <c r="AC15" i="34"/>
  <c r="D80" i="34"/>
  <c r="J17" i="34"/>
  <c r="AC17" i="34"/>
  <c r="D82" i="34"/>
  <c r="J19" i="34"/>
  <c r="AC19" i="34"/>
  <c r="J21" i="34"/>
  <c r="AC21" i="34"/>
  <c r="D86" i="34"/>
  <c r="J23" i="34"/>
  <c r="AC23" i="34"/>
  <c r="D88" i="34"/>
  <c r="E88" i="34"/>
  <c r="F88" i="34"/>
  <c r="J25" i="34"/>
  <c r="AC25" i="34"/>
  <c r="B89" i="34"/>
  <c r="D90" i="34"/>
  <c r="J27" i="34"/>
  <c r="AC27" i="34"/>
  <c r="B91" i="34"/>
  <c r="J28" i="34"/>
  <c r="AC28" i="34"/>
  <c r="B93" i="34"/>
  <c r="J29" i="34"/>
  <c r="AC29" i="34"/>
  <c r="B95" i="34"/>
  <c r="J30" i="34"/>
  <c r="AC30" i="34"/>
  <c r="B97" i="34"/>
  <c r="J31" i="34"/>
  <c r="AC31" i="34"/>
  <c r="B99" i="34"/>
  <c r="J32" i="34"/>
  <c r="AC32" i="34"/>
  <c r="J33" i="34"/>
  <c r="AC33" i="34"/>
  <c r="J35" i="34"/>
  <c r="AC35" i="34"/>
  <c r="D109" i="34"/>
  <c r="J36" i="34"/>
  <c r="AC36" i="34"/>
  <c r="J38" i="34"/>
  <c r="AC38" i="34"/>
  <c r="J39" i="34"/>
  <c r="AC39" i="34"/>
  <c r="J41" i="34"/>
  <c r="AC41" i="34"/>
  <c r="J42" i="34"/>
  <c r="AC42" i="34"/>
  <c r="D124" i="34"/>
  <c r="E124" i="34"/>
  <c r="J43" i="34"/>
  <c r="AC43" i="34"/>
  <c r="D126" i="34"/>
  <c r="J44" i="34"/>
  <c r="AC44" i="34"/>
  <c r="B127" i="34"/>
  <c r="J45" i="34"/>
  <c r="AC45" i="34"/>
  <c r="B129" i="34"/>
  <c r="J46" i="34"/>
  <c r="AC46" i="34"/>
  <c r="B131" i="34"/>
  <c r="J47" i="34"/>
  <c r="AC47" i="34"/>
  <c r="V49" i="34"/>
  <c r="T48" i="34"/>
  <c r="H7" i="34"/>
  <c r="AB7" i="34"/>
  <c r="H37" i="34"/>
  <c r="AB37" i="34"/>
  <c r="H40" i="34"/>
  <c r="AB40" i="34"/>
  <c r="H34" i="34"/>
  <c r="AB34"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1" i="34"/>
  <c r="AB41" i="34"/>
  <c r="H42" i="34"/>
  <c r="AB42" i="34"/>
  <c r="H43" i="34"/>
  <c r="AB43" i="34"/>
  <c r="H44" i="34"/>
  <c r="AB44" i="34"/>
  <c r="H45" i="34"/>
  <c r="AB45" i="34"/>
  <c r="H46" i="34"/>
  <c r="AB46" i="34"/>
  <c r="H47" i="34"/>
  <c r="AB47" i="34"/>
  <c r="T49" i="34"/>
  <c r="F7" i="34"/>
  <c r="AA7" i="34"/>
  <c r="F37" i="34"/>
  <c r="AA37" i="34"/>
  <c r="F40" i="34"/>
  <c r="AA40" i="34"/>
  <c r="F34" i="34"/>
  <c r="AA34" i="34"/>
  <c r="R48"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5" i="34"/>
  <c r="AA35" i="34"/>
  <c r="F36" i="34"/>
  <c r="AA36" i="34"/>
  <c r="F38" i="34"/>
  <c r="AA38" i="34"/>
  <c r="F39" i="34"/>
  <c r="AA39" i="34"/>
  <c r="F41" i="34"/>
  <c r="AA41" i="34"/>
  <c r="F42" i="34"/>
  <c r="AA42" i="34"/>
  <c r="F43" i="34"/>
  <c r="AA43" i="34"/>
  <c r="F44" i="34"/>
  <c r="AA44" i="34"/>
  <c r="F45" i="34"/>
  <c r="AA45" i="34"/>
  <c r="F46" i="34"/>
  <c r="AA46" i="34"/>
  <c r="F47" i="34"/>
  <c r="AA47" i="34"/>
  <c r="R49" i="34"/>
  <c r="R50" i="34"/>
  <c r="C50" i="34"/>
  <c r="D3" i="34"/>
  <c r="B2" i="34"/>
  <c r="D18" i="79"/>
  <c r="C24" i="79"/>
  <c r="H105" i="79"/>
  <c r="H106" i="79"/>
  <c r="H103" i="79"/>
  <c r="A122" i="79"/>
  <c r="D120" i="79"/>
  <c r="D121" i="79"/>
  <c r="A120" i="79"/>
  <c r="K120" i="79"/>
  <c r="D35" i="79"/>
  <c r="M18" i="79"/>
  <c r="B118" i="79"/>
  <c r="M19" i="79"/>
  <c r="C118" i="79"/>
  <c r="S2" i="4"/>
  <c r="A118" i="79"/>
  <c r="H112" i="79"/>
  <c r="H110" i="79"/>
  <c r="H104" i="79"/>
  <c r="B3" i="34"/>
  <c r="B3" i="78"/>
  <c r="B3" i="15"/>
  <c r="B3" i="77"/>
  <c r="C20" i="79"/>
  <c r="C103" i="79"/>
  <c r="C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C21" i="79"/>
  <c r="L18" i="79"/>
  <c r="L4" i="79"/>
  <c r="K4" i="79"/>
  <c r="A2" i="79"/>
  <c r="H1" i="79"/>
  <c r="S9" i="1"/>
  <c r="T9" i="1"/>
  <c r="S8" i="1"/>
  <c r="T8" i="1"/>
  <c r="D3" i="73"/>
  <c r="R9" i="1"/>
  <c r="AE9" i="1"/>
  <c r="C83" i="78"/>
  <c r="C82" i="78"/>
  <c r="C75" i="78"/>
  <c r="C80" i="78"/>
  <c r="C79" i="78"/>
  <c r="Q65" i="78"/>
  <c r="F8" i="1"/>
  <c r="D8" i="1"/>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6" i="77"/>
  <c r="C43" i="77"/>
  <c r="F31" i="77"/>
  <c r="M29" i="77"/>
  <c r="D24" i="77"/>
  <c r="D23" i="77"/>
  <c r="D22" i="77"/>
  <c r="M17" i="77"/>
  <c r="Q13" i="71"/>
  <c r="Q20" i="71"/>
  <c r="Q24" i="71"/>
  <c r="AB5" i="71"/>
  <c r="P13" i="71"/>
  <c r="P20" i="71"/>
  <c r="P24" i="71"/>
  <c r="AA5" i="71"/>
  <c r="O13" i="71"/>
  <c r="O20" i="71"/>
  <c r="O24" i="71"/>
  <c r="Y5" i="71"/>
  <c r="Z5" i="71"/>
  <c r="N13" i="71"/>
  <c r="N20" i="71"/>
  <c r="N24" i="71"/>
  <c r="X5" i="71"/>
  <c r="G1" i="67"/>
  <c r="F9" i="1"/>
  <c r="L48" i="67"/>
  <c r="J50" i="67"/>
  <c r="J51" i="67"/>
  <c r="M47" i="67"/>
  <c r="J53" i="67"/>
  <c r="F24" i="12"/>
  <c r="F7" i="69"/>
  <c r="F7" i="68"/>
  <c r="M15" i="45"/>
  <c r="L15" i="45"/>
  <c r="K15" i="45"/>
  <c r="J15" i="45"/>
  <c r="I15" i="45"/>
  <c r="H15" i="45"/>
  <c r="G15" i="45"/>
  <c r="F15" i="45"/>
  <c r="E15" i="45"/>
  <c r="D15" i="45"/>
  <c r="C15" i="45"/>
  <c r="B15" i="45"/>
  <c r="AB6" i="71"/>
  <c r="AA6" i="71"/>
  <c r="Y6" i="71"/>
  <c r="X6" i="71"/>
  <c r="AA9" i="71"/>
  <c r="X9" i="71"/>
  <c r="AB9" i="71"/>
  <c r="AA10" i="71"/>
  <c r="Y9" i="71"/>
  <c r="Z9" i="71"/>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G67" i="34"/>
  <c r="E126" i="34"/>
  <c r="F126" i="34"/>
  <c r="G126"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29" i="6"/>
  <c r="U36" i="40"/>
  <c r="F36" i="43"/>
  <c r="F81" i="43"/>
  <c r="H83" i="43"/>
  <c r="F48" i="43"/>
  <c r="H52" i="43"/>
  <c r="F70" i="43"/>
  <c r="H73" i="43"/>
  <c r="M11" i="43"/>
  <c r="D17" i="43"/>
  <c r="F39" i="43"/>
  <c r="F35"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A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3" i="49"/>
  <c r="C4" i="4"/>
  <c r="K4" i="4"/>
  <c r="B46" i="48"/>
  <c r="B4" i="72"/>
  <c r="AQ13" i="1"/>
  <c r="O6" i="1"/>
  <c r="P6" i="1"/>
  <c r="F30" i="11"/>
  <c r="C48" i="11"/>
  <c r="F28" i="67"/>
  <c r="F52" i="9"/>
  <c r="M18" i="67"/>
  <c r="F32" i="67"/>
  <c r="F60" i="67"/>
  <c r="F30" i="69"/>
  <c r="C48" i="69"/>
  <c r="F60"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B2" i="74"/>
  <c r="E6" i="3"/>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H109" i="9"/>
  <c r="AO6" i="1"/>
  <c r="B6" i="70"/>
  <c r="AO7" i="1"/>
  <c r="B7" i="70"/>
  <c r="AO8" i="1"/>
  <c r="B8" i="70"/>
  <c r="AO9" i="1"/>
  <c r="B9" i="70"/>
  <c r="AO10" i="1"/>
  <c r="B10" i="70"/>
  <c r="AO11" i="1"/>
  <c r="B11" i="70"/>
  <c r="AO12" i="1"/>
  <c r="B12" i="70"/>
  <c r="AO13" i="1"/>
  <c r="B13" i="70"/>
  <c r="B2" i="70"/>
  <c r="C19" i="9"/>
  <c r="D2" i="21"/>
  <c r="D58" i="21"/>
  <c r="E58" i="21"/>
  <c r="F58" i="21"/>
  <c r="G58" i="21"/>
  <c r="H58" i="21"/>
  <c r="I58" i="21"/>
  <c r="J58" i="21"/>
  <c r="K58" i="21"/>
  <c r="L58" i="21"/>
  <c r="M58" i="21"/>
  <c r="N58" i="21"/>
  <c r="O58" i="21"/>
  <c r="F7" i="21"/>
  <c r="AA7" i="21"/>
  <c r="R48" i="21"/>
  <c r="R49" i="21"/>
  <c r="C49" i="21"/>
  <c r="B2" i="21"/>
  <c r="D2" i="33"/>
  <c r="F7" i="33"/>
  <c r="AA7" i="33"/>
  <c r="R48" i="33"/>
  <c r="R49" i="33"/>
  <c r="C49" i="33"/>
  <c r="B2" i="33"/>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F26" i="67"/>
  <c r="F8" i="67"/>
  <c r="M9" i="67"/>
  <c r="E13" i="76"/>
  <c r="J15" i="67"/>
  <c r="B10" i="76"/>
  <c r="M27" i="67"/>
  <c r="F41" i="67"/>
  <c r="B8" i="76"/>
  <c r="F3" i="73"/>
  <c r="M29" i="67"/>
  <c r="E7" i="76"/>
  <c r="F20" i="31"/>
  <c r="D2" i="35"/>
  <c r="L47" i="67"/>
  <c r="F5" i="73"/>
  <c r="C76" i="15"/>
  <c r="L51" i="15"/>
  <c r="L57" i="15"/>
  <c r="L47" i="15"/>
  <c r="L58" i="15"/>
  <c r="N59" i="15"/>
  <c r="L59" i="15"/>
  <c r="L60" i="15"/>
  <c r="B12" i="76"/>
  <c r="E11" i="76"/>
  <c r="M29" i="15"/>
  <c r="F7" i="73"/>
  <c r="E10" i="76"/>
  <c r="F16" i="67"/>
  <c r="F36" i="67"/>
  <c r="M22" i="67"/>
  <c r="M6" i="67"/>
  <c r="F6" i="73"/>
  <c r="F6" i="67"/>
  <c r="M26" i="67"/>
  <c r="B3" i="70"/>
  <c r="D34" i="9"/>
  <c r="M8" i="67"/>
  <c r="B3" i="21"/>
  <c r="B3" i="33"/>
  <c r="D20" i="9"/>
  <c r="M23" i="67"/>
  <c r="D2" i="37"/>
  <c r="E9" i="76"/>
  <c r="F40" i="67"/>
  <c r="C20" i="9"/>
  <c r="F42" i="67"/>
  <c r="E2" i="69"/>
  <c r="M21" i="67"/>
  <c r="E2" i="68"/>
  <c r="F35" i="67"/>
  <c r="E12" i="76"/>
  <c r="F9" i="67"/>
  <c r="F7" i="67"/>
  <c r="D2" i="36"/>
  <c r="M24" i="67"/>
  <c r="B11" i="76"/>
  <c r="F13" i="67"/>
  <c r="F37" i="67"/>
  <c r="C76" i="67"/>
  <c r="B13" i="76"/>
  <c r="B9" i="76"/>
  <c r="F38" i="67"/>
  <c r="M28" i="67"/>
  <c r="B7" i="76"/>
  <c r="D35" i="9"/>
  <c r="E8" i="76"/>
  <c r="C65" i="40"/>
  <c r="D63" i="40"/>
  <c r="G16" i="1"/>
  <c r="C36" i="11"/>
  <c r="C33" i="11"/>
  <c r="C39" i="11"/>
  <c r="C46" i="11"/>
  <c r="C45" i="11"/>
  <c r="C13" i="12"/>
  <c r="C30" i="69"/>
  <c r="C77" i="9"/>
  <c r="C74" i="9"/>
  <c r="C28" i="67"/>
  <c r="H77" i="43"/>
  <c r="H76" i="43"/>
  <c r="H51" i="43"/>
  <c r="M4" i="43"/>
  <c r="N12" i="43"/>
  <c r="N11" i="43"/>
  <c r="M10" i="43"/>
  <c r="M2" i="43"/>
  <c r="M7" i="43"/>
  <c r="H70" i="43"/>
  <c r="H54" i="43"/>
  <c r="N9"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F69" i="15"/>
  <c r="F63" i="15"/>
  <c r="C62" i="15"/>
  <c r="F70" i="67"/>
  <c r="F64" i="67"/>
  <c r="Q50" i="15"/>
  <c r="I54" i="15"/>
  <c r="L56" i="15"/>
  <c r="F71" i="67"/>
  <c r="F66" i="15"/>
  <c r="F50" i="15"/>
  <c r="F68" i="67"/>
  <c r="F66" i="67"/>
  <c r="L59" i="67"/>
  <c r="M59" i="67"/>
  <c r="N59" i="67"/>
  <c r="L58" i="67"/>
  <c r="F68" i="15"/>
  <c r="M59" i="15"/>
  <c r="F65" i="15"/>
  <c r="Q71" i="67"/>
  <c r="C34" i="67"/>
  <c r="F63" i="67"/>
  <c r="C62" i="67"/>
  <c r="C21" i="9"/>
  <c r="D22" i="9"/>
  <c r="C102" i="9"/>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M28" i="43"/>
  <c r="D65" i="40"/>
  <c r="E63" i="40"/>
  <c r="H7" i="21"/>
  <c r="U7" i="36"/>
  <c r="AB7" i="36"/>
  <c r="T36" i="36"/>
  <c r="G36" i="36"/>
  <c r="AA7" i="35"/>
  <c r="R38" i="35"/>
  <c r="S7" i="35"/>
  <c r="AC7" i="37"/>
  <c r="V42" i="37"/>
  <c r="I42" i="37"/>
  <c r="W7" i="37"/>
  <c r="I52" i="33"/>
  <c r="J52" i="33"/>
  <c r="I53" i="33"/>
  <c r="J53" i="33"/>
  <c r="U10" i="39"/>
  <c r="AB10" i="39"/>
  <c r="W10" i="39"/>
  <c r="AC10" i="39"/>
  <c r="W10" i="40"/>
  <c r="AC10" i="40"/>
  <c r="D70" i="39"/>
  <c r="E68" i="39"/>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T8" i="71"/>
  <c r="C19" i="67"/>
  <c r="C20" i="67"/>
  <c r="C26" i="67"/>
  <c r="J24" i="67"/>
  <c r="J26" i="67"/>
  <c r="J29" i="67"/>
  <c r="C35" i="9"/>
  <c r="F118" i="9"/>
  <c r="C53" i="67"/>
  <c r="C48" i="67"/>
  <c r="C10" i="67"/>
  <c r="C5" i="67"/>
  <c r="C53" i="15"/>
  <c r="C48" i="15"/>
  <c r="F24" i="67"/>
  <c r="C24" i="67"/>
  <c r="F25" i="12"/>
  <c r="C26" i="12"/>
  <c r="D25" i="12"/>
  <c r="F22" i="11"/>
  <c r="C44" i="11"/>
  <c r="D41" i="11"/>
  <c r="F22" i="69"/>
  <c r="C23" i="69"/>
  <c r="F65" i="40"/>
  <c r="G63" i="40"/>
  <c r="I49" i="34"/>
  <c r="W7" i="34"/>
  <c r="E43" i="35"/>
  <c r="F43" i="35"/>
  <c r="E42" i="35"/>
  <c r="F42" i="35"/>
  <c r="C36" i="36"/>
  <c r="C37" i="36"/>
  <c r="B2" i="36"/>
  <c r="B3" i="36"/>
  <c r="C42" i="37"/>
  <c r="C43" i="37"/>
  <c r="B2" i="37"/>
  <c r="B3" i="37"/>
  <c r="G52" i="21"/>
  <c r="H52" i="21"/>
  <c r="G53" i="21"/>
  <c r="H53" i="21"/>
  <c r="I43" i="35"/>
  <c r="J43" i="35"/>
  <c r="E48" i="21"/>
  <c r="C38" i="35"/>
  <c r="C39" i="35"/>
  <c r="B2" i="35"/>
  <c r="B3" i="35"/>
  <c r="S7" i="34"/>
  <c r="I52" i="21"/>
  <c r="J52" i="21"/>
  <c r="I53" i="21"/>
  <c r="J53" i="21"/>
  <c r="E40" i="36"/>
  <c r="F40" i="36"/>
  <c r="E41" i="36"/>
  <c r="F41" i="36"/>
  <c r="I41" i="36"/>
  <c r="J41" i="36"/>
  <c r="E47" i="37"/>
  <c r="F47" i="37"/>
  <c r="E46" i="37"/>
  <c r="F46" i="37"/>
  <c r="G68" i="39"/>
  <c r="F70" i="39"/>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C27" i="12"/>
  <c r="C25" i="12"/>
  <c r="C32" i="12"/>
  <c r="B2" i="12"/>
  <c r="B3" i="12"/>
  <c r="C42" i="69"/>
  <c r="C26" i="69"/>
  <c r="D22" i="69"/>
  <c r="C24" i="11"/>
  <c r="C43" i="11"/>
  <c r="G65" i="40"/>
  <c r="H63" i="40"/>
  <c r="H68" i="39"/>
  <c r="G70" i="39"/>
  <c r="E49" i="34"/>
  <c r="U7" i="34"/>
  <c r="G49" i="34"/>
  <c r="E52" i="21"/>
  <c r="F52" i="21"/>
  <c r="E53" i="21"/>
  <c r="F53" i="21"/>
  <c r="I53" i="34"/>
  <c r="J53" i="34"/>
  <c r="I54" i="34"/>
  <c r="J54" i="34"/>
  <c r="C48" i="21"/>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H65" i="40"/>
  <c r="I63" i="40"/>
  <c r="C49" i="34"/>
  <c r="I68" i="39"/>
  <c r="H70" i="39"/>
  <c r="G53" i="34"/>
  <c r="H53" i="34"/>
  <c r="G54" i="34"/>
  <c r="H54" i="34"/>
  <c r="E54" i="34"/>
  <c r="F54" i="34"/>
  <c r="E53" i="34"/>
  <c r="F53" i="34"/>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C52" i="69"/>
  <c r="B2" i="69"/>
  <c r="B3" i="69"/>
  <c r="Q69" i="67"/>
  <c r="C61" i="15"/>
  <c r="C59" i="15"/>
  <c r="C52" i="11"/>
  <c r="B2" i="11"/>
  <c r="B3" i="11"/>
  <c r="Q48" i="15"/>
  <c r="Q70" i="67"/>
  <c r="C75" i="67"/>
  <c r="C56" i="67"/>
  <c r="C65" i="67"/>
  <c r="C58" i="67"/>
  <c r="C67" i="67"/>
  <c r="C68" i="67"/>
  <c r="C75" i="15"/>
  <c r="C56" i="15"/>
  <c r="C65" i="15"/>
  <c r="I65" i="40"/>
  <c r="J63" i="40"/>
  <c r="J68" i="39"/>
  <c r="I70" i="39"/>
  <c r="J16" i="67"/>
  <c r="J25" i="67"/>
  <c r="C40"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Q67"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43"/>
  <c r="C16" i="43"/>
  <c r="C5" i="43"/>
  <c r="C29" i="43"/>
  <c r="E29" i="43"/>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B3" i="43"/>
  <c r="C6" i="68"/>
  <c r="C7" i="68"/>
  <c r="C5" i="68"/>
  <c r="C20" i="68"/>
  <c r="C23" i="68"/>
  <c r="C22" i="68"/>
  <c r="C28" i="68"/>
  <c r="C27" i="68"/>
  <c r="C31" i="68"/>
  <c r="C52" i="68"/>
  <c r="C57" i="68"/>
  <c r="C56" i="68"/>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B2" i="68"/>
  <c r="B3" i="68"/>
  <c r="D20" i="79"/>
  <c r="G20" i="79"/>
  <c r="D19" i="79"/>
  <c r="D21" i="79"/>
  <c r="G19" i="79"/>
  <c r="G21" i="79"/>
  <c r="D22" i="79"/>
  <c r="C32" i="79"/>
  <c r="H118" i="79"/>
  <c r="H101" i="79"/>
  <c r="M48" i="79"/>
  <c r="D45" i="79"/>
  <c r="D52" i="79"/>
  <c r="D53" i="79"/>
  <c r="C64" i="79"/>
  <c r="C63" i="79"/>
  <c r="C67" i="79"/>
  <c r="C68" i="79"/>
  <c r="D54" i="79"/>
  <c r="D55" i="79"/>
  <c r="M53" i="79"/>
  <c r="C85" i="79"/>
  <c r="C93" i="79"/>
  <c r="C86" i="79"/>
  <c r="C95" i="79"/>
  <c r="C97" i="79"/>
  <c r="D58" i="79"/>
  <c r="D56" i="79"/>
  <c r="M54" i="79"/>
  <c r="N57" i="79"/>
  <c r="H107" i="79"/>
  <c r="M49" i="79"/>
  <c r="P57" i="79"/>
  <c r="N58" i="79"/>
  <c r="N59" i="79"/>
  <c r="N60" i="79"/>
  <c r="N61" i="79"/>
  <c r="L63" i="79"/>
  <c r="M63" i="79"/>
  <c r="M69" i="79"/>
  <c r="N69" i="79"/>
  <c r="L68" i="79"/>
  <c r="M68" i="79"/>
  <c r="L67" i="79"/>
  <c r="M67" i="79"/>
  <c r="L66" i="79"/>
  <c r="M66" i="79"/>
  <c r="L65" i="79"/>
  <c r="M65" i="79"/>
  <c r="L64" i="79"/>
  <c r="M64" i="79"/>
  <c r="C72" i="79"/>
  <c r="C78" i="79"/>
  <c r="C73" i="79"/>
  <c r="C79" i="79"/>
  <c r="C81" i="79"/>
  <c r="C80" i="79"/>
  <c r="E80" i="79"/>
  <c r="E81" i="79"/>
  <c r="C96" i="79"/>
  <c r="E96" i="79"/>
  <c r="E97" i="79"/>
  <c r="D102" i="79"/>
  <c r="I118" i="79"/>
  <c r="H102" i="79"/>
  <c r="D103" i="79"/>
  <c r="C104" i="79"/>
  <c r="C105" i="79"/>
  <c r="H108" i="79"/>
  <c r="C35" i="79"/>
  <c r="F118" i="79"/>
  <c r="G118" i="79"/>
  <c r="E118" i="79"/>
  <c r="C34" i="79"/>
  <c r="D118" i="79"/>
  <c r="D119" i="79"/>
  <c r="F119" i="79"/>
  <c r="H119" i="79"/>
  <c r="D122" i="79"/>
  <c r="D123" i="79"/>
  <c r="C25" i="68"/>
  <c r="E17"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<sst xmlns="http://schemas.openxmlformats.org/spreadsheetml/2006/main" count="9496" uniqueCount="3191">
  <si>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</si>
  <si>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</si>
  <si>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</si>
  <si>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</si>
  <si>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</si>
  <si>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</si>
  <si>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</si>
  <si>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</si>
  <si>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</si>
  <si>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</si>
  <si>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</si>
  <si>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</si>
  <si>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</si>
  <si>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</si>
  <si>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</si>
  <si>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</si>
  <si>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</si>
  <si>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</si>
  <si>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</si>
  <si>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</si>
  <si>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</si>
  <si>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</si>
  <si>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</si>
  <si>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</si>
  <si>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</si>
  <si>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</si>
  <si>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</si>
  <si>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</si>
  <si>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</si>
  <si>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</si>
  <si>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</si>
  <si>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</si>
  <si>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</si>
  <si>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</si>
  <si>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</si>
  <si>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</si>
  <si>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</si>
  <si>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</si>
  <si>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</si>
  <si>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</si>
  <si>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</si>
  <si>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</si>
  <si>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</si>
  <si>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</si>
  <si>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</si>
  <si>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</si>
  <si>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</si>
  <si>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</si>
  <si>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</si>
  <si>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</si>
  <si>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</si>
  <si>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</si>
  <si>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</si>
  <si>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</si>
  <si>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</si>
  <si>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</si>
  <si>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</si>
  <si>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</si>
  <si>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</si>
  <si>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</si>
  <si>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</si>
  <si>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</si>
  <si>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</si>
  <si>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</si>
  <si>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</si>
  <si>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</si>
  <si>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</si>
  <si>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</si>
  <si>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</si>
  <si>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</si>
  <si>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</si>
  <si>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</si>
  <si>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</si>
  <si>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</si>
  <si>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</si>
  <si>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</si>
  <si>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</si>
  <si>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</si>
  <si>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</si>
  <si>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</si>
  <si>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</si>
  <si>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</si>
  <si>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</si>
  <si>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</si>
  <si>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</si>
  <si>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</si>
  <si>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</si>
  <si>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</si>
  <si>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</si>
  <si>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</si>
  <si>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</si>
  <si>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</si>
  <si>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</si>
  <si>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</si>
  <si>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</si>
  <si>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</si>
  <si>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</si>
  <si>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</si>
  <si>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</si>
  <si>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</si>
  <si>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</si>
  <si>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</si>
  <si>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</si>
  <si>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</si>
  <si>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</si>
  <si>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</si>
  <si>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</si>
  <si>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</si>
  <si>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</si>
  <si>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</si>
  <si>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</si>
  <si>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</si>
  <si>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</si>
  <si>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</si>
  <si>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</si>
  <si>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</si>
  <si>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</si>
  <si>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</si>
  <si>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</si>
  <si>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</si>
  <si>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</si>
  <si>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</si>
  <si>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</si>
  <si>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</si>
  <si>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</si>
  <si>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</si>
  <si>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</si>
  <si>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</si>
  <si>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</si>
  <si>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</si>
  <si>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</si>
  <si>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</si>
  <si>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</si>
  <si>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</si>
  <si>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</si>
  <si>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</si>
  <si>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</si>
  <si>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</si>
  <si>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</si>
  <si>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</si>
  <si>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</si>
  <si>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</si>
  <si>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</si>
  <si>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</si>
  <si>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</si>
  <si>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</si>
  <si>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</si>
  <si>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</si>
  <si>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</si>
  <si>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</si>
  <si>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</si>
  <si>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</si>
  <si>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</si>
  <si>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</si>
  <si>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</si>
  <si>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</si>
  <si>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</si>
  <si>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</si>
  <si>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</si>
  <si>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</si>
  <si>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</si>
  <si>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</si>
  <si>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</si>
  <si>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</si>
  <si>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</si>
  <si>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</si>
  <si>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</si>
  <si>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</si>
  <si>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</si>
  <si>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</si>
  <si>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</si>
  <si>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</si>
  <si>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</si>
  <si>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</si>
  <si>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</si>
  <si>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</si>
  <si>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</si>
  <si>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</si>
  <si>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</si>
  <si>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</si>
  <si>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</si>
  <si>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</si>
  <si>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</si>
  <si>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</si>
  <si>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</si>
  <si>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</si>
  <si>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</si>
  <si>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</si>
  <si>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</si>
  <si>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</si>
  <si>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</si>
  <si>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</si>
  <si>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</si>
  <si>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</si>
  <si>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</si>
  <si>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</si>
  <si>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</si>
  <si>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</si>
  <si>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</si>
  <si>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</si>
  <si>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</si>
  <si>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</si>
  <si>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</si>
  <si>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</si>
  <si>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</si>
  <si>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</si>
  <si>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</si>
  <si>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</si>
  <si>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</si>
  <si>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</si>
  <si>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</si>
  <si>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</si>
  <si>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</si>
  <si>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</si>
  <si>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</si>
  <si>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</si>
  <si>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</si>
  <si>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</si>
  <si>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</si>
  <si>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</si>
  <si>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</si>
  <si>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</si>
  <si>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</si>
  <si>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</si>
  <si>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</si>
  <si>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</si>
  <si>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</si>
  <si>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</si>
  <si>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</si>
  <si>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</si>
  <si>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</si>
  <si>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</si>
  <si>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</si>
  <si>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</si>
  <si>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</si>
  <si>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</si>
  <si>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</si>
  <si>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</si>
  <si>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</si>
  <si>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</si>
  <si>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</si>
  <si>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</si>
  <si>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</si>
  <si>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</si>
  <si>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</si>
  <si>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</si>
  <si>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</si>
  <si>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</si>
  <si>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</si>
  <si>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</si>
  <si>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</si>
  <si>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</si>
  <si>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</si>
  <si>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</si>
  <si>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</si>
  <si>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</si>
  <si>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</si>
  <si>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</si>
  <si>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</si>
  <si>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</si>
  <si>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</si>
  <si>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</si>
  <si>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</si>
  <si>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</si>
  <si>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</si>
  <si>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</si>
  <si>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</si>
  <si>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</si>
  <si>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</si>
  <si>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</si>
  <si>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</si>
  <si>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</si>
  <si>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</si>
  <si>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</si>
  <si>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</si>
  <si>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</si>
  <si>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</si>
  <si>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</si>
  <si>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</si>
  <si>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</si>
  <si>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</si>
  <si>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</si>
  <si>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</si>
  <si>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</si>
  <si>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</si>
  <si>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</si>
  <si>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</si>
  <si>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</si>
  <si>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</si>
  <si>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</si>
  <si>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</si>
  <si>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</si>
  <si>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</si>
  <si>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</si>
  <si>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</si>
  <si>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</si>
  <si>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</si>
  <si>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</si>
  <si>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</si>
  <si>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</si>
  <si>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</si>
  <si>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</si>
  <si>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</si>
  <si>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</si>
  <si>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</si>
  <si>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</si>
  <si>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</si>
  <si>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</si>
  <si>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</si>
  <si>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</si>
  <si>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</si>
  <si>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</si>
  <si>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</si>
  <si>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</si>
  <si>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</si>
  <si>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</si>
  <si>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</si>
  <si>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</si>
  <si>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</si>
  <si>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</si>
  <si>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</si>
  <si>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</si>
  <si>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</si>
  <si>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</si>
  <si>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</si>
  <si>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</si>
  <si>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</si>
  <si>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</si>
  <si>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</si>
  <si>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</si>
  <si>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</si>
  <si>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</si>
  <si>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</si>
  <si>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</si>
  <si>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</si>
  <si>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</si>
  <si>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</si>
  <si>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</si>
  <si>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</si>
  <si>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</si>
  <si>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</si>
  <si>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</si>
  <si>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</si>
  <si>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</si>
  <si>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</si>
  <si>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</si>
  <si>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</si>
  <si>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</si>
  <si>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</si>
  <si>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</si>
  <si>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</si>
  <si>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</si>
  <si>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</si>
  <si>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</si>
  <si>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</si>
  <si>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</si>
  <si>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</si>
  <si>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</si>
  <si>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</si>
  <si>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</si>
  <si>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</si>
  <si>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</si>
  <si>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</si>
  <si>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</si>
  <si>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</si>
  <si>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</si>
  <si>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</si>
  <si>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</si>
  <si>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</si>
  <si>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</si>
  <si>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</si>
  <si>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</si>
  <si>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</si>
  <si>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</si>
  <si>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</si>
  <si>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</si>
  <si>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</si>
  <si>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</si>
  <si>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</si>
  <si>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</si>
  <si>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</si>
  <si>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</si>
  <si>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</si>
  <si>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</si>
  <si>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</si>
  <si>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</si>
  <si>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</si>
  <si>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</si>
  <si>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</si>
  <si>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</si>
  <si>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</si>
  <si>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</si>
  <si>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</si>
  <si>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</si>
  <si>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</si>
  <si>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</si>
  <si>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</si>
  <si>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</si>
  <si>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</si>
  <si>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</si>
  <si>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</si>
  <si>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</si>
  <si>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</si>
  <si>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</si>
  <si>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</si>
  <si>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</si>
  <si>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</si>
  <si>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</si>
  <si>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</si>
  <si>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</si>
  <si>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</si>
  <si>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</si>
  <si>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</si>
  <si>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</si>
  <si>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</si>
  <si>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</si>
  <si>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</si>
  <si>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</si>
  <si>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</si>
  <si>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</si>
  <si>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</si>
  <si>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</si>
  <si>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</si>
  <si>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</si>
  <si>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</si>
  <si>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</si>
  <si>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</si>
  <si>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</si>
  <si>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</si>
  <si>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</si>
  <si>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</si>
  <si>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</si>
  <si>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</si>
  <si>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</si>
  <si>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</si>
  <si>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</si>
  <si>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</si>
  <si>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</si>
  <si>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</si>
  <si>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</si>
  <si>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</si>
  <si>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</si>
  <si>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</si>
  <si>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</si>
  <si>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</si>
  <si>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</si>
  <si>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</si>
  <si>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</si>
  <si>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</si>
  <si>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</si>
  <si>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</si>
  <si>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</si>
  <si>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</si>
  <si>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</si>
  <si>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</si>
  <si>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</si>
  <si>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</si>
  <si>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</si>
  <si>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</si>
  <si>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</si>
  <si>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</si>
  <si>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</si>
  <si>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</si>
  <si>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</si>
  <si>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</si>
  <si>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</si>
  <si>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</si>
  <si>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</si>
  <si>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</si>
  <si>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</si>
  <si>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</si>
  <si>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</si>
  <si>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</si>
  <si>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</si>
  <si>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</si>
  <si>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</si>
  <si>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</si>
  <si>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</si>
  <si>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</si>
  <si>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</si>
  <si>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</si>
  <si>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</si>
  <si>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</si>
  <si>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</si>
  <si>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</si>
  <si>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</si>
  <si>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</si>
  <si>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</si>
  <si>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</si>
  <si>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</si>
  <si>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</si>
  <si>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</si>
  <si>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</si>
  <si>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</si>
  <si>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</si>
  <si>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</si>
  <si>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</si>
  <si>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</si>
  <si>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</si>
  <si>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</si>
  <si>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</si>
  <si>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</si>
  <si>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</si>
  <si>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</si>
  <si>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</si>
  <si>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</si>
  <si>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</si>
  <si>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</si>
  <si>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</si>
  <si>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</si>
  <si>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</si>
  <si>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</si>
  <si>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</si>
  <si>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</si>
  <si>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</si>
  <si>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</si>
  <si>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</si>
  <si>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</si>
  <si>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</si>
  <si>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</si>
  <si>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</si>
  <si>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</si>
  <si>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</si>
  <si>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</si>
  <si>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</si>
  <si>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</si>
  <si>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</si>
  <si>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</si>
  <si>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</si>
  <si>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</si>
  <si>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</si>
  <si>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</si>
  <si>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</si>
  <si>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</si>
  <si>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</si>
  <si>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</si>
  <si>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</si>
  <si>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</si>
  <si>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</si>
  <si>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</si>
  <si>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</si>
  <si>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</si>
  <si>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</si>
  <si>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</si>
  <si>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</si>
  <si>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</si>
  <si>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</si>
  <si>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</si>
  <si>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</si>
  <si>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</si>
  <si>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</si>
  <si>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</si>
  <si>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</si>
  <si>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</si>
  <si>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</si>
  <si>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</si>
  <si>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</si>
  <si>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</si>
  <si>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</si>
  <si>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</si>
  <si>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</si>
  <si>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</si>
  <si>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</si>
  <si>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</si>
  <si>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</si>
  <si>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</si>
  <si>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</si>
  <si>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</si>
  <si>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</si>
  <si>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</si>
  <si>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</si>
  <si>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</si>
  <si>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</si>
  <si>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</si>
  <si>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</si>
  <si>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</si>
  <si>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</si>
  <si>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</si>
  <si>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</si>
  <si>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</si>
  <si>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</si>
  <si>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</si>
  <si>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</si>
  <si>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</si>
  <si>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</si>
  <si>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</si>
  <si>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</si>
  <si>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</si>
  <si>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</si>
  <si>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</si>
  <si>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</si>
  <si>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</si>
  <si>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</si>
  <si>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</si>
  <si>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</si>
  <si>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</si>
  <si>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</si>
  <si>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</si>
  <si>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</si>
  <si>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</si>
  <si>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</si>
  <si>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</si>
  <si>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</si>
  <si>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</si>
  <si>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</si>
  <si>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</si>
  <si>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</si>
  <si>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</si>
  <si>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</si>
  <si>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</si>
  <si>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</si>
  <si>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</si>
  <si>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</si>
  <si>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</si>
  <si>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</si>
  <si>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</si>
  <si>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</si>
  <si>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</si>
  <si>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</si>
  <si>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</si>
  <si>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</si>
  <si>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</si>
  <si>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</si>
  <si>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</si>
  <si>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</si>
  <si>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</si>
  <si>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</si>
  <si>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</si>
  <si>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</si>
  <si>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</si>
  <si>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</si>
  <si>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</si>
  <si>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</si>
  <si>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</si>
  <si>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</si>
  <si>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</si>
  <si>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</si>
  <si>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</si>
  <si>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</si>
  <si>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</si>
  <si>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</si>
  <si>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</si>
  <si>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</si>
  <si>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</si>
  <si>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</si>
  <si>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</si>
  <si>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</si>
  <si>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</si>
  <si>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</si>
  <si>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</si>
  <si>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</si>
  <si>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</si>
  <si>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</si>
  <si>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</si>
  <si>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</si>
  <si>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</si>
  <si>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</si>
  <si>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</si>
  <si>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</si>
  <si>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</si>
  <si>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</si>
  <si>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</si>
  <si>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</si>
  <si>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</si>
  <si>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</si>
  <si>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</si>
  <si>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</si>
  <si>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</si>
  <si>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</si>
  <si>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</si>
  <si>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</si>
  <si>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</si>
  <si>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</si>
  <si>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</si>
  <si>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</si>
  <si>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</si>
  <si>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</si>
  <si>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</si>
  <si>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</si>
  <si>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</si>
  <si>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</si>
  <si>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</si>
  <si>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</si>
  <si>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</si>
  <si>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</si>
  <si>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</si>
  <si>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</si>
  <si>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</si>
  <si>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</si>
  <si>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</si>
  <si>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</si>
  <si>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</si>
  <si>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</si>
  <si>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</si>
  <si>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</si>
  <si>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</si>
  <si>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</si>
  <si>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</si>
  <si>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</si>
  <si>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</si>
  <si>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</si>
  <si>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</si>
  <si>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</si>
  <si>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</si>
  <si>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</si>
  <si>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</si>
  <si>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</si>
  <si>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</si>
  <si>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</si>
  <si>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</si>
  <si>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</si>
  <si>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</si>
  <si>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</si>
  <si>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</si>
  <si>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</si>
  <si>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</si>
  <si>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</si>
  <si>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</si>
  <si>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</si>
  <si>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</si>
  <si>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</si>
  <si>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</si>
  <si>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</si>
  <si>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</si>
  <si>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</si>
  <si>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</si>
  <si>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</si>
  <si>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</si>
  <si>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</si>
  <si>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</si>
  <si>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</si>
  <si>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</si>
  <si>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</si>
  <si>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</si>
  <si>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</si>
  <si>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</si>
  <si>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</si>
  <si>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</si>
  <si>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</si>
  <si>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</si>
  <si>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</si>
  <si>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</si>
  <si>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</si>
  <si>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</si>
  <si>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</si>
  <si>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</si>
  <si>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</si>
  <si>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</si>
  <si>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</si>
  <si>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</si>
  <si>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</si>
  <si>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</si>
  <si>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</si>
  <si>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</si>
  <si>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</si>
  <si>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</si>
  <si>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</si>
  <si>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</si>
  <si>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</si>
  <si>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</si>
  <si>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</si>
  <si>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</si>
  <si>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</si>
  <si>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</si>
  <si>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</si>
  <si>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</si>
  <si>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</si>
  <si>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</si>
  <si>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</si>
  <si>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</si>
  <si>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</si>
  <si>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</si>
  <si>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</si>
  <si>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</si>
  <si>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</si>
  <si>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</si>
  <si>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</si>
  <si>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</si>
  <si>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</si>
  <si>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</si>
  <si>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</si>
  <si>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</si>
  <si>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</si>
  <si>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</si>
  <si>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</si>
  <si>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</si>
  <si>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</si>
  <si>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</si>
  <si>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</si>
  <si>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</si>
  <si>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</si>
  <si>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</si>
  <si>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</si>
  <si>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</si>
  <si>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</si>
  <si>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</si>
  <si>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</si>
  <si>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</si>
  <si>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</si>
  <si>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</si>
  <si>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</si>
  <si>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</si>
  <si>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</si>
  <si>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</si>
  <si>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</si>
  <si>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</si>
  <si>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</si>
  <si>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</si>
  <si>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</si>
  <si>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</si>
  <si>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</si>
  <si>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</si>
  <si>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</si>
  <si>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</si>
  <si>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</si>
  <si>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</si>
  <si>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</si>
  <si>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</si>
  <si>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</si>
  <si>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</si>
  <si>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</si>
  <si>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</si>
  <si>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</si>
  <si>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</si>
  <si>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</si>
  <si>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</si>
  <si>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</si>
  <si>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</si>
  <si>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</si>
  <si>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</si>
  <si>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</si>
  <si>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</si>
  <si>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</si>
  <si>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</si>
  <si>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</si>
  <si>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</si>
  <si>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</si>
  <si>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</si>
  <si>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</si>
  <si>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</si>
  <si>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</si>
  <si>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</si>
  <si>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</si>
  <si>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</si>
  <si>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</si>
  <si>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</si>
  <si>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</si>
  <si>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</si>
  <si>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</si>
  <si>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</si>
  <si>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</si>
  <si>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</si>
  <si>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</si>
  <si>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</si>
  <si>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</si>
  <si>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</si>
  <si>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</si>
  <si>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</si>
  <si>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</si>
  <si>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</si>
  <si>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</si>
  <si>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</si>
  <si>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</si>
  <si>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</si>
  <si>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</si>
  <si>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</si>
  <si>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</si>
  <si>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</si>
  <si>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</si>
  <si>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</si>
  <si>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</si>
  <si>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</si>
  <si>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</si>
  <si>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</si>
  <si>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</si>
  <si>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</si>
  <si>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</si>
  <si>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</si>
  <si>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</si>
  <si>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</si>
  <si>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</si>
  <si>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</si>
  <si>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</si>
  <si>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</si>
  <si>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</si>
  <si>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</si>
  <si>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</si>
  <si>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</si>
  <si>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</si>
  <si>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</si>
  <si>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</si>
  <si>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</si>
  <si>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</si>
  <si>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</si>
  <si>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</si>
  <si>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</si>
  <si>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</si>
  <si>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</si>
  <si>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</si>
  <si>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</si>
  <si>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</si>
  <si>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</si>
  <si>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</si>
  <si>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</si>
  <si>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</si>
  <si>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</si>
  <si>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</si>
  <si>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</si>
  <si>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</si>
  <si>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</si>
  <si>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</si>
  <si>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</si>
  <si>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</si>
  <si>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</si>
  <si>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</si>
  <si>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</si>
  <si>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</si>
  <si>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</si>
  <si>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</si>
  <si>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</si>
  <si>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</si>
  <si>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</si>
  <si>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</si>
  <si>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</si>
  <si>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</si>
  <si>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</si>
  <si>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</si>
  <si>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</si>
  <si>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</si>
  <si>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</si>
  <si>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</si>
  <si>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</si>
  <si>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</si>
  <si>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</si>
  <si>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</si>
  <si>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</si>
  <si>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</si>
  <si>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</si>
  <si>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</si>
  <si>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</si>
  <si>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</si>
  <si>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</si>
  <si>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</si>
  <si>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</si>
  <si>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</si>
  <si>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</si>
  <si>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</si>
  <si>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</si>
  <si>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</si>
  <si>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</si>
  <si>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</si>
  <si>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</si>
  <si>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</si>
  <si>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</si>
  <si>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</si>
  <si>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</si>
  <si>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</si>
  <si>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</si>
  <si>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</si>
  <si>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</si>
  <si>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</si>
  <si>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</si>
  <si>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</si>
  <si>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</si>
  <si>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</si>
  <si>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</si>
  <si>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</si>
  <si>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</si>
  <si>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</si>
  <si>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</si>
  <si>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</si>
  <si>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</si>
  <si>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</si>
  <si>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</si>
  <si>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</si>
  <si>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</si>
  <si>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</si>
  <si>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</si>
  <si>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</si>
  <si>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</si>
  <si>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</si>
  <si>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</si>
  <si>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</si>
  <si>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</si>
  <si>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</si>
  <si>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</si>
  <si>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</si>
  <si>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</si>
  <si>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</si>
  <si>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</si>
  <si>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</si>
  <si>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</si>
  <si>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</si>
  <si>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</si>
  <si>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</si>
  <si>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</si>
  <si>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</si>
  <si>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</si>
  <si>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</si>
  <si>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</si>
  <si>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</si>
  <si>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</si>
  <si>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</si>
  <si>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</si>
  <si>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</si>
  <si>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</si>
  <si>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</si>
  <si>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</si>
  <si>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</si>
  <si>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</si>
  <si>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</si>
  <si>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</si>
  <si>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</si>
  <si>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</si>
  <si>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</si>
  <si>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</si>
  <si>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</si>
  <si>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</si>
  <si>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</si>
  <si>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</si>
  <si>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</si>
  <si>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</si>
  <si>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</si>
  <si>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</si>
  <si>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</si>
  <si>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</si>
  <si>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</si>
  <si>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</si>
  <si>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</si>
  <si>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</si>
  <si>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</si>
  <si>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</si>
  <si>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</si>
  <si>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</si>
  <si>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</si>
  <si>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</si>
  <si>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</si>
  <si>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</si>
  <si>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</si>
  <si>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</si>
  <si>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</si>
  <si>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</si>
  <si>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</si>
  <si>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</si>
  <si>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</si>
  <si>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</si>
  <si>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</si>
  <si>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</si>
  <si>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</si>
  <si>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</si>
  <si>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</si>
  <si>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</si>
  <si>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</si>
  <si>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</si>
  <si>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</si>
  <si>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</si>
  <si>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</si>
  <si>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</si>
  <si>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</si>
  <si>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</si>
  <si>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</si>
  <si>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</si>
  <si>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</si>
  <si>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</si>
  <si>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</si>
  <si>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</si>
  <si>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</si>
  <si>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</si>
  <si>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</si>
  <si>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</si>
  <si>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</si>
  <si>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</si>
  <si>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</si>
  <si>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</si>
  <si>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</si>
  <si>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</si>
  <si>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</si>
  <si>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</si>
  <si>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</si>
  <si>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</si>
  <si>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</si>
  <si>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</si>
  <si>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</si>
  <si>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</si>
  <si>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</si>
  <si>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</si>
  <si>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</si>
  <si>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</si>
  <si>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</si>
  <si>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</si>
  <si>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</si>
  <si>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</si>
  <si>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</si>
  <si>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</si>
  <si>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</si>
  <si>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</si>
  <si>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</si>
  <si>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</si>
  <si>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</si>
  <si>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</si>
  <si>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</si>
  <si>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</si>
  <si>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</si>
  <si>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</si>
  <si>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</si>
  <si>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</si>
  <si>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</si>
  <si>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</si>
  <si>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</si>
  <si>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</si>
  <si>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</si>
  <si>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</si>
  <si>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</si>
  <si>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</si>
  <si>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</si>
  <si>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</si>
  <si>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</si>
  <si>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</si>
  <si>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</si>
  <si>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</si>
  <si>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</si>
  <si>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</si>
  <si>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</si>
  <si>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</si>
  <si>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</si>
  <si>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</si>
  <si>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</si>
  <si>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</si>
  <si>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</si>
  <si>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</si>
  <si>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</si>
  <si>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</si>
  <si>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</si>
  <si>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</si>
  <si>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</si>
  <si>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</si>
  <si>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</si>
  <si>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</si>
  <si>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</si>
  <si>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</si>
  <si>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</si>
  <si>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</si>
  <si>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</si>
  <si>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</si>
  <si>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</si>
  <si>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</si>
  <si>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</si>
  <si>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</si>
  <si>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</si>
  <si>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</si>
  <si>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</si>
  <si>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</si>
  <si>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</si>
  <si>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</si>
  <si>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</si>
  <si>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</si>
  <si>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</si>
  <si>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</si>
  <si>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</si>
  <si>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</si>
  <si>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</si>
  <si>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</si>
  <si>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</si>
  <si>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</si>
  <si>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</si>
  <si>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</si>
  <si>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</si>
  <si>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</si>
  <si>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</si>
  <si>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</si>
  <si>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</si>
  <si>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</si>
  <si>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</si>
  <si>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</si>
  <si>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</si>
  <si>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</si>
  <si>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</si>
  <si>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</si>
  <si>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</si>
  <si>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</si>
  <si>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</si>
  <si>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</si>
  <si>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</si>
  <si>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</si>
  <si>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</si>
  <si>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</si>
  <si>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</si>
  <si>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</si>
  <si>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</si>
  <si>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</si>
  <si>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</si>
  <si>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</si>
  <si>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</si>
  <si>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</si>
  <si>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</si>
  <si>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</si>
  <si>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</si>
  <si>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</si>
  <si>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</si>
  <si>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</si>
  <si>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</si>
  <si>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</si>
  <si>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</si>
  <si>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</si>
  <si>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</si>
  <si>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</si>
  <si>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</si>
  <si>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</si>
  <si>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</si>
  <si>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</si>
  <si>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</si>
  <si>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</si>
  <si>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</si>
  <si>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</si>
  <si>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</si>
  <si>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</si>
  <si>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</si>
  <si>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</si>
  <si>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</si>
  <si>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</si>
  <si>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</si>
  <si>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</si>
  <si>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</si>
  <si>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</si>
  <si>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</si>
  <si>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</si>
  <si>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</si>
  <si>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</si>
  <si>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</si>
  <si>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</si>
  <si>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</si>
  <si>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</si>
  <si>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</si>
  <si>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</si>
  <si>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</si>
  <si>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</si>
  <si>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</si>
  <si>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</si>
  <si>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</si>
  <si>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</si>
  <si>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</si>
  <si>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</si>
  <si>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</si>
  <si>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</si>
  <si>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</si>
  <si>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</si>
  <si>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</si>
  <si>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</si>
  <si>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</si>
  <si>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</si>
  <si>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</si>
  <si>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</si>
  <si>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</si>
  <si>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</si>
  <si>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</si>
  <si>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</si>
  <si>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</si>
  <si>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</si>
  <si>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</si>
  <si>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</si>
  <si>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</si>
  <si>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</si>
  <si>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</si>
  <si>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</si>
  <si>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</si>
  <si>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</si>
  <si>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</si>
  <si>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</si>
  <si>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</si>
  <si>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</si>
  <si>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</si>
  <si>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</si>
  <si>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</si>
  <si>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</si>
  <si>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</si>
  <si>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</si>
  <si>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</si>
  <si>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</si>
  <si>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</si>
  <si>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</si>
  <si>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</si>
  <si>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</si>
  <si>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</si>
  <si>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</si>
  <si>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</si>
  <si>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</si>
  <si>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</si>
  <si>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</si>
  <si>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</si>
  <si>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</si>
  <si>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</si>
  <si>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</si>
  <si>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</si>
  <si>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</si>
  <si>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</si>
  <si>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</si>
  <si>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</si>
  <si>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</si>
  <si>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</si>
  <si>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</si>
  <si>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</si>
  <si>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</si>
  <si>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</si>
  <si>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</si>
  <si>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</si>
  <si>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</si>
  <si>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</si>
  <si>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</si>
  <si>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</si>
  <si>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</si>
  <si>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</si>
  <si>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</si>
  <si>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</si>
  <si>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</si>
  <si>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</si>
  <si>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</si>
  <si>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</si>
  <si>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</si>
  <si>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</si>
  <si>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</si>
  <si>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</si>
  <si>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</si>
  <si>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</si>
  <si>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</si>
  <si>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</si>
  <si>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</si>
  <si>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</si>
  <si>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</si>
  <si>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</si>
  <si>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</si>
  <si>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</si>
  <si>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</si>
  <si>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</si>
  <si>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</si>
  <si>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</si>
  <si>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</si>
  <si>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</si>
  <si>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</si>
  <si>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</si>
  <si>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</si>
  <si>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</si>
  <si>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</si>
  <si>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</si>
  <si>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</si>
  <si>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</si>
  <si>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</si>
  <si>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</si>
  <si>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</si>
  <si>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</si>
  <si>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</si>
  <si>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</si>
  <si>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</si>
  <si>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</si>
  <si>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</si>
  <si>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</si>
  <si>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</si>
  <si>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</si>
  <si>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</si>
  <si>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</si>
  <si>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</si>
  <si>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</si>
  <si>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</si>
  <si>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</si>
  <si>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</si>
  <si>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</si>
  <si>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</si>
  <si>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</si>
  <si>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</si>
  <si>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</si>
  <si>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</si>
  <si>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</si>
  <si>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</si>
  <si>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</si>
  <si>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</si>
  <si>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</si>
  <si>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</si>
  <si>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</si>
  <si>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</si>
  <si>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</si>
  <si>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</si>
  <si>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</si>
  <si>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</si>
  <si>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</si>
  <si>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</si>
  <si>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</si>
  <si>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</si>
  <si>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</si>
  <si>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</si>
  <si>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</si>
  <si>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</si>
  <si>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</si>
  <si>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</si>
  <si>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</si>
  <si>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</si>
  <si>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</si>
  <si>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</si>
  <si>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</si>
  <si>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</si>
  <si>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</si>
  <si>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</si>
  <si>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</si>
  <si>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</si>
  <si>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</si>
  <si>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</si>
  <si>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</si>
  <si>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</si>
  <si>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</si>
  <si>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</si>
  <si>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</si>
  <si>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</si>
  <si>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</si>
  <si>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</si>
  <si>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</si>
  <si>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</si>
  <si>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</si>
  <si>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</si>
  <si>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</si>
  <si>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</si>
  <si>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</si>
  <si>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</si>
  <si>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</si>
  <si>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</si>
  <si>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</si>
  <si>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</si>
  <si>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</si>
  <si>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</si>
  <si>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</si>
  <si>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</si>
  <si>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</si>
  <si>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</si>
  <si>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</si>
  <si>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</si>
  <si>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</si>
  <si>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</si>
  <si>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</si>
  <si>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</si>
  <si>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</si>
  <si>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</si>
  <si>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</si>
  <si>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</si>
  <si>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</si>
  <si>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</si>
  <si>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</si>
  <si>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</si>
  <si>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</si>
  <si>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</si>
  <si>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</si>
  <si>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</si>
  <si>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</si>
  <si>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</si>
  <si>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</si>
  <si>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</si>
  <si>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</si>
  <si>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</si>
  <si>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</si>
  <si>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</si>
  <si>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</si>
  <si>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</si>
  <si>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</si>
  <si>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</si>
  <si>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</si>
  <si>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</si>
  <si>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</si>
  <si>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</si>
  <si>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</si>
  <si>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</si>
  <si>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</si>
  <si>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</si>
  <si>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</si>
  <si>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</si>
  <si>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</si>
  <si>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</si>
  <si>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</si>
  <si>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</si>
  <si>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</si>
  <si>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</si>
  <si>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</si>
  <si>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</si>
  <si>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</si>
  <si>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</si>
  <si>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</si>
  <si>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</si>
  <si>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</si>
  <si>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</si>
  <si>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</si>
  <si>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</si>
  <si>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</si>
  <si>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</si>
  <si>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</si>
  <si>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</si>
  <si>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</si>
  <si>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</si>
  <si>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</si>
  <si>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</si>
  <si>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</si>
  <si>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</si>
  <si>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</si>
  <si>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</si>
  <si>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</si>
  <si>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</si>
  <si>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</si>
  <si>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</si>
  <si>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</si>
  <si>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</si>
  <si>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</si>
  <si>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</si>
  <si>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</si>
  <si>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</si>
  <si>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</si>
  <si>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</si>
  <si>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</si>
  <si>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</si>
  <si>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</si>
  <si>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</si>
  <si>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</si>
  <si>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</si>
  <si>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</si>
  <si>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</si>
  <si>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</si>
  <si>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</si>
  <si>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</si>
  <si>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</si>
  <si>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</si>
  <si>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</si>
  <si>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</si>
  <si>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</si>
  <si>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</si>
  <si>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</si>
  <si>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</si>
  <si>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</si>
  <si>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</si>
  <si>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</si>
  <si>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</si>
  <si>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</si>
  <si>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</si>
  <si>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</si>
  <si>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</si>
  <si>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</si>
  <si>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</si>
  <si>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</si>
  <si>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</si>
  <si>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</si>
  <si>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</si>
  <si>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</si>
  <si>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</si>
  <si>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</si>
  <si>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</si>
  <si>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</si>
  <si>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</si>
  <si>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</si>
  <si>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</si>
  <si>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</si>
  <si>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</si>
  <si>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</si>
  <si>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</si>
  <si>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</si>
  <si>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</si>
  <si>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</si>
  <si>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</si>
  <si>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</si>
  <si>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</si>
  <si>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</si>
  <si>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</si>
  <si>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</si>
  <si>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</si>
  <si>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</si>
  <si>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</si>
  <si>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</si>
  <si>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</si>
  <si>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</si>
  <si>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</si>
  <si>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</si>
  <si>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</si>
  <si>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</si>
  <si>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</si>
  <si>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</si>
  <si>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</si>
  <si>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</si>
  <si>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</si>
  <si>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</si>
  <si>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</si>
  <si>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</si>
  <si>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</si>
  <si>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</si>
  <si>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</si>
  <si>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</si>
  <si>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</si>
  <si>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</si>
  <si>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</si>
  <si>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</si>
  <si>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</si>
  <si>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</si>
  <si>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</si>
  <si>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</si>
  <si>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</si>
  <si>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</si>
  <si>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</si>
  <si>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</si>
  <si>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</si>
  <si>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</si>
  <si>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</si>
  <si>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</si>
  <si>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</si>
  <si>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</si>
  <si>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</si>
  <si>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</si>
  <si>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</si>
  <si>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</si>
  <si>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</si>
  <si>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</si>
  <si>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</si>
  <si>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</si>
  <si>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</si>
  <si>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</si>
  <si>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</si>
  <si>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</si>
  <si>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</si>
  <si>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</si>
  <si>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</si>
  <si>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</si>
  <si>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</si>
  <si>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</si>
  <si>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</si>
  <si>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</si>
  <si>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</si>
  <si>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</si>
  <si>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</si>
  <si>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</si>
  <si>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</si>
  <si>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</si>
  <si>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</si>
  <si>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</si>
  <si>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</si>
  <si>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</si>
  <si>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</si>
  <si>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</si>
  <si>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</si>
  <si>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</si>
  <si>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</si>
  <si>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</si>
  <si>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</si>
  <si>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</si>
  <si>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</si>
  <si>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</si>
  <si>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</si>
  <si>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</si>
  <si>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</si>
  <si>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</si>
  <si>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</si>
  <si>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</si>
  <si>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</si>
  <si>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</si>
  <si>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</si>
  <si>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</si>
  <si>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</si>
  <si>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</si>
  <si>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</si>
  <si>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</si>
  <si>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</si>
  <si>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</si>
  <si>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</si>
  <si>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</si>
  <si>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</si>
  <si>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</si>
  <si>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</si>
  <si>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</si>
  <si>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</si>
  <si>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</si>
  <si>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</si>
  <si>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</si>
  <si>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</si>
  <si>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</si>
  <si>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</si>
  <si>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</si>
  <si>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</si>
  <si>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</si>
  <si>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</si>
  <si>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</si>
  <si>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</si>
  <si>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</si>
  <si>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</si>
  <si>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</si>
  <si>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</si>
  <si>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</si>
  <si>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</si>
  <si>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</si>
  <si>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</si>
  <si>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</si>
  <si>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</si>
  <si>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</si>
  <si>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</si>
  <si>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</si>
  <si>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</si>
  <si>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</si>
  <si>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</si>
  <si>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</si>
  <si>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</si>
  <si>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</si>
  <si>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</si>
  <si>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</si>
  <si>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</si>
  <si>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</si>
  <si>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</si>
  <si>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</si>
  <si>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</si>
  <si>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</si>
  <si>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</si>
  <si>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</si>
  <si>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</si>
  <si>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</si>
  <si>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</si>
  <si>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</si>
  <si>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</si>
  <si>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</si>
  <si>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</si>
  <si>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</si>
  <si>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</si>
  <si>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</si>
  <si>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</si>
  <si>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</si>
  <si>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</si>
  <si>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</si>
  <si>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</si>
  <si>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</si>
  <si>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</si>
  <si>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</si>
  <si>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</si>
  <si>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</si>
  <si>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</si>
  <si>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</si>
  <si>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</si>
  <si>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</si>
  <si>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</si>
  <si>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</si>
  <si>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</si>
  <si>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</si>
  <si>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</si>
  <si>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</si>
  <si>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</si>
  <si>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</si>
  <si>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</si>
  <si>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</si>
  <si>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</si>
  <si>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</si>
  <si>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</si>
  <si>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</si>
  <si>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</si>
  <si>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</si>
  <si>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</si>
  <si>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</si>
  <si>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</si>
  <si>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</si>
  <si>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</si>
  <si>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</si>
  <si>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</si>
  <si>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</si>
  <si>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</si>
  <si>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</si>
  <si>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</si>
  <si>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</si>
  <si>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</si>
  <si>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</si>
  <si>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</si>
  <si>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</si>
  <si>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</si>
  <si>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</si>
  <si>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</si>
  <si>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</si>
  <si>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</si>
  <si>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</si>
  <si>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</si>
  <si>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</si>
  <si>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</si>
  <si>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</si>
  <si>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</si>
  <si>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</si>
  <si>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</si>
  <si>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</si>
  <si>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</si>
  <si>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</si>
  <si>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</si>
  <si>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</si>
  <si>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</si>
  <si>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</si>
  <si>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</si>
  <si>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</si>
  <si>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</si>
  <si>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</si>
  <si>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</si>
  <si>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</si>
  <si>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</si>
  <si>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</si>
  <si>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</si>
  <si>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</si>
  <si>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</si>
  <si>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</si>
  <si>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</si>
  <si>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</si>
  <si>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</si>
  <si>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</si>
  <si>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</si>
  <si>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</si>
  <si>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</si>
  <si>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</si>
  <si>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</si>
  <si>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</si>
  <si>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</si>
  <si>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</si>
  <si>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</si>
  <si>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</si>
  <si>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</si>
  <si>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</si>
  <si>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</si>
  <si>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</si>
  <si>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</si>
  <si>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</si>
  <si>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</si>
  <si>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</si>
  <si>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</si>
  <si>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</si>
  <si>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</si>
  <si>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</si>
  <si>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</si>
  <si>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</si>
  <si>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</si>
  <si>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</si>
  <si>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</si>
  <si>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</si>
  <si>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</si>
  <si>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</si>
  <si>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</si>
  <si>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</si>
  <si>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</si>
  <si>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</si>
  <si>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</si>
  <si>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</si>
  <si>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</si>
  <si>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</si>
  <si>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</si>
  <si>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</si>
  <si>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</si>
  <si>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</si>
  <si>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</si>
  <si>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</si>
  <si>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</si>
  <si>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</si>
  <si>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</si>
  <si>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</si>
  <si>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</si>
  <si>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</si>
  <si>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</si>
  <si>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</si>
  <si>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</si>
  <si>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</si>
  <si>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</si>
  <si>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</si>
  <si>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</si>
  <si>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</si>
  <si>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</si>
  <si>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</si>
  <si>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</si>
  <si>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</si>
  <si>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</si>
  <si>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</si>
  <si>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</si>
  <si>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</si>
  <si>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</si>
  <si>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</si>
  <si>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</si>
  <si>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</si>
  <si>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</si>
  <si>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</si>
  <si>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</si>
  <si>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</si>
  <si>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</si>
  <si>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</si>
  <si>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</si>
  <si>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</si>
  <si>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</si>
  <si>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</si>
  <si>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</si>
  <si>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</si>
  <si>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</si>
  <si>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</si>
  <si>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</si>
  <si>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</si>
  <si>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</si>
  <si>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</si>
  <si>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</si>
  <si>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</si>
  <si>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</si>
  <si>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</si>
  <si>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</si>
  <si>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</si>
  <si>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</si>
  <si>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</si>
  <si>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</si>
  <si>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</si>
  <si>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</si>
  <si>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</si>
  <si>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</si>
  <si>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</si>
  <si>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</si>
  <si>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</si>
  <si>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</si>
  <si>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</si>
  <si>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</si>
  <si>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</si>
  <si>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</si>
  <si>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</si>
  <si>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</si>
  <si>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</si>
  <si>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</si>
  <si>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</si>
  <si>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</si>
  <si>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</si>
  <si>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</si>
  <si>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</si>
  <si>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</si>
  <si>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</si>
  <si>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</si>
  <si>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</si>
  <si>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</si>
  <si>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</si>
  <si>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</si>
  <si>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</si>
  <si>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</si>
  <si>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</si>
  <si>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</si>
  <si>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</si>
  <si>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</si>
  <si>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</si>
  <si>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</si>
  <si>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</si>
  <si>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</si>
  <si>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</si>
  <si>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</si>
  <si>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</si>
  <si>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</si>
  <si>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</si>
  <si>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</si>
  <si>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</si>
  <si>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</si>
  <si>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</si>
  <si>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</si>
  <si>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</si>
  <si>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</si>
  <si>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</si>
  <si>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</si>
  <si>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</si>
  <si>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</si>
  <si>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</si>
  <si>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</si>
  <si>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</si>
  <si>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</si>
  <si>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</si>
  <si>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</si>
  <si>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</si>
  <si>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</si>
  <si>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</si>
  <si>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</si>
  <si>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</si>
  <si>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</si>
  <si>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</si>
  <si>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</si>
  <si>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</si>
  <si>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</si>
  <si>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</si>
  <si>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</si>
  <si>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</si>
  <si>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</si>
  <si>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</si>
  <si>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</si>
  <si>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</si>
  <si>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</si>
  <si>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</si>
  <si>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</si>
  <si>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</si>
  <si>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</si>
  <si>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</si>
  <si>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</si>
  <si>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</si>
  <si>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</si>
  <si>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</si>
  <si>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</si>
  <si>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</si>
  <si>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</si>
  <si>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</si>
  <si>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</si>
  <si>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</si>
  <si>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</si>
  <si>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</si>
  <si>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</si>
  <si>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</si>
  <si>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</si>
  <si>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</si>
  <si>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</si>
  <si>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</si>
  <si>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</si>
  <si>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</si>
  <si>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</si>
  <si>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</si>
  <si>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</si>
  <si>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</si>
  <si>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</si>
  <si>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</si>
  <si>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</si>
  <si>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</si>
  <si>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</si>
  <si>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</si>
  <si>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</si>
  <si>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</si>
  <si>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</si>
  <si>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</si>
  <si>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</si>
  <si>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</si>
  <si>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</si>
  <si>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</si>
  <si>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</si>
  <si>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</si>
  <si>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</si>
  <si>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</si>
  <si>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</si>
  <si>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</si>
  <si>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</si>
  <si>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</si>
  <si>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</si>
  <si>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</si>
  <si>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</si>
  <si>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</si>
  <si>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</si>
  <si>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</si>
  <si>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</si>
  <si>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</si>
  <si>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</si>
  <si>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</si>
  <si>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</si>
  <si>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</si>
  <si>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</si>
  <si>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</si>
  <si>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</si>
  <si>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</si>
  <si>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</si>
  <si>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</si>
  <si>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</si>
  <si>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</si>
  <si>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</si>
  <si>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</si>
  <si>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</si>
  <si>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</si>
  <si>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</si>
  <si>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</si>
  <si>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</si>
  <si>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</si>
  <si>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</si>
  <si>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</si>
  <si>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</si>
  <si>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</si>
  <si>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</si>
  <si>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</si>
  <si>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</si>
  <si>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</si>
  <si>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</si>
  <si>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</si>
  <si>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</si>
  <si>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</si>
  <si>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</si>
  <si>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</si>
  <si>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</si>
  <si>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</si>
  <si>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</si>
  <si>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</si>
  <si>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</si>
  <si>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</si>
  <si>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</si>
  <si>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</si>
  <si>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</si>
  <si>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</si>
  <si>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</si>
  <si>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</si>
  <si>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</si>
  <si>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</si>
  <si>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</si>
  <si>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</si>
  <si>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</si>
  <si>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</si>
  <si>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</si>
  <si>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</si>
  <si>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</si>
  <si>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</si>
  <si>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</si>
  <si>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</si>
  <si>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</si>
  <si>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</si>
  <si>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</si>
  <si>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</si>
  <si>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</si>
  <si>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</si>
  <si>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</si>
  <si>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</si>
  <si>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</si>
  <si>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</si>
  <si>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</si>
  <si>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</si>
  <si>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</si>
  <si>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</si>
  <si>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</si>
  <si>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</si>
  <si>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</si>
  <si>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</si>
  <si>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</si>
  <si>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</si>
  <si>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</si>
  <si>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</si>
  <si>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</si>
  <si>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</si>
  <si>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</si>
  <si>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</si>
  <si>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</si>
  <si>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</si>
  <si>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</si>
  <si>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</si>
  <si>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</si>
  <si>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</si>
  <si>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</si>
  <si>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</si>
  <si>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</si>
  <si>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</si>
  <si>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</si>
  <si>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</si>
  <si>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</si>
  <si>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</si>
  <si>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</si>
  <si>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</si>
  <si>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</si>
  <si>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</si>
  <si>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</si>
  <si>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</si>
  <si>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</si>
  <si>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</si>
  <si>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</si>
  <si>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</si>
  <si>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</si>
  <si>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</si>
  <si>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</si>
  <si>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</si>
  <si>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</si>
  <si>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</si>
  <si>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</si>
  <si>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</si>
  <si>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</si>
  <si>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</si>
  <si>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</si>
  <si>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</si>
  <si>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</si>
  <si>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</si>
  <si>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</si>
  <si>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</si>
  <si>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</si>
  <si>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</si>
  <si>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</si>
  <si>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</si>
  <si>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</si>
  <si>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</si>
  <si>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</si>
  <si>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</si>
  <si>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</si>
  <si>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</si>
  <si>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</si>
  <si>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</si>
  <si>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</si>
  <si>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</si>
  <si>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</si>
  <si>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</si>
  <si>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</si>
  <si>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</si>
  <si>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</si>
  <si>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</si>
  <si>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</si>
  <si>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</si>
  <si>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</si>
  <si>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</si>
  <si>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</si>
  <si>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</si>
  <si>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</si>
  <si>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</si>
  <si>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</si>
  <si>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</si>
  <si>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</si>
  <si>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</si>
  <si>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</si>
  <si>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</si>
  <si>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</si>
  <si>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</si>
  <si>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</si>
  <si>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</si>
  <si>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</si>
  <si>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</si>
  <si>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</si>
  <si>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</si>
  <si>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</si>
  <si>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</si>
  <si>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</si>
  <si>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</si>
  <si>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</si>
  <si>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</si>
  <si>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</si>
  <si>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</si>
  <si>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</si>
  <si>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</si>
  <si>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</si>
  <si>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</si>
  <si>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</si>
  <si>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</si>
  <si>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</si>
  <si>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</si>
  <si>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</si>
  <si>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</si>
  <si>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</si>
  <si>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</si>
  <si>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</si>
  <si>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</si>
  <si>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</si>
  <si>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</si>
  <si>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</si>
  <si>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</si>
  <si>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</si>
  <si>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</si>
  <si>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</si>
  <si>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</si>
  <si>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</si>
  <si>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</si>
  <si>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</si>
  <si>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</si>
  <si>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</si>
  <si>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</si>
  <si>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</si>
  <si>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</si>
  <si>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</si>
  <si>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</si>
  <si>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</si>
  <si>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</si>
  <si>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</si>
  <si>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</si>
  <si>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</si>
  <si>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</si>
  <si>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</si>
  <si>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</si>
  <si>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</si>
  <si>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</si>
  <si>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</si>
  <si>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</si>
  <si>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</si>
  <si>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</si>
  <si>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</si>
  <si>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</si>
  <si>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</si>
  <si>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</si>
  <si>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</si>
  <si>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</si>
  <si>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</si>
  <si>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</si>
  <si>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</si>
  <si>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</si>
  <si>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</si>
  <si>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</si>
  <si>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</si>
  <si>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</si>
  <si>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</si>
  <si>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</si>
  <si>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</si>
  <si>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</si>
  <si>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</si>
  <si>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</si>
  <si>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</si>
  <si>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</si>
  <si>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</si>
  <si>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</si>
  <si>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</si>
  <si>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</si>
  <si>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</si>
  <si>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</si>
  <si>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</si>
  <si>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</si>
  <si>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</si>
  <si>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</si>
  <si>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</si>
  <si>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</si>
  <si>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</si>
  <si>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</si>
  <si>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</si>
  <si>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</si>
  <si>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</si>
  <si>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</si>
  <si>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</si>
  <si>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</si>
  <si>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</si>
  <si>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</si>
  <si>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</si>
  <si>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</si>
  <si>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</si>
  <si>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</si>
  <si>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</si>
  <si>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</si>
  <si>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</si>
  <si>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</si>
  <si>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</si>
  <si>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</si>
  <si>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</si>
  <si>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</si>
  <si>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</si>
  <si>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</si>
  <si>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</si>
  <si>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</si>
  <si>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</si>
  <si>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</si>
  <si>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</si>
  <si>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</si>
  <si>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</si>
  <si>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</si>
  <si>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</si>
  <si>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</si>
  <si>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</si>
  <si>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</si>
  <si>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</si>
  <si>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</si>
  <si>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</si>
  <si>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</si>
  <si>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</si>
  <si>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</si>
  <si>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</si>
  <si>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</si>
  <si>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</si>
  <si>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</si>
  <si>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</si>
  <si>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</si>
  <si>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</si>
  <si>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</si>
  <si>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</si>
  <si>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</si>
  <si>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</si>
  <si>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</si>
  <si>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</si>
  <si>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</si>
  <si>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</si>
  <si>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</si>
  <si>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</si>
  <si>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</si>
  <si>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</si>
  <si>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</si>
  <si>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</si>
  <si>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</si>
  <si>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</si>
  <si>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</si>
  <si>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</si>
  <si>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</si>
  <si>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</si>
  <si>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</si>
  <si>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</si>
  <si>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</si>
  <si>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</si>
  <si>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</si>
  <si>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</si>
  <si>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</si>
  <si>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</si>
  <si>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</si>
  <si>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</si>
  <si>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</si>
  <si>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</si>
  <si>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</si>
  <si>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</si>
  <si>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</si>
  <si>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</si>
  <si>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</si>
  <si>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</si>
  <si>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</si>
  <si>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</si>
  <si>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</si>
  <si>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</si>
  <si>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</si>
  <si>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</si>
  <si>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</si>
  <si>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</si>
  <si>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</si>
  <si>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</si>
  <si>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</si>
  <si>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</si>
  <si>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</si>
  <si>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</si>
  <si>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</si>
  <si>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</si>
  <si>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</si>
  <si>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</si>
  <si>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</si>
  <si>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</si>
  <si>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</si>
  <si>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</si>
  <si>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</si>
  <si>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</si>
  <si>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</si>
  <si>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</si>
  <si>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</si>
  <si>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</si>
  <si>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</si>
  <si>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</si>
  <si>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</si>
  <si>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</si>
  <si>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</si>
  <si>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</si>
  <si>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</si>
  <si>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</si>
  <si>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</si>
  <si>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</si>
  <si>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</si>
  <si>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</si>
  <si>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</si>
  <si>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</si>
  <si>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</si>
  <si>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</si>
  <si>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</si>
  <si>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</si>
  <si>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</si>
  <si>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</si>
  <si>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</si>
  <si>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</si>
  <si>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</si>
  <si>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</si>
  <si>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</si>
  <si>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</si>
  <si>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</si>
  <si>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</si>
  <si>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</si>
  <si>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</si>
  <si>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</si>
  <si>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</si>
  <si>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</si>
  <si>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</si>
  <si>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</si>
  <si>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</si>
  <si>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</si>
  <si>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</si>
  <si>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</si>
  <si>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</si>
  <si>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</si>
  <si>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</si>
  <si>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</si>
  <si>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</si>
  <si>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</si>
  <si>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</si>
  <si>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</si>
  <si>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</si>
  <si>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</si>
  <si>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</si>
  <si>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</si>
  <si>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</si>
  <si>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</si>
  <si>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</si>
  <si>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</si>
  <si>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</si>
  <si>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</si>
  <si>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</si>
  <si>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</si>
  <si>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</si>
  <si>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</si>
  <si>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</si>
  <si>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</si>
  <si>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</si>
  <si>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</si>
  <si>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</si>
  <si>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</si>
  <si>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</si>
  <si>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</si>
  <si>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</si>
  <si>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</si>
  <si>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</si>
  <si>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</si>
  <si>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</si>
  <si>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</si>
  <si>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</si>
  <si>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</si>
  <si>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</si>
  <si>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</si>
  <si>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</si>
  <si>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</si>
  <si>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</si>
  <si>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</si>
  <si>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</si>
  <si>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</si>
  <si>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</si>
  <si>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</si>
  <si>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</si>
  <si>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</si>
  <si>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</si>
  <si>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</si>
  <si>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</si>
  <si>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</si>
  <si>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</si>
  <si>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</si>
  <si>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</si>
  <si>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</si>
  <si>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</si>
  <si>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</si>
  <si>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</si>
  <si>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</si>
  <si>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</si>
  <si>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</si>
  <si>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</si>
  <si>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</si>
  <si>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</si>
  <si>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</si>
  <si>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</si>
  <si>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</si>
  <si>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</si>
  <si>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</si>
  <si>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</si>
  <si>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</si>
  <si>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</si>
  <si>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</si>
  <si>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</si>
  <si>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</si>
  <si>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</si>
  <si>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</si>
  <si>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</si>
  <si>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</si>
  <si>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</si>
  <si>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</si>
  <si>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</si>
  <si>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</si>
  <si>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</si>
  <si>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</si>
  <si>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</si>
  <si>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</si>
  <si>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</si>
  <si>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</si>
  <si>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</si>
  <si>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</si>
  <si>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</si>
  <si>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</si>
  <si>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</si>
  <si>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</si>
  <si>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</si>
  <si>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</si>
  <si>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</si>
  <si>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</si>
  <si>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</si>
  <si>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</si>
  <si>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</si>
  <si>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</si>
  <si>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</si>
  <si>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</si>
  <si>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</si>
  <si>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</si>
  <si>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</si>
  <si>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</si>
  <si>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</si>
  <si>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</si>
  <si>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</si>
  <si>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</si>
  <si>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</si>
  <si>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</si>
  <si>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</si>
  <si>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</si>
  <si>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</si>
  <si>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</si>
  <si>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</si>
  <si>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</si>
  <si>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</si>
  <si>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</si>
  <si>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</si>
  <si>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</si>
  <si>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</si>
  <si>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</si>
  <si>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</si>
  <si>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</si>
  <si>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</si>
  <si>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</si>
  <si>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</si>
  <si>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</si>
  <si>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</si>
  <si>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</si>
  <si>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</si>
  <si>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</si>
  <si>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</si>
  <si>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</si>
  <si>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</si>
  <si>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</si>
  <si>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</si>
  <si>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</si>
  <si>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</si>
  <si>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</si>
  <si>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</si>
  <si>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</si>
  <si>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</si>
  <si>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</si>
  <si>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</si>
  <si>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</si>
  <si>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</si>
  <si>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</si>
  <si>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</si>
  <si>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</si>
  <si>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</si>
  <si>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</si>
  <si>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</si>
  <si>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</si>
  <si>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</si>
  <si>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</si>
  <si>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</si>
  <si>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</si>
  <si>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</si>
  <si>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</si>
  <si>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</si>
  <si>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</si>
  <si>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</si>
  <si>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</si>
  <si>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</si>
  <si>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</si>
  <si>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</si>
  <si>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</si>
  <si>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</si>
  <si>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</si>
  <si>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</si>
  <si>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</si>
  <si>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</si>
  <si>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</si>
  <si>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</si>
  <si>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</si>
  <si>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</si>
  <si>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</si>
  <si>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</si>
  <si>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</si>
  <si>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</si>
  <si>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</si>
  <si>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</si>
  <si>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</si>
  <si>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</si>
  <si>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</si>
  <si>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</si>
  <si>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</si>
  <si>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</si>
  <si>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</si>
  <si>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</si>
  <si>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</si>
  <si>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</si>
  <si>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</si>
  <si>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</si>
  <si>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</si>
  <si>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</si>
  <si>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</si>
  <si>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</si>
  <si>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</si>
  <si>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</si>
  <si>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</si>
  <si>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</si>
  <si>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</si>
  <si>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</si>
  <si>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</si>
  <si>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</si>
  <si>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</si>
  <si>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</si>
  <si>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</si>
  <si>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</si>
  <si>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</si>
  <si>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</si>
  <si>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</si>
  <si>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</si>
  <si>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</si>
  <si>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</si>
  <si>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</si>
  <si>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</si>
  <si>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</si>
  <si>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</si>
  <si>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</si>
  <si>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</si>
  <si>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</si>
  <si>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</si>
  <si>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</si>
  <si>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</si>
  <si>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</si>
  <si>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</si>
  <si>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</si>
  <si>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</si>
  <si>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</si>
  <si>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</si>
  <si>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</si>
  <si>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</si>
  <si>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</si>
  <si>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</si>
  <si>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</si>
  <si>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</si>
  <si>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</si>
  <si>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</si>
  <si>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</si>
  <si>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</si>
  <si>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</si>
  <si>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</si>
  <si>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</si>
  <si>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</si>
  <si>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</si>
  <si>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</si>
  <si>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</si>
  <si>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</si>
  <si>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</si>
  <si>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</si>
  <si>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</si>
  <si>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</si>
  <si>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</si>
  <si>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</si>
  <si>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</si>
  <si>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</si>
  <si>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</si>
  <si>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</si>
  <si>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</si>
  <si>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</si>
  <si>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</si>
  <si>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</si>
  <si>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</si>
  <si>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</si>
  <si>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</si>
  <si>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</si>
  <si>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</si>
  <si>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</si>
  <si>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</si>
  <si>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</si>
  <si>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</si>
  <si>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</si>
  <si>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</si>
  <si>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</si>
  <si>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</si>
  <si>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</si>
  <si>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</si>
  <si>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</si>
  <si>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</si>
  <si>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</si>
  <si>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</si>
  <si>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</si>
  <si>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</si>
  <si>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</si>
  <si>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</si>
  <si>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</si>
  <si>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</si>
  <si>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</si>
  <si>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</si>
  <si>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</si>
  <si>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</si>
  <si>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</si>
  <si>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</si>
  <si>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</si>
  <si>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</si>
  <si>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</si>
  <si>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</si>
  <si>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</si>
  <si>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</si>
  <si>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</si>
  <si>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</si>
  <si>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</si>
  <si>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</si>
  <si>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</si>
  <si>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</si>
  <si>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</si>
  <si>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</si>
  <si>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</si>
  <si>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</si>
  <si>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</si>
  <si>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</si>
  <si>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</si>
  <si>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</si>
  <si>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</si>
  <si>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</si>
  <si>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</si>
  <si>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</si>
  <si>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</si>
  <si>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</si>
  <si>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</si>
  <si>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</si>
  <si>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</si>
  <si>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</si>
  <si>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</si>
  <si>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</si>
  <si>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</si>
  <si>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</si>
  <si>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</si>
  <si>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</si>
  <si>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</si>
  <si>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</si>
  <si>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</si>
  <si>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</si>
  <si>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</si>
  <si>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</si>
  <si>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</si>
  <si>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</si>
  <si>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</si>
  <si>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</si>
  <si>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</si>
  <si>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</si>
  <si>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</si>
  <si>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</si>
  <si>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</si>
  <si>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</si>
  <si>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</si>
  <si>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</si>
  <si>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</si>
  <si>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</si>
  <si>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</si>
  <si>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</si>
  <si>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</si>
  <si>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</si>
  <si>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</si>
  <si>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</si>
  <si>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</si>
  <si>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</si>
  <si>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</si>
  <si>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</si>
  <si>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</si>
  <si>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</si>
  <si>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</si>
  <si>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</si>
  <si>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</si>
  <si>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</si>
  <si>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</si>
  <si>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</si>
  <si>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</si>
  <si>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</si>
  <si>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</si>
  <si>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</si>
  <si>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</si>
  <si>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</si>
  <si>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</si>
  <si>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</si>
  <si>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</si>
  <si>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</si>
  <si>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</si>
  <si>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</si>
  <si>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</si>
  <si>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</si>
  <si>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</si>
  <si>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</si>
  <si>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</si>
  <si>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</si>
  <si>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</si>
  <si>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</si>
  <si>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</si>
  <si>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</si>
  <si>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</si>
  <si>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</si>
  <si>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</si>
  <si>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</si>
  <si>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</si>
  <si>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</si>
  <si>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</si>
  <si>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</si>
  <si>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</si>
  <si>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</si>
  <si>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</si>
  <si>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</si>
  <si>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</si>
  <si>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</si>
  <si>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</si>
  <si>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</si>
  <si>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</si>
  <si>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</si>
  <si>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</si>
  <si>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</si>
  <si>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</si>
  <si>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</si>
  <si>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</si>
  <si>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</si>
  <si>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</si>
  <si>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</si>
  <si>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</si>
  <si>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</si>
  <si>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</si>
  <si>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</si>
  <si>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</si>
  <si>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</si>
  <si>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</si>
  <si>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</si>
  <si>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</si>
  <si>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</si>
  <si>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</si>
  <si>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</si>
  <si>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</si>
  <si>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</si>
  <si>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</si>
  <si>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</si>
  <si>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</si>
  <si>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</si>
  <si>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</si>
  <si>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</si>
  <si>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</si>
  <si>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</si>
  <si>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</si>
  <si>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</si>
  <si>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</si>
  <si>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</si>
  <si>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</si>
  <si>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</si>
  <si>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</si>
  <si>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</si>
  <si>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</si>
  <si>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</si>
  <si>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</si>
  <si>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</si>
  <si>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</si>
  <si>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</si>
  <si>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</si>
  <si>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</si>
  <si>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</si>
  <si>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</si>
  <si>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</si>
  <si>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</si>
  <si>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</si>
  <si>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</si>
  <si>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</si>
  <si>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</si>
  <si>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</si>
  <si>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</si>
  <si>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</si>
  <si>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</si>
  <si>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</si>
  <si>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</si>
  <si>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</si>
  <si>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</si>
  <si>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</si>
  <si>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</si>
  <si>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</si>
  <si>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</si>
  <si>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</si>
  <si>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</si>
  <si>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</si>
  <si>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</si>
  <si>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</si>
  <si>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</si>
  <si>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</si>
  <si>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</si>
  <si>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</si>
  <si>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</si>
  <si>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</si>
  <si>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</si>
  <si>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</si>
  <si>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</si>
  <si>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</si>
  <si>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</si>
  <si>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</si>
  <si>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</si>
  <si>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</si>
  <si>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</si>
  <si>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</si>
  <si>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</si>
  <si>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</si>
  <si>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</si>
  <si>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</si>
  <si>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</si>
  <si>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</si>
  <si>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</si>
  <si>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</si>
  <si>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</si>
  <si>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</si>
  <si>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</si>
  <si>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</si>
  <si>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</si>
  <si>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</si>
  <si>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</si>
  <si>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</si>
  <si>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</si>
  <si>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</si>
  <si>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</si>
  <si>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</si>
  <si>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</si>
  <si>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</si>
  <si>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</si>
  <si>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</si>
  <si>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</si>
  <si>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</si>
  <si>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</si>
  <si>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</si>
  <si>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</si>
  <si>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</si>
  <si>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</si>
  <si>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</si>
  <si>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</si>
  <si>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</si>
  <si>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</si>
  <si>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</si>
  <si>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</si>
  <si>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</si>
  <si>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</si>
  <si>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</si>
  <si>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</si>
  <si>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</si>
  <si>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</si>
  <si>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</si>
  <si>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</si>
  <si>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</si>
  <si>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</si>
  <si>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</si>
  <si>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</si>
  <si>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</si>
  <si>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</si>
  <si>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</si>
  <si>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</si>
  <si>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</si>
  <si>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</si>
  <si>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</si>
  <si>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</si>
  <si>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</si>
  <si>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</si>
  <si>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</si>
  <si>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</si>
  <si>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</si>
  <si>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</si>
  <si>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</si>
  <si>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</si>
  <si>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</si>
  <si>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</si>
  <si>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</si>
  <si>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</si>
  <si>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</si>
  <si>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</si>
  <si>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</si>
  <si>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</si>
  <si>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</si>
  <si>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</si>
  <si>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</si>
  <si>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</si>
  <si>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</si>
  <si>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</si>
  <si>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</si>
  <si>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</si>
  <si>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</si>
  <si>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</si>
  <si>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</si>
  <si>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</si>
  <si>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</si>
  <si>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</si>
  <si>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</si>
  <si>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</si>
  <si>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</si>
  <si>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</si>
  <si>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</si>
  <si>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</si>
  <si>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</si>
  <si>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</si>
  <si>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</si>
  <si>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</si>
  <si>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</si>
  <si>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</si>
  <si>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</si>
  <si>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</si>
  <si>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</si>
  <si>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北京市</t>
  </si>
  <si>
    <r>
      <rPr>
        <sz val="12"/>
        <color theme="9" tint="-0.249977111117893"/>
        <rFont val="宋体"/>
        <family val="3"/>
        <charset val="134"/>
      </rPr>
      <t>海淀区东北旺西路</t>
    </r>
    <r>
      <rPr>
        <sz val="12"/>
        <color theme="9" tint="-0.249977111117893"/>
        <rFont val="Arial"/>
        <family val="2"/>
      </rPr>
      <t>8</t>
    </r>
    <r>
      <rPr>
        <sz val="12"/>
        <color theme="9" tint="-0.249977111117893"/>
        <rFont val="宋体"/>
        <family val="3"/>
        <charset val="134"/>
      </rPr>
      <t>号</t>
    </r>
    <r>
      <rPr>
        <sz val="12"/>
        <color theme="9" tint="-0.249977111117893"/>
        <rFont val="Arial"/>
        <family val="2"/>
      </rPr>
      <t>19</t>
    </r>
    <r>
      <rPr>
        <sz val="12"/>
        <color theme="9" tint="-0.249977111117893"/>
        <rFont val="宋体"/>
        <family val="3"/>
        <charset val="134"/>
      </rPr>
      <t>号楼</t>
    </r>
    <phoneticPr fontId="6" type="noConversion"/>
  </si>
  <si>
    <t>企业</t>
  </si>
  <si>
    <t>出让</t>
  </si>
  <si>
    <t>办公</t>
    <phoneticPr fontId="6" type="noConversion"/>
  </si>
  <si>
    <r>
      <rPr>
        <sz val="12"/>
        <color theme="9" tint="-0.249977111117893"/>
        <rFont val="宋体"/>
        <family val="3"/>
        <charset val="134"/>
      </rPr>
      <t>办公</t>
    </r>
    <r>
      <rPr>
        <sz val="12"/>
        <color theme="9" tint="-0.249977111117893"/>
        <rFont val="Arial"/>
        <family val="2"/>
      </rPr>
      <t>35.98</t>
    </r>
    <r>
      <rPr>
        <sz val="12"/>
        <color theme="9" tint="-0.249977111117893"/>
        <rFont val="宋体"/>
        <family val="3"/>
        <charset val="134"/>
      </rPr>
      <t>年</t>
    </r>
    <phoneticPr fontId="6" type="noConversion"/>
  </si>
  <si>
    <t>现房</t>
  </si>
  <si>
    <t>办公项目</t>
  </si>
  <si>
    <t>无</t>
  </si>
  <si>
    <t>否</t>
  </si>
  <si>
    <t>通路</t>
  </si>
  <si>
    <t>通电</t>
  </si>
  <si>
    <t>通讯</t>
  </si>
  <si>
    <t>通上水</t>
  </si>
  <si>
    <t>通下水</t>
  </si>
  <si>
    <t>燃气</t>
  </si>
  <si>
    <t>郑燚</t>
  </si>
  <si>
    <t>吴薇</t>
  </si>
  <si>
    <t>办公</t>
    <phoneticPr fontId="3" type="noConversion"/>
  </si>
  <si>
    <t>是</t>
  </si>
  <si>
    <t>地上</t>
  </si>
  <si>
    <t>地下</t>
  </si>
  <si>
    <t>车库</t>
  </si>
  <si>
    <t>成新度</t>
  </si>
  <si>
    <t>收益法-办公</t>
  </si>
  <si>
    <t>收益法-办公</t>
    <phoneticPr fontId="16" type="noConversion"/>
  </si>
  <si>
    <t>收益法-车库</t>
  </si>
  <si>
    <t>押一</t>
  </si>
  <si>
    <t>按租金收入计税</t>
  </si>
  <si>
    <t>钢混</t>
  </si>
  <si>
    <t>非生产用房</t>
  </si>
  <si>
    <t>较好</t>
  </si>
  <si>
    <t>较好</t>
    <phoneticPr fontId="41" type="noConversion"/>
  </si>
  <si>
    <t>较好</t>
    <phoneticPr fontId="25" type="noConversion"/>
  </si>
  <si>
    <t>七通</t>
  </si>
  <si>
    <t>七通</t>
    <phoneticPr fontId="25" type="noConversion"/>
  </si>
  <si>
    <t>较好</t>
    <phoneticPr fontId="41" type="noConversion"/>
  </si>
  <si>
    <r>
      <rPr>
        <sz val="11"/>
        <color theme="9" tint="-0.249977111117893"/>
        <rFont val="宋体"/>
        <family val="3"/>
        <charset val="134"/>
      </rPr>
      <t>项目位置</t>
    </r>
    <phoneticPr fontId="3" type="noConversion"/>
  </si>
  <si>
    <t>售价</t>
  </si>
  <si>
    <t>正常</t>
  </si>
  <si>
    <t>办公</t>
    <phoneticPr fontId="32" type="noConversion"/>
  </si>
  <si>
    <t>30-40（含）</t>
  </si>
  <si>
    <t>40-50（含）</t>
  </si>
  <si>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</si>
  <si>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</si>
  <si>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</si>
  <si>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</si>
  <si>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</si>
  <si>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</si>
  <si>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快速路</t>
    <phoneticPr fontId="3" type="noConversion"/>
  </si>
  <si>
    <t>标准</t>
  </si>
  <si>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</si>
  <si>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</si>
  <si>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</si>
  <si>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</si>
  <si>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</si>
  <si>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</si>
  <si>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</si>
  <si>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</si>
  <si>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</si>
  <si>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</si>
  <si>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</si>
  <si>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</si>
  <si>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</si>
  <si>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</si>
  <si>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</si>
  <si>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</si>
  <si>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</si>
  <si>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</si>
  <si>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</si>
  <si>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t>标准</t>
    <phoneticPr fontId="32" type="noConversion"/>
  </si>
  <si>
    <t>好</t>
  </si>
  <si>
    <t>东北旺路</t>
    <phoneticPr fontId="3" type="noConversion"/>
  </si>
  <si>
    <t>北清路</t>
    <phoneticPr fontId="3" type="noConversion"/>
  </si>
  <si>
    <t>北清路</t>
    <phoneticPr fontId="3" type="noConversion"/>
  </si>
  <si>
    <t>支路</t>
  </si>
  <si>
    <t>次干道</t>
  </si>
  <si>
    <t>中区</t>
  </si>
  <si>
    <t>不临58条商业街</t>
  </si>
  <si>
    <t>1000米以外</t>
  </si>
  <si>
    <t>有</t>
  </si>
  <si>
    <t>与级别开发程度不一致</t>
  </si>
  <si>
    <t>地价指数</t>
  </si>
  <si>
    <t>容积率修正</t>
  </si>
  <si>
    <t>宗地容积率</t>
  </si>
  <si>
    <t>未包含在土地购买价格中</t>
  </si>
  <si>
    <t>已包含在土地取得成本中</t>
  </si>
  <si>
    <t>自定义</t>
  </si>
  <si>
    <t>一般</t>
  </si>
  <si>
    <t>平整</t>
  </si>
  <si>
    <t>全部缴纳</t>
  </si>
  <si>
    <t>设备</t>
    <phoneticPr fontId="3" type="noConversion"/>
  </si>
  <si>
    <t>收益法-车库</t>
    <phoneticPr fontId="16" type="noConversion"/>
  </si>
  <si>
    <t>成本法-车库</t>
  </si>
  <si>
    <t>成本法-车库</t>
    <phoneticPr fontId="16" type="noConversion"/>
  </si>
  <si>
    <t>其他商服用地</t>
  </si>
  <si>
    <t>成本法-办公</t>
    <phoneticPr fontId="16" type="noConversion"/>
  </si>
  <si>
    <t>办公楼</t>
  </si>
  <si>
    <t>仓储</t>
  </si>
  <si>
    <t>仓储</t>
    <phoneticPr fontId="3" type="noConversion"/>
  </si>
  <si>
    <t>收益法-仓储</t>
    <phoneticPr fontId="16" type="noConversion"/>
  </si>
  <si>
    <t>商务金融用地（办公类）</t>
  </si>
  <si>
    <t>通热</t>
  </si>
  <si>
    <t>与级别开发程度一致</t>
  </si>
  <si>
    <t>500-1000米</t>
  </si>
  <si>
    <t>上海浦东发展银行股份有限公司北京西直门支行</t>
    <phoneticPr fontId="6" type="noConversion"/>
  </si>
  <si>
    <t>《国有土地使用证》[京海国用（2006出）第3712号]</t>
    <phoneticPr fontId="6" type="noConversion"/>
  </si>
  <si>
    <t>《房屋所有权证》[京房权证海其字第0073873号]</t>
    <phoneticPr fontId="6" type="noConversion"/>
  </si>
  <si>
    <t>原件</t>
  </si>
  <si>
    <t>北京红钻科技发展有限公</t>
    <phoneticPr fontId="6" type="noConversion"/>
  </si>
  <si>
    <t>人民币肆亿元整</t>
    <phoneticPr fontId="6" type="noConversion"/>
  </si>
  <si>
    <t>成本法</t>
  </si>
  <si>
    <t>成本比率</t>
  </si>
  <si>
    <r>
      <rPr>
        <sz val="10"/>
        <color theme="9" tint="-0.249977111117893"/>
        <rFont val="宋体"/>
        <family val="3"/>
        <charset val="134"/>
      </rPr>
      <t>证载全部土地使用权面积</t>
    </r>
    <r>
      <rPr>
        <sz val="10"/>
        <color theme="9" tint="-0.249977111117893"/>
        <rFont val="Arial"/>
        <family val="2"/>
      </rPr>
      <t>26823.14</t>
    </r>
    <r>
      <rPr>
        <sz val="10"/>
        <color theme="9" tint="-0.249977111117893"/>
        <rFont val="宋体"/>
        <family val="3"/>
        <charset val="134"/>
      </rPr>
      <t>平方米及对应房屋（</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层整栋）</t>
    </r>
    <phoneticPr fontId="6" type="noConversion"/>
  </si>
  <si>
    <t>租赁面积</t>
    <phoneticPr fontId="143" type="noConversion"/>
  </si>
  <si>
    <t>地下一层</t>
    <phoneticPr fontId="143" type="noConversion"/>
  </si>
  <si>
    <t>A栋</t>
    <phoneticPr fontId="143" type="noConversion"/>
  </si>
  <si>
    <t>B栋</t>
    <phoneticPr fontId="143" type="noConversion"/>
  </si>
  <si>
    <t>C栋</t>
    <phoneticPr fontId="143" type="noConversion"/>
  </si>
  <si>
    <t>A、C栋</t>
    <phoneticPr fontId="143" type="noConversion"/>
  </si>
  <si>
    <t>月租金总额</t>
    <phoneticPr fontId="143" type="noConversion"/>
  </si>
  <si>
    <t>起始</t>
    <phoneticPr fontId="143" type="noConversion"/>
  </si>
  <si>
    <t>结束</t>
    <phoneticPr fontId="143" type="noConversion"/>
  </si>
  <si>
    <t>收益年期</t>
    <phoneticPr fontId="143" type="noConversion"/>
  </si>
  <si>
    <t>日租金</t>
    <phoneticPr fontId="143" type="noConversion"/>
  </si>
  <si>
    <t>月租金</t>
    <phoneticPr fontId="143" type="noConversion"/>
  </si>
  <si>
    <t>年租金</t>
    <phoneticPr fontId="143" type="noConversion"/>
  </si>
  <si>
    <t>中关村环保园</t>
    <phoneticPr fontId="3" type="noConversion"/>
  </si>
  <si>
    <t>中关村翠湖科技园</t>
    <phoneticPr fontId="3" type="noConversion"/>
  </si>
  <si>
    <t>中关村壹号</t>
    <phoneticPr fontId="3" type="noConversion"/>
  </si>
  <si>
    <t>·</t>
    <phoneticPr fontId="7" type="noConversion"/>
  </si>
  <si>
    <t>剩余租约</t>
    <phoneticPr fontId="143" type="noConversion"/>
  </si>
  <si>
    <t>平局年总收益</t>
    <phoneticPr fontId="143" type="noConversion"/>
  </si>
  <si>
    <t>配套商业</t>
  </si>
  <si>
    <t>配套商业</t>
    <phoneticPr fontId="16" type="noConversion"/>
  </si>
  <si>
    <t>整理后租约期内</t>
    <phoneticPr fontId="143" type="noConversion"/>
  </si>
  <si>
    <t>建筑面积</t>
    <phoneticPr fontId="143" type="noConversion"/>
  </si>
  <si>
    <t>市场租金</t>
    <phoneticPr fontId="143" type="noConversion"/>
  </si>
  <si>
    <t>押金</t>
    <phoneticPr fontId="143" type="noConversion"/>
  </si>
  <si>
    <t>物业费</t>
    <phoneticPr fontId="143" type="noConversion"/>
  </si>
  <si>
    <t>A、C、-1层</t>
    <phoneticPr fontId="143" type="noConversion"/>
  </si>
  <si>
    <t>北京红钻科技发展有限公司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</si>
</sst>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0" fontId="99" fillId="0" borderId="0" xfId="0" applyFont="1">
      <alignment vertical="center"/>
    </xf>
    <xf numFmtId="14" fontId="0" fillId="0" borderId="0" xfId="0" applyNumberFormat="1">
      <alignment vertical="center"/>
    </xf>
    <xf numFmtId="14" fontId="99" fillId="0" borderId="0" xfId="0" applyNumberFormat="1" applyFont="1">
      <alignment vertical="center"/>
    </xf>
    <xf numFmtId="0" fontId="100" fillId="0" borderId="0" xfId="0" applyFont="1">
      <alignment vertical="center"/>
    </xf>
    <xf numFmtId="0" fontId="0" fillId="0" borderId="0" xfId="0" applyNumberFormat="1">
      <alignment vertical="center"/>
    </xf>
    <xf numFmtId="0" fontId="100" fillId="0" borderId="0" xfId="0" applyNumberFormat="1" applyFont="1">
      <alignment vertical="center"/>
    </xf>
    <xf numFmtId="176" fontId="50" fillId="18" borderId="1" xfId="0" applyNumberFormat="1" applyFont="1" applyFill="1" applyBorder="1" applyAlignment="1" applyProtection="1">
      <alignment horizontal="center" vertical="center" wrapText="1"/>
      <protection locked="0"/>
    </xf>
    <xf numFmtId="197" fontId="0" fillId="0" borderId="0" xfId="0" applyNumberFormat="1">
      <alignment vertical="center"/>
    </xf>
    <xf numFmtId="2" fontId="47" fillId="0" borderId="23" xfId="0" applyNumberFormat="1" applyFont="1" applyBorder="1" applyAlignment="1" applyProtection="1">
      <alignment vertical="center"/>
      <protection locked="0"/>
    </xf>
    <xf numFmtId="181" fontId="47" fillId="18" borderId="5" xfId="0" applyNumberFormat="1" applyFont="1" applyFill="1" applyBorder="1" applyAlignment="1" applyProtection="1">
      <alignment vertical="center"/>
      <protection locked="0"/>
    </xf>
    <xf numFmtId="181" fontId="55" fillId="18" borderId="61" xfId="0" applyNumberFormat="1" applyFont="1" applyFill="1" applyBorder="1" applyAlignment="1" applyProtection="1">
      <alignment horizontal="center" vertical="center"/>
      <protection locked="0"/>
    </xf>
    <xf numFmtId="0" fontId="0" fillId="18" borderId="0" xfId="0" applyFill="1">
      <alignment vertical="center"/>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55" fillId="18" borderId="1" xfId="0"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0" fillId="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254" fillId="0" borderId="0" xfId="0" applyFont="1" applyFill="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北京市海淀区东北旺西路8号19号楼房地产抵押价值预评估</v>
      </c>
    </row>
    <row r="3" spans="1:2" s="1592" customFormat="1">
      <c r="A3" s="1590" t="s">
        <v>1217</v>
      </c>
      <c r="B3" s="1591" t="str">
        <f>'预评函-封皮'!B40</f>
        <v>北京红钻科技发展有限公司</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受贵公司委托，我公司对北京市海淀区东北旺西路8号19号楼房地产抵押价值进行了预评估。</v>
      </c>
    </row>
    <row r="7" spans="1:2" s="1592" customFormat="1">
      <c r="A7" s="1590" t="s">
        <v>1260</v>
      </c>
      <c r="B7" s="1591" t="str">
        <f>'预评函-1'!A7</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为估价委托人在向上海浦东发展银行股份有限公司北京西直门支行办理贷款手续过程中，确定房地产抵押贷款额度提供参考依据而评估房地产抵押价值。</v>
      </c>
    </row>
    <row r="12" spans="1:2" s="1592" customFormat="1">
      <c r="A12" s="1590" t="s">
        <v>1222</v>
      </c>
      <c r="B12" s="1591" t="str">
        <f>'预评函-1'!A15</f>
        <v>2019年10月25日（评估专业人员实地查勘之日）</v>
      </c>
    </row>
    <row r="13" spans="1:2" s="1592" customFormat="1">
      <c r="A13" s="1590" t="s">
        <v>1223</v>
      </c>
      <c r="B13" s="1591" t="str">
        <f>'预评函-1'!A18</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4" spans="1:2" s="1592" customFormat="1">
      <c r="A14" s="1590" t="s">
        <v>1224</v>
      </c>
      <c r="B14" s="1591" t="str">
        <f>'预评函-1'!A19</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本次评估采用的主估价方法为收益法和成本法。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90378</v>
      </c>
    </row>
    <row r="21" spans="1:2" s="1592" customFormat="1">
      <c r="A21" s="1590" t="s">
        <v>1231</v>
      </c>
      <c r="B21" s="1591">
        <f ca="1">'预评函-2'!D7</f>
        <v>39873</v>
      </c>
    </row>
    <row r="22" spans="1:2" s="1592" customFormat="1">
      <c r="A22" s="1590" t="s">
        <v>1232</v>
      </c>
      <c r="B22" s="1591" t="str">
        <f ca="1">'预评函-2'!D6</f>
        <v>玖亿零叁佰柒拾捌万元整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90378</v>
      </c>
    </row>
    <row r="31" spans="1:2" s="1592" customFormat="1">
      <c r="A31" s="1590" t="s">
        <v>1270</v>
      </c>
      <c r="B31" s="1591">
        <f ca="1">'预评函-2'!D15</f>
        <v>39873</v>
      </c>
    </row>
    <row r="32" spans="1:2" s="1592" customFormat="1">
      <c r="A32" s="1590" t="s">
        <v>1237</v>
      </c>
      <c r="B32" s="1591" t="str">
        <f ca="1">'预评函-2'!D14</f>
        <v>玖亿零叁佰柒拾捌万元整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北京市海淀区东北旺西路8号19号楼房地产</v>
      </c>
    </row>
    <row r="42" spans="1:2" s="1592" customFormat="1">
      <c r="A42" s="1590" t="s">
        <v>1284</v>
      </c>
      <c r="B42" s="1591" t="str">
        <f>'预评函-3'!B2</f>
        <v>建筑面积</v>
      </c>
    </row>
    <row r="43" spans="1:2" s="1592" customFormat="1">
      <c r="A43" s="1590" t="s">
        <v>1285</v>
      </c>
      <c r="B43" s="1591">
        <f>'预评函-3'!B4</f>
        <v>22666.709999999995</v>
      </c>
    </row>
    <row r="44" spans="1:2" s="1592" customFormat="1">
      <c r="A44" s="1590" t="s">
        <v>1269</v>
      </c>
      <c r="B44" s="1591" t="str">
        <f>'预评函-3'!C2</f>
        <v>(分摊)土地面积</v>
      </c>
    </row>
    <row r="45" spans="1:2" s="1592" customFormat="1">
      <c r="A45" s="1590" t="s">
        <v>1241</v>
      </c>
      <c r="B45" s="1591">
        <f>'预评函-3'!C4</f>
        <v>26823.14</v>
      </c>
    </row>
    <row r="46" spans="1:2" s="1592" customFormat="1">
      <c r="A46" s="1590" t="s">
        <v>1267</v>
      </c>
      <c r="B46" s="1591" t="str">
        <f>'预评函-3'!D2</f>
        <v>出让国有建设用地使用权价值</v>
      </c>
    </row>
    <row r="47" spans="1:2" s="1592" customFormat="1">
      <c r="A47" s="1590" t="s">
        <v>1242</v>
      </c>
      <c r="B47" s="1591">
        <f ca="1">'预评函-3'!D4</f>
        <v>82154</v>
      </c>
    </row>
    <row r="48" spans="1:2" s="1592" customFormat="1">
      <c r="A48" s="1590" t="s">
        <v>1243</v>
      </c>
      <c r="B48" s="1591">
        <f ca="1">'预评函-3'!E4</f>
        <v>36245</v>
      </c>
    </row>
    <row r="49" spans="1:2" s="1592" customFormat="1">
      <c r="A49" s="1590" t="s">
        <v>1244</v>
      </c>
      <c r="B49" s="1591" t="str">
        <f ca="1">'预评函-3'!D5</f>
        <v>捌亿贰仟壹佰伍拾肆万元整</v>
      </c>
    </row>
    <row r="50" spans="1:2" s="1592" customFormat="1">
      <c r="A50" s="1590" t="s">
        <v>1268</v>
      </c>
      <c r="B50" s="1591" t="str">
        <f>'预评函-3'!F2</f>
        <v>在建建筑物价值</v>
      </c>
    </row>
    <row r="51" spans="1:2" s="1592" customFormat="1">
      <c r="A51" s="1590" t="s">
        <v>1245</v>
      </c>
      <c r="B51" s="1591">
        <f ca="1">'预评函-3'!F4</f>
        <v>8224</v>
      </c>
    </row>
    <row r="52" spans="1:2" s="1592" customFormat="1">
      <c r="A52" s="1590" t="s">
        <v>1246</v>
      </c>
      <c r="B52" s="1591">
        <f ca="1">'预评函-3'!G4</f>
        <v>3628</v>
      </c>
    </row>
    <row r="53" spans="1:2" s="1592" customFormat="1">
      <c r="A53" s="1590" t="s">
        <v>1274</v>
      </c>
      <c r="B53" s="1591" t="str">
        <f ca="1">'预评函-3'!F5</f>
        <v>捌仟贰佰贰拾肆万元整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3074</v>
      </c>
      <c r="C18" s="2013"/>
    </row>
    <row r="19" spans="1:3">
      <c r="A19" s="2012" t="s">
        <v>1763</v>
      </c>
      <c r="B19" s="2012" t="s">
        <v>3141</v>
      </c>
      <c r="C19" s="2013"/>
    </row>
    <row r="20" spans="1:3">
      <c r="A20" s="2012" t="s">
        <v>1764</v>
      </c>
      <c r="B20" s="2012" t="s">
        <v>3143</v>
      </c>
      <c r="C20" s="2013"/>
    </row>
    <row r="21" spans="1:3">
      <c r="A21" s="2012" t="s">
        <v>1765</v>
      </c>
      <c r="B21" s="2012" t="s">
        <v>3145</v>
      </c>
      <c r="C21" s="2013"/>
    </row>
    <row r="22" spans="1:3">
      <c r="A22" s="2012" t="s">
        <v>1766</v>
      </c>
      <c r="B22" s="2012" t="s">
        <v>3149</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3183</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为估价委托人在向上海浦东发展银行股份有限公司北京西直门支行办理贷款手续过程中，确定房地产抵押贷款额度提供参考依据而评估房地产抵押价值。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浦东发展银行股份有限公司北京西直门支行办理贷款手续。上海浦东发展银行股份有限公司北京西直门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7"/>
      <c r="B54" s="2020" t="s">
        <v>861</v>
      </c>
      <c r="C54" s="2017" t="s">
        <v>1277</v>
      </c>
    </row>
    <row r="55" spans="1:4">
      <c r="A55" s="3057"/>
      <c r="B55" s="2020" t="s">
        <v>862</v>
      </c>
      <c r="C55" s="2017" t="s">
        <v>1278</v>
      </c>
    </row>
    <row r="56" spans="1:4">
      <c r="A56" s="3057"/>
      <c r="B56" s="2020" t="s">
        <v>863</v>
      </c>
      <c r="C56" s="2017" t="s">
        <v>1282</v>
      </c>
    </row>
    <row r="57" spans="1:4">
      <c r="A57" s="305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9" sqref="I9"/>
    </sheetView>
  </sheetViews>
  <sheetFormatPr defaultColWidth="10" defaultRowHeight="18" customHeight="1"/>
  <cols>
    <col min="1" max="1" width="14.875" style="2030" customWidth="1"/>
    <col min="2" max="2" width="12.25" style="2030" customWidth="1"/>
    <col min="3" max="3" width="11.5" style="2030" customWidth="1"/>
    <col min="4" max="4" width="11.7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58" t="str">
        <f>IF(B10="北京市","北京市",C10)&amp;F10&amp;IF(结果表!G1="在建","出让国有建设用地使用权及在建建筑物",IF(结果表!G1="土地","出让国有建设用地使用权",))&amp;B9&amp;"预评估"</f>
        <v>北京市海淀区东北旺西路8号19号楼房地产抵押价值预评估</v>
      </c>
      <c r="C1" s="3059"/>
      <c r="D1" s="3059"/>
      <c r="E1" s="3059"/>
      <c r="F1" s="3059"/>
      <c r="G1" s="3059"/>
      <c r="H1" s="3059"/>
      <c r="I1" s="306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北京市海淀区东北旺西路8号19号楼房地产抵押价值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北京市海淀区东北旺西路8号19号楼房地产</v>
      </c>
    </row>
    <row r="3" spans="1:19" ht="18" customHeight="1">
      <c r="A3" s="2033" t="s">
        <v>1773</v>
      </c>
      <c r="B3" s="2034">
        <v>43763</v>
      </c>
      <c r="C3" s="2035" t="s">
        <v>1774</v>
      </c>
      <c r="D3" s="2034">
        <v>43763</v>
      </c>
      <c r="E3" s="2024"/>
      <c r="F3" s="2024"/>
      <c r="G3" s="2024"/>
      <c r="H3" s="2024"/>
      <c r="I3" s="2024"/>
      <c r="J3" s="2024"/>
      <c r="K3" s="2025"/>
      <c r="L3" s="2026"/>
      <c r="M3" s="2026"/>
      <c r="N3" s="2027"/>
      <c r="O3" s="2028"/>
      <c r="P3" s="2027"/>
      <c r="Q3" s="2027"/>
      <c r="R3" s="2027"/>
      <c r="S3" s="2029"/>
    </row>
    <row r="4" spans="1:19" ht="18" customHeight="1" thickBot="1">
      <c r="A4" s="2036" t="s">
        <v>1775</v>
      </c>
      <c r="B4" s="2037" t="s">
        <v>3065</v>
      </c>
      <c r="C4" s="1036">
        <f ca="1">SUMIF(注册房地产估价师,B4,估价师及机构信息!B3:B24)</f>
        <v>1120070131</v>
      </c>
      <c r="D4" s="2037" t="s">
        <v>3066</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81" t="s">
        <v>3190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94" t="s">
        <v>3154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81" t="s">
        <v>3190</v>
      </c>
      <c r="C7" s="2046"/>
      <c r="D7" s="2047"/>
      <c r="E7" s="2032"/>
      <c r="F7" s="2040"/>
      <c r="G7" s="2040"/>
      <c r="H7" s="2040"/>
      <c r="I7" s="2040"/>
      <c r="J7" s="2040"/>
      <c r="K7" s="2049"/>
      <c r="L7" s="2026"/>
      <c r="M7" s="2026"/>
      <c r="N7" s="2027"/>
      <c r="O7" s="2028"/>
      <c r="P7" s="2027"/>
      <c r="Q7" s="2027"/>
      <c r="R7" s="2027"/>
    </row>
    <row r="8" spans="1:19" ht="18" customHeight="1">
      <c r="A8" s="2045" t="s">
        <v>1779</v>
      </c>
      <c r="B8" s="2050" t="s">
        <v>3047</v>
      </c>
      <c r="C8" s="2051"/>
      <c r="D8" s="3061" t="s">
        <v>1780</v>
      </c>
      <c r="E8" s="2052" t="s">
        <v>3048</v>
      </c>
      <c r="F8" s="2053"/>
      <c r="G8" s="2024"/>
      <c r="H8" s="2024"/>
      <c r="I8" s="2024"/>
      <c r="J8" s="2040"/>
      <c r="K8" s="2041"/>
      <c r="L8" s="2026"/>
      <c r="M8" s="2026"/>
      <c r="N8" s="2027"/>
      <c r="O8" s="2028"/>
      <c r="P8" s="2027"/>
      <c r="Q8" s="2027"/>
      <c r="R8" s="2027"/>
    </row>
    <row r="9" spans="1:19" ht="18" customHeight="1" thickBot="1">
      <c r="A9" s="2038" t="s">
        <v>1781</v>
      </c>
      <c r="B9" s="2054" t="s">
        <v>3048</v>
      </c>
      <c r="C9" s="2055"/>
      <c r="D9" s="3062"/>
      <c r="E9" s="2054" t="s">
        <v>70</v>
      </c>
      <c r="F9" s="2056"/>
      <c r="G9" s="2057"/>
      <c r="H9" s="2057"/>
      <c r="I9" s="2057"/>
      <c r="J9" s="2040"/>
      <c r="K9" s="2049"/>
      <c r="L9" s="2026"/>
      <c r="M9" s="2026"/>
      <c r="N9" s="2027"/>
      <c r="O9" s="2028"/>
      <c r="P9" s="2027"/>
      <c r="Q9" s="2027"/>
      <c r="R9" s="2027"/>
    </row>
    <row r="10" spans="1:19" ht="18" customHeight="1" thickTop="1">
      <c r="A10" s="2058" t="s">
        <v>1782</v>
      </c>
      <c r="B10" s="2059" t="s">
        <v>3049</v>
      </c>
      <c r="C10" s="2060"/>
      <c r="D10" s="2044"/>
      <c r="E10" s="2061" t="s">
        <v>1783</v>
      </c>
      <c r="F10" s="2062" t="s">
        <v>3050</v>
      </c>
      <c r="G10" s="2063"/>
      <c r="H10" s="2064"/>
      <c r="I10" s="2044"/>
      <c r="J10" s="2040"/>
      <c r="K10" s="2049"/>
      <c r="L10" s="2026"/>
      <c r="M10" s="2026"/>
      <c r="N10" s="2027"/>
      <c r="O10" s="2028"/>
      <c r="P10" s="2027"/>
      <c r="Q10" s="2027"/>
      <c r="R10" s="2027"/>
    </row>
    <row r="11" spans="1:19" ht="18" customHeight="1">
      <c r="A11" s="2065" t="s">
        <v>1784</v>
      </c>
      <c r="B11" s="2066" t="s">
        <v>3051</v>
      </c>
      <c r="C11" s="2981" t="s">
        <v>3190</v>
      </c>
      <c r="D11" s="2067"/>
      <c r="E11" s="2040"/>
      <c r="F11" s="2040"/>
      <c r="G11" s="2040"/>
      <c r="H11" s="2040"/>
      <c r="I11" s="2040"/>
      <c r="J11" s="2040"/>
      <c r="K11" s="2049"/>
      <c r="L11" s="2026"/>
      <c r="M11" s="2026"/>
      <c r="N11" s="2027"/>
      <c r="O11" s="2028"/>
      <c r="P11" s="2027"/>
      <c r="Q11" s="2027"/>
      <c r="R11" s="2027"/>
    </row>
    <row r="12" spans="1:19" ht="18" customHeight="1">
      <c r="A12" s="2068" t="s">
        <v>1785</v>
      </c>
      <c r="B12" s="2066" t="s">
        <v>3052</v>
      </c>
      <c r="C12" s="2069" t="s">
        <v>1786</v>
      </c>
      <c r="D12" s="2070" t="s">
        <v>1787</v>
      </c>
      <c r="E12" s="2070" t="s">
        <v>1788</v>
      </c>
      <c r="F12" s="2070" t="s">
        <v>1789</v>
      </c>
      <c r="G12" s="2070" t="s">
        <v>1790</v>
      </c>
      <c r="H12" s="2070" t="s">
        <v>1791</v>
      </c>
      <c r="I12" s="2070" t="s">
        <v>1792</v>
      </c>
      <c r="J12" s="2040"/>
      <c r="K12" s="2049"/>
      <c r="L12" s="2026"/>
      <c r="M12" s="2026"/>
      <c r="N12" s="2027"/>
      <c r="O12" s="2028"/>
      <c r="P12" s="2027"/>
      <c r="Q12" s="2027"/>
      <c r="R12" s="2027"/>
    </row>
    <row r="13" spans="1:19" ht="18" customHeight="1">
      <c r="A13" s="2071"/>
      <c r="B13" s="2072"/>
      <c r="C13" s="2073" t="s">
        <v>1793</v>
      </c>
      <c r="D13" s="2074"/>
      <c r="E13" s="2074"/>
      <c r="F13" s="2074">
        <v>56897</v>
      </c>
      <c r="G13" s="2074">
        <v>56897</v>
      </c>
      <c r="H13" s="2074">
        <v>56897</v>
      </c>
      <c r="I13" s="1046"/>
      <c r="J13" s="2040"/>
      <c r="K13" s="2049"/>
      <c r="L13" s="2026"/>
      <c r="M13" s="2026"/>
      <c r="N13" s="2027"/>
      <c r="O13" s="2028"/>
      <c r="P13" s="2027"/>
      <c r="Q13" s="2027"/>
      <c r="R13" s="2027"/>
    </row>
    <row r="14" spans="1:19" ht="18" customHeight="1">
      <c r="A14" s="2071"/>
      <c r="B14" s="2072"/>
      <c r="C14" s="2073" t="s">
        <v>1794</v>
      </c>
      <c r="D14" s="1049"/>
      <c r="E14" s="1049"/>
      <c r="F14" s="1049">
        <v>50</v>
      </c>
      <c r="G14" s="1049">
        <v>50</v>
      </c>
      <c r="H14" s="1049">
        <v>50</v>
      </c>
      <c r="I14" s="1049"/>
      <c r="J14" s="2040"/>
      <c r="K14" s="2075"/>
      <c r="L14" s="2026"/>
      <c r="M14" s="2026"/>
      <c r="N14" s="2027"/>
      <c r="O14" s="2028"/>
      <c r="P14" s="2027"/>
      <c r="Q14" s="2027"/>
      <c r="R14" s="2027"/>
    </row>
    <row r="15" spans="1:19" ht="18" customHeight="1">
      <c r="A15" s="2058"/>
      <c r="B15" s="2076"/>
      <c r="C15" s="2073" t="s">
        <v>1795</v>
      </c>
      <c r="D15" s="1048" t="str">
        <f>IF(B12="出让",IF(D13="","",ROUNDDOWN(MIN((D13-$D$3)/365,D14),2)),D14)</f>
        <v/>
      </c>
      <c r="E15" s="1048" t="str">
        <f>IF(B12="出让",IF(E13="","",ROUNDDOWN(MIN((E13-$D$3)/365,E14),2)),E14)</f>
        <v/>
      </c>
      <c r="F15" s="1048">
        <f>IF(B12="出让",IF(F13="","",ROUNDDOWN(MIN((F13-$D$3)/365,F14),2)),F14)</f>
        <v>35.979999999999997</v>
      </c>
      <c r="G15" s="1048">
        <f>IF(B12="出让",IF(G13="","",ROUNDDOWN(MIN((G13-$D$3)/365,G14),2)),G14)</f>
        <v>35.979999999999997</v>
      </c>
      <c r="H15" s="1048">
        <f>IF(B12="出让",IF(H13="","",ROUNDDOWN(MIN((H13-$D$3)/365,H14),2)),H14)</f>
        <v>35.979999999999997</v>
      </c>
      <c r="I15" s="1048" t="str">
        <f>IF(B12="出让",IF(I13="","",ROUNDDOWN(MIN((I13-$D$3)/365,I14),2)),I14)</f>
        <v/>
      </c>
      <c r="J15" s="2040"/>
      <c r="K15" s="2077"/>
      <c r="L15" s="2078"/>
      <c r="M15" s="2078"/>
      <c r="N15" s="2079"/>
      <c r="O15" s="2078"/>
      <c r="P15" s="2079"/>
      <c r="Q15" s="2027"/>
      <c r="R15" s="2027"/>
    </row>
    <row r="16" spans="1:19" ht="30.75" customHeight="1">
      <c r="A16" s="2061" t="s">
        <v>1796</v>
      </c>
      <c r="B16" s="3068" t="s">
        <v>3053</v>
      </c>
      <c r="C16" s="3069"/>
      <c r="D16" s="3070"/>
      <c r="E16" s="2080" t="s">
        <v>1797</v>
      </c>
      <c r="F16" s="3071" t="s">
        <v>3054</v>
      </c>
      <c r="G16" s="3072"/>
      <c r="H16" s="3072"/>
      <c r="I16" s="3073"/>
      <c r="J16" s="2027"/>
      <c r="K16" s="2077"/>
      <c r="L16" s="2078"/>
      <c r="M16" s="2078"/>
      <c r="N16" s="2079"/>
      <c r="O16" s="2078"/>
      <c r="P16" s="2079"/>
      <c r="Q16" s="2027"/>
      <c r="R16" s="2027"/>
    </row>
    <row r="17" spans="1:22" ht="18" customHeight="1">
      <c r="A17" s="2081" t="s">
        <v>1798</v>
      </c>
      <c r="B17" s="2033" t="s">
        <v>1799</v>
      </c>
      <c r="C17" s="1053">
        <f>'数据-汇总表'!E3</f>
        <v>22666.709999999995</v>
      </c>
      <c r="D17" s="2082" t="s">
        <v>1800</v>
      </c>
      <c r="E17" s="3074" t="s">
        <v>3156</v>
      </c>
      <c r="F17" s="3075"/>
      <c r="G17" s="3075"/>
      <c r="H17" s="3075"/>
      <c r="I17" s="3076"/>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26823.14</v>
      </c>
      <c r="D18" s="2085" t="s">
        <v>1800</v>
      </c>
      <c r="E18" s="3077" t="s">
        <v>3155</v>
      </c>
      <c r="F18" s="3078"/>
      <c r="G18" s="3078"/>
      <c r="H18" s="3078"/>
      <c r="I18" s="3079"/>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t="s">
        <v>3068</v>
      </c>
      <c r="D19" s="2087" t="s">
        <v>1805</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1806</v>
      </c>
      <c r="B20" s="3064" t="s">
        <v>1807</v>
      </c>
      <c r="C20" s="3065"/>
      <c r="D20" s="3066" t="s">
        <v>1808</v>
      </c>
      <c r="E20" s="3067"/>
      <c r="F20" s="2092" t="s">
        <v>1809</v>
      </c>
      <c r="G20" s="2040"/>
      <c r="H20" s="2040"/>
      <c r="I20" s="2040"/>
      <c r="J20" s="2040"/>
      <c r="K20" s="3063"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79"/>
      <c r="O20" s="2078"/>
      <c r="P20" s="2079"/>
      <c r="Q20" s="2027"/>
      <c r="R20" s="2027"/>
      <c r="S20" s="2027"/>
      <c r="T20" s="2027"/>
      <c r="U20" s="2027"/>
      <c r="V20" s="2027"/>
    </row>
    <row r="21" spans="1:22" ht="24.75" customHeight="1">
      <c r="A21" s="2091"/>
      <c r="B21" s="2093" t="s">
        <v>1811</v>
      </c>
      <c r="C21" s="2094" t="s">
        <v>3157</v>
      </c>
      <c r="D21" s="2095"/>
      <c r="E21" s="2096"/>
      <c r="F21" s="2097"/>
      <c r="G21" s="2040"/>
      <c r="H21" s="2040"/>
      <c r="I21" s="2040"/>
      <c r="J21" s="2040"/>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1812</v>
      </c>
      <c r="C22" s="2094" t="s">
        <v>3157</v>
      </c>
      <c r="D22" s="2024"/>
      <c r="E22" s="2024"/>
      <c r="F22" s="2099"/>
      <c r="G22" s="2040"/>
      <c r="H22" s="2040"/>
      <c r="I22" s="2040"/>
      <c r="J22" s="2040"/>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1813</v>
      </c>
      <c r="B23" s="183" t="s">
        <v>1814</v>
      </c>
      <c r="C23" s="2101">
        <v>43699</v>
      </c>
      <c r="D23" s="2102" t="s">
        <v>1814</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3" t="s">
        <v>1815</v>
      </c>
      <c r="C24" s="2995" t="s">
        <v>3158</v>
      </c>
      <c r="D24" s="2100" t="s">
        <v>1815</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3" t="s">
        <v>1816</v>
      </c>
      <c r="C25" s="2106" t="s">
        <v>3162</v>
      </c>
      <c r="D25" s="2100" t="s">
        <v>1816</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1817</v>
      </c>
      <c r="C26" s="2996" t="s">
        <v>3159</v>
      </c>
      <c r="D26" s="2110" t="s">
        <v>1818</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81" t="s">
        <v>1819</v>
      </c>
      <c r="B27" s="2058" t="s">
        <v>1820</v>
      </c>
      <c r="C27" s="2113" t="s">
        <v>3056</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81"/>
      <c r="B28" s="2033" t="s">
        <v>1821</v>
      </c>
      <c r="C28" s="2115" t="s">
        <v>3057</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81"/>
      <c r="B29" s="2033" t="s">
        <v>1822</v>
      </c>
      <c r="C29" s="2118" t="s">
        <v>3058</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82"/>
      <c r="B30" s="2033" t="s">
        <v>1823</v>
      </c>
      <c r="C30" s="3083"/>
      <c r="D30" s="3084"/>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85" t="s">
        <v>1824</v>
      </c>
      <c r="B31" s="2120" t="s">
        <v>3055</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86"/>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86"/>
      <c r="B33" s="2124"/>
      <c r="C33" s="2065"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7" t="s">
        <v>3059</v>
      </c>
      <c r="C34" s="2127" t="s">
        <v>3060</v>
      </c>
      <c r="D34" s="2127" t="s">
        <v>3061</v>
      </c>
      <c r="E34" s="2127" t="s">
        <v>3062</v>
      </c>
      <c r="F34" s="2127" t="s">
        <v>3063</v>
      </c>
      <c r="G34" s="2127" t="s">
        <v>3151</v>
      </c>
      <c r="H34" s="2127" t="s">
        <v>3064</v>
      </c>
      <c r="I34" s="2040"/>
      <c r="J34" s="2040"/>
      <c r="K34" s="1794">
        <f>COUNTIF(B34:H34,"——")</f>
        <v>0</v>
      </c>
      <c r="L34" s="2069" t="s">
        <v>1826</v>
      </c>
      <c r="M34" s="2069" t="s">
        <v>1827</v>
      </c>
      <c r="N34" s="2069" t="s">
        <v>1828</v>
      </c>
      <c r="O34" s="2069" t="s">
        <v>1829</v>
      </c>
      <c r="P34" s="2069" t="s">
        <v>1830</v>
      </c>
      <c r="Q34" s="2069" t="s">
        <v>1831</v>
      </c>
      <c r="R34" s="2069" t="s">
        <v>1832</v>
      </c>
      <c r="S34" s="3080" t="s">
        <v>1833</v>
      </c>
      <c r="T34" s="2128" t="str">
        <f>NUMBERSTRING(7-K34,1)&amp;"通"</f>
        <v>七通</v>
      </c>
      <c r="U34" s="2027"/>
      <c r="V34" s="2027"/>
    </row>
    <row r="35" spans="1:22" ht="18" customHeight="1">
      <c r="A35" s="2129"/>
      <c r="B35" s="3087" t="s">
        <v>1834</v>
      </c>
      <c r="C35" s="3087"/>
      <c r="D35" s="3087"/>
      <c r="E35" s="3087"/>
      <c r="F35" s="2130">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0"/>
      <c r="T35" s="48" t="str">
        <f>IF(T34="一通",L35,IF(T34="二通",M35,IF(T34="三通",N35,IF(T34="四通",O35,IF(T34="五通",P35,IF(T34="六通",Q35,R35))))))</f>
        <v>通路、通电、通讯、通上水、通下水、通热、燃气</v>
      </c>
      <c r="U35" s="2027"/>
      <c r="V35" s="2027"/>
    </row>
    <row r="36" spans="1:22" ht="18" customHeight="1">
      <c r="A36" s="2131"/>
      <c r="B36" s="2130" t="s">
        <v>1835</v>
      </c>
      <c r="C36" s="2130" t="s">
        <v>1836</v>
      </c>
      <c r="D36" s="2130" t="s">
        <v>1837</v>
      </c>
      <c r="E36" s="2130" t="s">
        <v>1838</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1839</v>
      </c>
      <c r="B37" s="2134"/>
      <c r="C37" s="2134" t="s">
        <v>523</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1840</v>
      </c>
      <c r="B38" s="2136"/>
      <c r="C38" s="2136" t="s">
        <v>229</v>
      </c>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6"/>
      <c r="L40" s="2078"/>
      <c r="M40" s="2078"/>
      <c r="N40" s="2079"/>
      <c r="O40" s="2078"/>
      <c r="P40" s="2027"/>
      <c r="Q40" s="2027"/>
      <c r="R40" s="2027"/>
      <c r="S40" s="2027"/>
      <c r="T40" s="2027"/>
      <c r="U40" s="2027"/>
      <c r="V40" s="2027"/>
    </row>
    <row r="41" spans="1:22" ht="18" customHeight="1">
      <c r="A41" s="8" t="s">
        <v>1842</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1843</v>
      </c>
      <c r="B42" s="1794" t="s">
        <v>1844</v>
      </c>
      <c r="C42" s="1794" t="s">
        <v>1845</v>
      </c>
      <c r="D42" s="1794" t="s">
        <v>1846</v>
      </c>
      <c r="E42" s="1794" t="s">
        <v>1847</v>
      </c>
      <c r="F42" s="1794" t="s">
        <v>1848</v>
      </c>
      <c r="G42" s="1794" t="s">
        <v>1849</v>
      </c>
      <c r="H42" s="1794" t="s">
        <v>1850</v>
      </c>
      <c r="I42" s="1794" t="s">
        <v>1851</v>
      </c>
      <c r="J42" s="2146" t="s">
        <v>1852</v>
      </c>
      <c r="K42" s="2070" t="s">
        <v>1853</v>
      </c>
      <c r="L42" s="2070" t="s">
        <v>1854</v>
      </c>
      <c r="M42" s="2070" t="s">
        <v>1855</v>
      </c>
      <c r="N42" s="1794" t="s">
        <v>1856</v>
      </c>
      <c r="O42" s="1794" t="s">
        <v>1857</v>
      </c>
      <c r="P42" s="1794" t="s">
        <v>1858</v>
      </c>
      <c r="Q42" s="2069" t="s">
        <v>1859</v>
      </c>
      <c r="R42" s="2069" t="s">
        <v>1860</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3" width="9.5" style="2153" customWidth="1"/>
    <col min="14"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hidden="1" customWidth="1"/>
    <col min="31" max="31" width="9.75" style="2153" hidden="1" customWidth="1"/>
    <col min="32" max="37" width="9.5" style="2153" hidden="1" customWidth="1"/>
    <col min="38"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1863</v>
      </c>
      <c r="B2" s="11" t="s">
        <v>1864</v>
      </c>
      <c r="C2" s="11" t="s">
        <v>1865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1866</v>
      </c>
      <c r="AZ2" s="1269" t="s">
        <v>1867</v>
      </c>
      <c r="BA2" s="11" t="s">
        <v>1868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26823.14</v>
      </c>
      <c r="B3" s="14">
        <f>IF(C3="否",G5-AT5,G5)</f>
        <v>22666.709999999995</v>
      </c>
      <c r="C3" s="2162" t="s">
        <v>1869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1870</v>
      </c>
      <c r="B5" s="1802"/>
      <c r="C5" s="1802"/>
      <c r="D5" s="1805"/>
      <c r="E5" s="16" t="s">
        <v>1</v>
      </c>
      <c r="F5" s="16">
        <f>SUM(F13:F587)</f>
        <v>0</v>
      </c>
      <c r="G5" s="16">
        <f>SUM(G13:G587)</f>
        <v>22666.709999999995</v>
      </c>
      <c r="H5" s="16">
        <f t="shared" ref="H5:AT5" si="0">SUM(H13:H656)</f>
        <v>22584.659999999996</v>
      </c>
      <c r="I5" s="16">
        <f t="shared" si="0"/>
        <v>18053.419999999998</v>
      </c>
      <c r="J5" s="16">
        <f t="shared" si="0"/>
        <v>0</v>
      </c>
      <c r="K5" s="16">
        <f t="shared" si="0"/>
        <v>3282.62</v>
      </c>
      <c r="L5" s="16">
        <f t="shared" si="0"/>
        <v>0</v>
      </c>
      <c r="M5" s="16">
        <f t="shared" si="0"/>
        <v>1248.6200000000001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82.05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82.05</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22666.709999999995</v>
      </c>
      <c r="BA5" s="18">
        <f t="shared" si="1"/>
        <v>22584.659999999996</v>
      </c>
      <c r="BB5" s="18">
        <f t="shared" si="1"/>
        <v>18053.419999999998</v>
      </c>
      <c r="BC5" s="18">
        <f t="shared" si="1"/>
        <v>3282.62</v>
      </c>
      <c r="BD5" s="18">
        <f t="shared" si="1"/>
        <v>1248.6200000000001</v>
      </c>
      <c r="BE5" s="18">
        <f t="shared" si="1"/>
        <v>0</v>
      </c>
      <c r="BF5" s="18">
        <f t="shared" si="1"/>
        <v>0</v>
      </c>
      <c r="BG5" s="18">
        <f t="shared" si="1"/>
        <v>0</v>
      </c>
      <c r="BH5" s="18">
        <f t="shared" si="1"/>
        <v>0</v>
      </c>
      <c r="BI5" s="18">
        <f t="shared" si="1"/>
        <v>0</v>
      </c>
      <c r="BJ5" s="18">
        <f t="shared" si="1"/>
        <v>0</v>
      </c>
      <c r="BK5" s="18">
        <f t="shared" si="1"/>
        <v>0</v>
      </c>
      <c r="BL5" s="18">
        <f t="shared" si="1"/>
        <v>82.05</v>
      </c>
      <c r="BM5" s="18">
        <f t="shared" si="1"/>
        <v>0</v>
      </c>
      <c r="BN5" s="18">
        <f t="shared" si="1"/>
        <v>0</v>
      </c>
      <c r="BO5" s="18">
        <f t="shared" si="1"/>
        <v>0</v>
      </c>
      <c r="BP5" s="18">
        <f t="shared" si="1"/>
        <v>0</v>
      </c>
      <c r="BQ5" s="18">
        <f t="shared" si="1"/>
        <v>0</v>
      </c>
      <c r="BR5" s="18">
        <f t="shared" si="1"/>
        <v>82.05</v>
      </c>
      <c r="BS5" s="18">
        <f t="shared" si="1"/>
        <v>0</v>
      </c>
      <c r="BT5" s="19">
        <f t="shared" si="1"/>
        <v>0</v>
      </c>
    </row>
    <row r="6" spans="1:72" s="2171" customFormat="1" ht="12.75">
      <c r="A6" s="15" t="s">
        <v>1871</v>
      </c>
      <c r="B6" s="2168"/>
      <c r="C6" s="2168"/>
      <c r="D6" s="2169"/>
      <c r="E6" s="16">
        <f>H6+AC6+AT6</f>
        <v>26823.14</v>
      </c>
      <c r="F6" s="16" t="s">
        <v>1</v>
      </c>
      <c r="G6" s="16" t="s">
        <v>2</v>
      </c>
      <c r="H6" s="20">
        <f>SUMIF(I$12:AB$12,"总值",I6:AB6)</f>
        <v>26726.04</v>
      </c>
      <c r="I6" s="16">
        <f t="shared" ref="I6:AB6" si="2">ROUND($A$3*I5/$B$3,2)</f>
        <v>21363.9</v>
      </c>
      <c r="J6" s="16">
        <f t="shared" si="2"/>
        <v>0</v>
      </c>
      <c r="K6" s="16">
        <f t="shared" si="2"/>
        <v>3884.56</v>
      </c>
      <c r="L6" s="16">
        <f t="shared" si="2"/>
        <v>0</v>
      </c>
      <c r="M6" s="16">
        <f t="shared" si="2"/>
        <v>1477.58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97.1</v>
      </c>
      <c r="AO6" s="16">
        <f t="shared" si="3"/>
        <v>0</v>
      </c>
      <c r="AP6" s="16">
        <f t="shared" si="3"/>
        <v>0</v>
      </c>
      <c r="AQ6" s="16">
        <f t="shared" si="3"/>
        <v>0</v>
      </c>
      <c r="AR6" s="16">
        <f t="shared" si="3"/>
        <v>0</v>
      </c>
      <c r="AS6" s="16">
        <f t="shared" si="3"/>
        <v>0</v>
      </c>
      <c r="AT6" s="20">
        <f>IF(C3="是",ROUND($A$3*AT5/$B$3,2),0)</f>
        <v>0</v>
      </c>
      <c r="AU6" s="2170"/>
      <c r="AV6" s="15" t="s">
        <v>1871</v>
      </c>
      <c r="AW6" s="2168"/>
      <c r="AX6" s="2168"/>
      <c r="AY6" s="21">
        <f>IF(AY3&gt;0,AY3,ROUND($A$3*AZ5/$B$3,2))</f>
        <v>26823.14</v>
      </c>
      <c r="AZ6" s="16" t="s">
        <v>3</v>
      </c>
      <c r="BA6" s="16">
        <f>ROUND($AY$6*BA5/$AZ$5,2)</f>
        <v>26726.04</v>
      </c>
      <c r="BB6" s="16">
        <f>ROUND($AY$6*BB5/$AZ$5,2)</f>
        <v>21363.9</v>
      </c>
      <c r="BC6" s="16">
        <f t="shared" ref="BC6:BH6" si="4">ROUND($AY$6*BC5/$AZ$5,2)</f>
        <v>3884.56</v>
      </c>
      <c r="BD6" s="16">
        <f t="shared" si="4"/>
        <v>1477.58</v>
      </c>
      <c r="BE6" s="16">
        <f t="shared" si="4"/>
        <v>0</v>
      </c>
      <c r="BF6" s="16">
        <f t="shared" si="4"/>
        <v>0</v>
      </c>
      <c r="BG6" s="16">
        <f t="shared" si="4"/>
        <v>0</v>
      </c>
      <c r="BH6" s="16">
        <f t="shared" si="4"/>
        <v>0</v>
      </c>
      <c r="BI6" s="16">
        <f t="shared" ref="BI6:BT6" si="5">ROUND($AY$6*BI5/$AZ$5,2)</f>
        <v>0</v>
      </c>
      <c r="BJ6" s="16">
        <f t="shared" si="5"/>
        <v>0</v>
      </c>
      <c r="BK6" s="16">
        <f t="shared" si="5"/>
        <v>0</v>
      </c>
      <c r="BL6" s="16">
        <f t="shared" si="5"/>
        <v>97.1</v>
      </c>
      <c r="BM6" s="16">
        <f t="shared" si="5"/>
        <v>0</v>
      </c>
      <c r="BN6" s="16">
        <f t="shared" si="5"/>
        <v>0</v>
      </c>
      <c r="BO6" s="16">
        <f t="shared" si="5"/>
        <v>0</v>
      </c>
      <c r="BP6" s="16">
        <f t="shared" si="5"/>
        <v>0</v>
      </c>
      <c r="BQ6" s="16">
        <f t="shared" si="5"/>
        <v>0</v>
      </c>
      <c r="BR6" s="16">
        <f t="shared" si="5"/>
        <v>97.1</v>
      </c>
      <c r="BS6" s="16">
        <f t="shared" si="5"/>
        <v>0</v>
      </c>
      <c r="BT6" s="22">
        <f t="shared" si="5"/>
        <v>0</v>
      </c>
    </row>
    <row r="7" spans="1:72" s="2161" customFormat="1" ht="24.75">
      <c r="A7" s="2104" t="s">
        <v>1872</v>
      </c>
      <c r="B7" s="2104" t="s">
        <v>1873</v>
      </c>
      <c r="C7" s="2104" t="s">
        <v>1874</v>
      </c>
      <c r="D7" s="2104" t="s">
        <v>1875</v>
      </c>
      <c r="E7" s="2104" t="s">
        <v>1876</v>
      </c>
      <c r="F7" s="2104"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1879</v>
      </c>
      <c r="AV7" s="23" t="s">
        <v>1880</v>
      </c>
      <c r="AW7" s="2160" t="s">
        <v>1881</v>
      </c>
      <c r="AX7" s="23" t="s">
        <v>1874</v>
      </c>
      <c r="AY7" s="1802"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7"/>
      <c r="K8" s="1817"/>
      <c r="L8" s="1817"/>
      <c r="M8" s="1817"/>
      <c r="N8" s="1817"/>
      <c r="O8" s="1817"/>
      <c r="P8" s="1817"/>
      <c r="Q8" s="1817"/>
      <c r="R8" s="1817"/>
      <c r="S8" s="1817"/>
      <c r="T8" s="1817"/>
      <c r="U8" s="1817"/>
      <c r="V8" s="2180"/>
      <c r="W8" s="1817"/>
      <c r="X8" s="1817"/>
      <c r="Y8" s="1817"/>
      <c r="Z8" s="1817"/>
      <c r="AA8" s="2180"/>
      <c r="AB8" s="2181"/>
      <c r="AC8" s="980" t="s">
        <v>1885</v>
      </c>
      <c r="AD8" s="2182"/>
      <c r="AE8" s="2174"/>
      <c r="AF8" s="1817"/>
      <c r="AG8" s="1817"/>
      <c r="AH8" s="1817"/>
      <c r="AI8" s="1817"/>
      <c r="AJ8" s="1817"/>
      <c r="AK8" s="1817"/>
      <c r="AL8" s="1817"/>
      <c r="AM8" s="1817"/>
      <c r="AN8" s="1817"/>
      <c r="AO8" s="1817"/>
      <c r="AP8" s="1817"/>
      <c r="AQ8" s="1817"/>
      <c r="AR8" s="1817"/>
      <c r="AS8" s="1817"/>
      <c r="AT8" s="1291" t="s">
        <v>1886</v>
      </c>
      <c r="AU8" s="2176" t="s">
        <v>1887</v>
      </c>
      <c r="AV8" s="1291"/>
      <c r="AW8" s="2159"/>
      <c r="AX8" s="1291"/>
      <c r="AY8" s="2160"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1890</v>
      </c>
      <c r="I9" s="2185" t="s">
        <v>3069</v>
      </c>
      <c r="J9" s="980"/>
      <c r="K9" s="2185" t="s">
        <v>3070</v>
      </c>
      <c r="L9" s="980"/>
      <c r="M9" s="2185" t="s">
        <v>3070</v>
      </c>
      <c r="N9" s="980"/>
      <c r="O9" s="2185"/>
      <c r="P9" s="980"/>
      <c r="Q9" s="2185"/>
      <c r="R9" s="980"/>
      <c r="S9" s="2185"/>
      <c r="T9" s="980"/>
      <c r="U9" s="2185"/>
      <c r="V9" s="980"/>
      <c r="W9" s="2185"/>
      <c r="X9" s="2186"/>
      <c r="Y9" s="2185"/>
      <c r="Z9" s="980"/>
      <c r="AA9" s="2185"/>
      <c r="AB9" s="980"/>
      <c r="AC9" s="2177"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7"/>
      <c r="AT9" s="2176"/>
      <c r="AU9" s="2176" t="s">
        <v>1893</v>
      </c>
      <c r="AV9" s="1291"/>
      <c r="AW9" s="2159"/>
      <c r="AX9" s="1291"/>
      <c r="AY9" s="28"/>
      <c r="AZ9" s="28" t="s">
        <v>1883</v>
      </c>
      <c r="BA9" s="2188" t="s">
        <v>1894</v>
      </c>
      <c r="BB9" s="2189"/>
      <c r="BC9" s="1337"/>
      <c r="BD9" s="1337"/>
      <c r="BE9" s="1337"/>
      <c r="BF9" s="1337"/>
      <c r="BG9" s="1337"/>
      <c r="BH9" s="1337"/>
      <c r="BI9" s="1337"/>
      <c r="BJ9" s="1337"/>
      <c r="BK9" s="2190"/>
      <c r="BL9" s="15" t="s">
        <v>1895</v>
      </c>
      <c r="BM9" s="1817"/>
      <c r="BN9" s="2179"/>
      <c r="BO9" s="1817"/>
      <c r="BP9" s="1817"/>
      <c r="BQ9" s="1817"/>
      <c r="BR9" s="1817"/>
      <c r="BS9" s="1817"/>
      <c r="BT9" s="26"/>
    </row>
    <row r="10" spans="1:72" s="2183" customFormat="1" ht="12.75">
      <c r="A10" s="2176"/>
      <c r="B10" s="2176"/>
      <c r="C10" s="2176"/>
      <c r="D10" s="2176"/>
      <c r="E10" s="2176"/>
      <c r="F10" s="2176"/>
      <c r="G10" s="1291"/>
      <c r="H10" s="28"/>
      <c r="I10" s="2185" t="s">
        <v>27</v>
      </c>
      <c r="J10" s="980"/>
      <c r="K10" s="2191" t="s">
        <v>3071</v>
      </c>
      <c r="L10" s="980"/>
      <c r="M10" s="2191" t="s">
        <v>27</v>
      </c>
      <c r="N10" s="980"/>
      <c r="O10" s="2191"/>
      <c r="P10" s="980"/>
      <c r="Q10" s="2191"/>
      <c r="R10" s="980"/>
      <c r="S10" s="2191"/>
      <c r="T10" s="980"/>
      <c r="U10" s="2191"/>
      <c r="V10" s="980"/>
      <c r="W10" s="2191"/>
      <c r="X10" s="980"/>
      <c r="Y10" s="2191"/>
      <c r="Z10" s="980"/>
      <c r="AA10" s="2191"/>
      <c r="AB10" s="980"/>
      <c r="AC10" s="1291"/>
      <c r="AD10" s="15" t="s">
        <v>1896</v>
      </c>
      <c r="AE10" s="2192"/>
      <c r="AF10" s="15" t="s">
        <v>1896</v>
      </c>
      <c r="AG10" s="2192"/>
      <c r="AH10" s="15" t="s">
        <v>1897</v>
      </c>
      <c r="AI10" s="2192"/>
      <c r="AJ10" s="15" t="s">
        <v>1897</v>
      </c>
      <c r="AK10" s="2192"/>
      <c r="AL10" s="15" t="s">
        <v>1898</v>
      </c>
      <c r="AM10" s="1297"/>
      <c r="AN10" s="15" t="s">
        <v>1898</v>
      </c>
      <c r="AO10" s="1297"/>
      <c r="AP10" s="15" t="s">
        <v>1899</v>
      </c>
      <c r="AQ10" s="1297"/>
      <c r="AR10" s="15" t="s">
        <v>1899</v>
      </c>
      <c r="AS10" s="1297"/>
      <c r="AT10" s="2176"/>
      <c r="AU10" s="2176"/>
      <c r="AV10" s="1291"/>
      <c r="AW10" s="2159"/>
      <c r="AX10" s="1291"/>
      <c r="AY10" s="28"/>
      <c r="AZ10" s="28"/>
      <c r="BA10" s="2193" t="s">
        <v>1890</v>
      </c>
      <c r="BB10" s="2194"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3146</v>
      </c>
      <c r="J11" s="2197"/>
      <c r="K11" s="2196" t="s">
        <v>3071</v>
      </c>
      <c r="L11" s="2197"/>
      <c r="M11" s="2196" t="s">
        <v>3182</v>
      </c>
      <c r="N11" s="2197"/>
      <c r="O11" s="2196"/>
      <c r="P11" s="2197"/>
      <c r="Q11" s="2196"/>
      <c r="R11" s="2197"/>
      <c r="S11" s="2196"/>
      <c r="T11" s="2197"/>
      <c r="U11" s="2196"/>
      <c r="V11" s="2197"/>
      <c r="W11" s="2196"/>
      <c r="X11" s="2197"/>
      <c r="Y11" s="2196"/>
      <c r="Z11" s="2197"/>
      <c r="AA11" s="2196"/>
      <c r="AB11" s="2197"/>
      <c r="AC11" s="1291"/>
      <c r="AD11" s="2198" t="s">
        <v>1900</v>
      </c>
      <c r="AE11" s="1818"/>
      <c r="AF11" s="2198" t="s">
        <v>1900</v>
      </c>
      <c r="AG11" s="1818"/>
      <c r="AH11" s="2198" t="s">
        <v>1901</v>
      </c>
      <c r="AI11" s="2199"/>
      <c r="AJ11" s="2198" t="s">
        <v>1901</v>
      </c>
      <c r="AK11" s="1818"/>
      <c r="AL11" s="1816"/>
      <c r="AM11" s="1818"/>
      <c r="AN11" s="1816"/>
      <c r="AO11" s="1818"/>
      <c r="AP11" s="1816"/>
      <c r="AQ11" s="1818"/>
      <c r="AR11" s="1816"/>
      <c r="AS11" s="1818"/>
      <c r="AT11" s="2159"/>
      <c r="AU11" s="2176"/>
      <c r="AV11" s="1291"/>
      <c r="AW11" s="2159"/>
      <c r="AX11" s="1291"/>
      <c r="AY11" s="28"/>
      <c r="AZ11" s="28"/>
      <c r="BA11" s="28"/>
      <c r="BB11" s="2181" t="str">
        <f>I10</f>
        <v>办公</v>
      </c>
      <c r="BC11" s="2181" t="str">
        <f>K10</f>
        <v>车库</v>
      </c>
      <c r="BD11" s="2181" t="str">
        <f>M10</f>
        <v>办公</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3"/>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1" t="s">
        <v>1903</v>
      </c>
      <c r="AT12" s="2204"/>
      <c r="AU12" s="2201"/>
      <c r="AV12" s="31"/>
      <c r="AW12" s="2160"/>
      <c r="AX12" s="31"/>
      <c r="AY12" s="2205"/>
      <c r="AZ12" s="28"/>
      <c r="BA12" s="2193"/>
      <c r="BB12" s="24" t="str">
        <f>I11</f>
        <v>办公楼</v>
      </c>
      <c r="BC12" s="2206" t="str">
        <f>K11</f>
        <v>车库</v>
      </c>
      <c r="BD12" s="2206" t="str">
        <f>M11</f>
        <v>配套商业</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2209"/>
      <c r="B13" s="1271"/>
      <c r="C13" s="2982" t="s">
        <v>3067</v>
      </c>
      <c r="D13" s="2207" t="s">
        <v>3068</v>
      </c>
      <c r="E13" s="16">
        <f>IF($C$3="是",ROUND($A$3*G13/$B$3,2),ROUND($A$3*(G13-AT13)/$B$3,2))</f>
        <v>21363.9</v>
      </c>
      <c r="F13" s="32"/>
      <c r="G13" s="33">
        <f>H13+AC13+AT13</f>
        <v>18053.419999999998</v>
      </c>
      <c r="H13" s="20">
        <f>SUMIF(I$12:AB$12,"总值",I13:AB13)</f>
        <v>18053.419999999998</v>
      </c>
      <c r="I13" s="2208">
        <v>18053.419999999998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983" t="s">
        <v>3148</v>
      </c>
      <c r="D14" s="2207" t="s">
        <v>3068</v>
      </c>
      <c r="E14" s="16">
        <f>IF($C$3="是",ROUND($A$3*G14/$B$3,2),ROUND($A$3*(G14-AT14)/$B$3,2))</f>
        <v>5362.14</v>
      </c>
      <c r="F14" s="32"/>
      <c r="G14" s="33">
        <f>H14+AC14+AT14</f>
        <v>4531.24</v>
      </c>
      <c r="H14" s="20">
        <f>SUMIF(I$12:AB$12,"总值",I14:AB14)</f>
        <v>4531.24</v>
      </c>
      <c r="I14" s="2208"/>
      <c r="J14" s="2208"/>
      <c r="K14" s="2208">
        <v>3282.62</v>
      </c>
      <c r="L14" s="2208"/>
      <c r="M14" s="2208">
        <f>166.91+1081.71</f>
        <v>1248.6200000000001</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仓储</v>
      </c>
      <c r="AY14" s="180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983" t="s">
        <v>3140</v>
      </c>
      <c r="D15" s="2207" t="s">
        <v>3068</v>
      </c>
      <c r="E15" s="16">
        <f>IF($C$3="是",ROUND($A$3*G15/$B$3,2),ROUND($A$3*(G15-AT15)/$B$3,2))</f>
        <v>97.1</v>
      </c>
      <c r="F15" s="32"/>
      <c r="G15" s="33">
        <f>H15+AC15+AT15</f>
        <v>82.05</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82.05</v>
      </c>
      <c r="AD15" s="2209"/>
      <c r="AE15" s="2209"/>
      <c r="AF15" s="2209"/>
      <c r="AG15" s="2209"/>
      <c r="AH15" s="2209"/>
      <c r="AI15" s="2209"/>
      <c r="AJ15" s="2209"/>
      <c r="AK15" s="2209"/>
      <c r="AL15" s="2209"/>
      <c r="AM15" s="2209"/>
      <c r="AN15" s="2209">
        <f>82.05</f>
        <v>82.05</v>
      </c>
      <c r="AO15" s="2209"/>
      <c r="AP15" s="2209"/>
      <c r="AQ15" s="2209"/>
      <c r="AR15" s="3003"/>
      <c r="AS15" s="2209"/>
      <c r="AT15" s="2210"/>
      <c r="AU15" s="2211"/>
      <c r="AV15" s="11">
        <f t="shared" si="6"/>
        <v>0</v>
      </c>
      <c r="AW15" s="11">
        <f t="shared" si="6"/>
        <v>0</v>
      </c>
      <c r="AX15" s="11" t="str">
        <f t="shared" si="6"/>
        <v>设备</v>
      </c>
      <c r="AY15" s="1805">
        <f>ROUND($AY$6*AZ15/$AZ$5,2)</f>
        <v>97.1</v>
      </c>
      <c r="AZ15" s="16">
        <f>BA15+BL15</f>
        <v>82.05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82.05</v>
      </c>
      <c r="BM15" s="16">
        <f>IF($D15="是",AD15-AE15,0)</f>
        <v>0</v>
      </c>
      <c r="BN15" s="16">
        <f>IF($D15="是",AF15-AG15,0)</f>
        <v>0</v>
      </c>
      <c r="BO15" s="16">
        <f>IF($D15="是",AH15-AI15,0)</f>
        <v>0</v>
      </c>
      <c r="BP15" s="16">
        <f>IF($D15="是",AJ15-AK15,0)</f>
        <v>0</v>
      </c>
      <c r="BQ15" s="16">
        <f>IF($D15="是",AL15-AM15,0)</f>
        <v>0</v>
      </c>
      <c r="BR15" s="16">
        <f>IF($D15="是",AN15-AO15,0)</f>
        <v>82.05</v>
      </c>
      <c r="BS15" s="16">
        <f>IF($D15="是",AP15-AQ15,0)</f>
        <v>0</v>
      </c>
      <c r="BT15" s="22">
        <f>IF($D15="是",AR15-AS15,0)</f>
        <v>0</v>
      </c>
    </row>
    <row r="16" spans="1:72" s="2161" customFormat="1" ht="12.75">
      <c r="A16" s="2209"/>
      <c r="B16" s="1271"/>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41"/>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F23" sqref="F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1929</v>
      </c>
      <c r="B1" s="1391"/>
      <c r="C1" s="1391"/>
      <c r="D1" s="1391"/>
      <c r="E1" s="1391"/>
      <c r="F1" s="1391"/>
      <c r="G1" s="1391"/>
      <c r="H1" s="1391"/>
      <c r="I1" s="1391"/>
      <c r="J1" s="1391"/>
      <c r="K1" s="1391"/>
      <c r="L1" s="1391"/>
      <c r="M1" s="1391"/>
      <c r="N1" s="1391"/>
      <c r="O1" s="1391"/>
      <c r="P1" s="1391"/>
    </row>
    <row r="2" spans="1:16" ht="15">
      <c r="A2" s="3099" t="s">
        <v>1930</v>
      </c>
      <c r="B2" s="3099"/>
      <c r="C2" s="3099"/>
      <c r="D2" s="966" t="s">
        <v>1906</v>
      </c>
      <c r="E2" s="2221" t="s">
        <v>1907</v>
      </c>
      <c r="F2" s="1391"/>
      <c r="G2" s="2222"/>
      <c r="H2" s="2223"/>
      <c r="I2" s="2224" t="s">
        <v>1931</v>
      </c>
      <c r="J2" s="1391"/>
      <c r="K2" s="1391"/>
      <c r="L2" s="1391"/>
      <c r="M2" s="1391"/>
      <c r="N2" s="1426"/>
      <c r="O2" s="1391"/>
      <c r="P2" s="1391"/>
    </row>
    <row r="3" spans="1:16" ht="15.75" thickBot="1">
      <c r="A3" s="3100" t="s">
        <v>1904</v>
      </c>
      <c r="B3" s="3100"/>
      <c r="C3" s="3100"/>
      <c r="D3" s="46">
        <f>'数据-基础表'!AY6</f>
        <v>26823.14</v>
      </c>
      <c r="E3" s="46">
        <f>'数据-基础表'!AZ5</f>
        <v>22666.709999999995</v>
      </c>
      <c r="F3" s="1391"/>
      <c r="G3" s="1398"/>
      <c r="H3" s="1246" t="s">
        <v>1905</v>
      </c>
      <c r="I3" s="55">
        <f>ROUND('数据-基础表'!B3/'数据-基础表'!A3,2)</f>
        <v>0.85</v>
      </c>
      <c r="J3" s="1391"/>
      <c r="K3" s="1391"/>
      <c r="L3" s="1391"/>
      <c r="M3" s="1391"/>
      <c r="N3" s="1426"/>
      <c r="O3" s="1391"/>
      <c r="P3" s="1391"/>
    </row>
    <row r="4" spans="1:16" ht="15">
      <c r="A4" s="3101"/>
      <c r="B4" s="3102"/>
      <c r="C4" s="3103"/>
      <c r="D4" s="2225" t="s">
        <v>1906</v>
      </c>
      <c r="E4" s="2226" t="s">
        <v>1907</v>
      </c>
      <c r="F4" s="1391"/>
      <c r="G4" s="2227" t="s">
        <v>1932</v>
      </c>
      <c r="H4" s="1246" t="s">
        <v>1912</v>
      </c>
      <c r="I4" s="55">
        <f>ROUND(SUMIF('数据-基础表'!I9:AS9,"地上",'数据-基础表'!I5:AS5)/'数据-基础表'!A3,2)</f>
        <v>0.67</v>
      </c>
      <c r="J4" s="1391"/>
      <c r="K4" s="1391"/>
      <c r="L4" s="1391"/>
      <c r="M4" s="1391"/>
      <c r="N4" s="1426"/>
      <c r="O4" s="1391"/>
      <c r="P4" s="1391"/>
    </row>
    <row r="5" spans="1:16">
      <c r="A5" s="47" t="s">
        <v>1908</v>
      </c>
      <c r="B5" s="3104" t="s">
        <v>1909</v>
      </c>
      <c r="C5" s="3104"/>
      <c r="D5" s="48">
        <f>ROUND($D$3*E5/$E$3,2)</f>
        <v>0</v>
      </c>
      <c r="E5" s="49">
        <f>SUMIF('数据-基础表'!$11:$11,"住宅",'数据-基础表'!$5:$5)</f>
        <v>0</v>
      </c>
      <c r="F5" s="1391"/>
      <c r="G5" s="1398"/>
      <c r="H5" s="1246" t="s">
        <v>1905</v>
      </c>
      <c r="I5" s="55">
        <f>ROUND(E31/D31,2)</f>
        <v>0.85</v>
      </c>
      <c r="J5" s="1391"/>
      <c r="K5" s="1391"/>
      <c r="L5" s="1391"/>
      <c r="M5" s="1391"/>
      <c r="N5" s="1391"/>
      <c r="O5" s="1391"/>
      <c r="P5" s="1391"/>
    </row>
    <row r="6" spans="1:16" ht="15" thickBot="1">
      <c r="A6" s="2228"/>
      <c r="B6" s="3104" t="s">
        <v>1910</v>
      </c>
      <c r="C6" s="3104"/>
      <c r="D6" s="48">
        <f>ROUND($D$3*E6/$E$3,2)</f>
        <v>26823.14</v>
      </c>
      <c r="E6" s="49">
        <f>E3-E5</f>
        <v>22666.709999999995</v>
      </c>
      <c r="F6" s="1391"/>
      <c r="G6" s="2229" t="s">
        <v>1911</v>
      </c>
      <c r="H6" s="1398" t="s">
        <v>1912</v>
      </c>
      <c r="I6" s="938">
        <f>ROUND(F31/D31,2)</f>
        <v>0.67</v>
      </c>
      <c r="J6" s="1391"/>
      <c r="K6" s="1391"/>
      <c r="L6" s="1391"/>
      <c r="M6" s="1391"/>
      <c r="N6" s="1391"/>
      <c r="O6" s="1391"/>
      <c r="P6" s="1391"/>
    </row>
    <row r="7" spans="1:16" ht="15">
      <c r="A7" s="3096"/>
      <c r="B7" s="3097"/>
      <c r="C7" s="3098"/>
      <c r="D7" s="2225" t="s">
        <v>1906</v>
      </c>
      <c r="E7" s="2230" t="s">
        <v>1913</v>
      </c>
      <c r="F7" s="1391"/>
      <c r="G7" s="2222" t="s">
        <v>1914</v>
      </c>
      <c r="H7" s="64"/>
      <c r="I7" s="420"/>
      <c r="J7" s="1391"/>
      <c r="K7" s="1391"/>
      <c r="L7" s="1391"/>
      <c r="M7" s="1391"/>
      <c r="N7" s="1391"/>
      <c r="O7" s="1391"/>
      <c r="P7" s="1391"/>
    </row>
    <row r="8" spans="1:16">
      <c r="A8" s="47" t="s">
        <v>1915</v>
      </c>
      <c r="B8" s="50" t="s">
        <v>1916</v>
      </c>
      <c r="C8" s="48" t="s">
        <v>1917</v>
      </c>
      <c r="D8" s="48">
        <f t="shared" ref="D8:D15" si="0">ROUND($D$3*E8/$E$3,2)</f>
        <v>21363.9</v>
      </c>
      <c r="E8" s="51">
        <f>SUMIF('数据-基础表'!BB10:BK10,"地上",'数据-基础表'!BB5:BK5)</f>
        <v>18053.419999999998</v>
      </c>
      <c r="F8" s="1391"/>
      <c r="G8" s="2231"/>
      <c r="H8" s="2231"/>
      <c r="I8" s="1391"/>
      <c r="J8" s="1391"/>
      <c r="K8" s="1391"/>
      <c r="L8" s="1391"/>
      <c r="M8" s="1391"/>
      <c r="N8" s="1391"/>
      <c r="O8" s="1391"/>
      <c r="P8" s="1391"/>
    </row>
    <row r="9" spans="1:16">
      <c r="A9" s="2232"/>
      <c r="B9" s="2233"/>
      <c r="C9" s="48" t="s">
        <v>1918</v>
      </c>
      <c r="D9" s="48">
        <f t="shared" si="0"/>
        <v>0</v>
      </c>
      <c r="E9" s="52">
        <v>0</v>
      </c>
      <c r="F9" s="1391"/>
      <c r="G9" s="2231"/>
      <c r="H9" s="2231"/>
      <c r="I9" s="1391"/>
      <c r="J9" s="1391"/>
      <c r="K9" s="1391"/>
      <c r="L9" s="1391"/>
      <c r="M9" s="1391"/>
      <c r="N9" s="1391"/>
      <c r="O9" s="1391"/>
      <c r="P9" s="1391"/>
    </row>
    <row r="10" spans="1:16">
      <c r="A10" s="2232"/>
      <c r="B10" s="2233"/>
      <c r="C10" s="48" t="s">
        <v>1927</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1919</v>
      </c>
      <c r="D11" s="48">
        <f t="shared" si="0"/>
        <v>1477.58</v>
      </c>
      <c r="E11" s="51">
        <f>SUMPRODUCT(('数据-基础表'!BB10:BK10="地下")*('数据-基础表'!BB11:BK11="办公")*('数据-基础表'!BB5:BK5))+'数据-基础表'!BP5</f>
        <v>1248.6200000000001</v>
      </c>
      <c r="F11" s="1391"/>
      <c r="G11" s="2231"/>
      <c r="H11" s="2231"/>
      <c r="I11" s="1391"/>
      <c r="J11" s="1391"/>
      <c r="K11" s="1391"/>
      <c r="L11" s="1391"/>
      <c r="M11" s="1391"/>
      <c r="N11" s="1391"/>
      <c r="O11" s="1391"/>
      <c r="P11" s="1391"/>
    </row>
    <row r="12" spans="1:16">
      <c r="A12" s="2232"/>
      <c r="B12" s="2233"/>
      <c r="C12" s="48" t="s">
        <v>1920</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1921</v>
      </c>
      <c r="D13" s="48">
        <f t="shared" si="0"/>
        <v>3884.56</v>
      </c>
      <c r="E13" s="51">
        <f>SUMPRODUCT(('数据-基础表'!BB10:BK10="地下")*('数据-基础表'!BB11:BK11="车库")*('数据-基础表'!BB5:BK5))</f>
        <v>3282.62</v>
      </c>
      <c r="F13" s="1391"/>
      <c r="G13" s="2231"/>
      <c r="H13" s="2231"/>
      <c r="I13" s="1391"/>
      <c r="J13" s="1391"/>
      <c r="K13" s="1391"/>
      <c r="L13" s="1391"/>
      <c r="M13" s="1391"/>
      <c r="N13" s="1391"/>
      <c r="O13" s="1391"/>
      <c r="P13" s="1391"/>
    </row>
    <row r="14" spans="1:16">
      <c r="A14" s="2232"/>
      <c r="B14" s="2233"/>
      <c r="C14" s="48" t="s">
        <v>1933</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1928</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1922</v>
      </c>
      <c r="D16" s="50">
        <f>SUM(D8:D15)</f>
        <v>26726.040000000005</v>
      </c>
      <c r="E16" s="53">
        <f>SUM(E8:E15)</f>
        <v>22584.659999999996</v>
      </c>
      <c r="F16" s="1391"/>
      <c r="G16" s="2231"/>
      <c r="H16" s="2234" t="s">
        <v>1934</v>
      </c>
      <c r="I16" s="2235"/>
      <c r="J16" s="1391"/>
      <c r="K16" s="3093" t="s">
        <v>1934</v>
      </c>
      <c r="L16" s="3094"/>
      <c r="M16" s="3094"/>
      <c r="N16" s="3094"/>
      <c r="O16" s="3094"/>
      <c r="P16" s="3095"/>
    </row>
    <row r="17" spans="1:19" ht="15">
      <c r="A17" s="2236" t="s">
        <v>1935</v>
      </c>
      <c r="B17" s="2237" t="s">
        <v>1936</v>
      </c>
      <c r="C17" s="2238" t="s">
        <v>1937</v>
      </c>
      <c r="D17" s="2239" t="s">
        <v>1925</v>
      </c>
      <c r="E17" s="2240" t="s">
        <v>1926</v>
      </c>
      <c r="F17" s="2241"/>
      <c r="G17" s="2242"/>
      <c r="H17" s="2243" t="s">
        <v>1938</v>
      </c>
      <c r="I17" s="2244" t="s">
        <v>1923</v>
      </c>
      <c r="J17" s="1391"/>
      <c r="K17" s="3090" t="s">
        <v>1939</v>
      </c>
      <c r="L17" s="3091"/>
      <c r="M17" s="3092"/>
      <c r="N17" s="3090" t="s">
        <v>1940</v>
      </c>
      <c r="O17" s="3091"/>
      <c r="P17" s="3092"/>
      <c r="R17" s="2222" t="s">
        <v>1941</v>
      </c>
      <c r="S17" s="64"/>
    </row>
    <row r="18" spans="1:19" ht="15">
      <c r="A18" s="2232"/>
      <c r="B18" s="2245"/>
      <c r="C18" s="2246"/>
      <c r="D18" s="2247"/>
      <c r="E18" s="2248" t="s">
        <v>1942</v>
      </c>
      <c r="F18" s="2249" t="s">
        <v>1943</v>
      </c>
      <c r="G18" s="2250" t="s">
        <v>1944</v>
      </c>
      <c r="H18" s="1261" t="s">
        <v>1945</v>
      </c>
      <c r="I18" s="2251" t="s">
        <v>1946</v>
      </c>
      <c r="J18" s="1391"/>
      <c r="K18" s="1261" t="s">
        <v>1947</v>
      </c>
      <c r="L18" s="2252" t="s">
        <v>1948</v>
      </c>
      <c r="M18" s="1045" t="s">
        <v>1949</v>
      </c>
      <c r="N18" s="1261" t="s">
        <v>1947</v>
      </c>
      <c r="O18" s="2252" t="s">
        <v>1948</v>
      </c>
      <c r="P18" s="1045" t="s">
        <v>1949</v>
      </c>
      <c r="R18" s="1246" t="s">
        <v>1950</v>
      </c>
      <c r="S18" s="1246" t="s">
        <v>1951</v>
      </c>
    </row>
    <row r="19" spans="1:19">
      <c r="A19" s="2253"/>
      <c r="B19" s="50" t="s">
        <v>1924</v>
      </c>
      <c r="C19" s="2254" t="str">
        <f>'数据-基础表'!C13</f>
        <v>办公</v>
      </c>
      <c r="D19" s="48">
        <f>ROUND($D$3*E19/$E$3,2)</f>
        <v>26726.04</v>
      </c>
      <c r="E19" s="56">
        <f t="shared" ref="E19:E26" si="1">SUM(F19:G19)</f>
        <v>22584.659999999996</v>
      </c>
      <c r="F19" s="57">
        <f>'数据-基础表'!I13</f>
        <v>18053.419999999998</v>
      </c>
      <c r="G19" s="58">
        <f>'数据-基础表'!K14+'数据-基础表'!M14</f>
        <v>4531.24</v>
      </c>
      <c r="H19" s="722">
        <f>ROUND($D$3*I19/$E$3,2)</f>
        <v>97.1</v>
      </c>
      <c r="I19" s="51">
        <f t="shared" ref="I19:I26" si="2">IF($I$17="自定义",P19,M19)</f>
        <v>82.05</v>
      </c>
      <c r="J19" s="1391"/>
      <c r="K19" s="1390">
        <f t="shared" ref="K19:K26" si="3">ROUND(E$28*E19/E$27,2)</f>
        <v>82.05</v>
      </c>
      <c r="L19" s="1246">
        <f t="shared" ref="L19:L26" si="4">ROUND(IF(COUNTIF(C19,"*住宅*")&gt;0,E$29*E19/E$32,0),2)</f>
        <v>0</v>
      </c>
      <c r="M19" s="1402">
        <f>K19+L19</f>
        <v>82.05</v>
      </c>
      <c r="N19" s="2255"/>
      <c r="O19" s="2256"/>
      <c r="P19" s="1402">
        <f>N19+O19</f>
        <v>0</v>
      </c>
      <c r="R19" s="1246">
        <f t="shared" ref="R19:S26" si="5">D19+H19</f>
        <v>26823.14</v>
      </c>
      <c r="S19" s="1247">
        <f t="shared" si="5"/>
        <v>22666.709999999995</v>
      </c>
    </row>
    <row r="20" spans="1:19">
      <c r="A20" s="2257"/>
      <c r="B20" s="50" t="s">
        <v>1952</v>
      </c>
      <c r="C20" s="2993"/>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1952</v>
      </c>
      <c r="C21" s="2254"/>
      <c r="D21" s="48">
        <f t="shared" si="6"/>
        <v>0</v>
      </c>
      <c r="E21" s="56">
        <f t="shared" si="1"/>
        <v>0</v>
      </c>
      <c r="F21" s="57"/>
      <c r="G21" s="58"/>
      <c r="H21" s="722">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1953</v>
      </c>
      <c r="D27" s="1392">
        <f>SUM(D19:D26)</f>
        <v>26726.04</v>
      </c>
      <c r="E27" s="1393">
        <f>IF(SUM(E19:E26)='数据-基础表'!BA5,SUM(E19:E26),IF(F27="地上面积有误","面积有误","地下面积有误"))</f>
        <v>22584.659999999996</v>
      </c>
      <c r="F27" s="1392">
        <f>IF(SUM(F19:F26)=E8,SUM(F19:F26),"地上面积有误")</f>
        <v>18053.419999999998</v>
      </c>
      <c r="G27" s="1394">
        <f>SUM(G19:G26)</f>
        <v>4531.24</v>
      </c>
      <c r="H27" s="1395">
        <f>SUM(H19:H26)</f>
        <v>97.1</v>
      </c>
      <c r="I27" s="1396">
        <f>SUM(I19:I26)</f>
        <v>82.05</v>
      </c>
      <c r="J27" s="1391"/>
      <c r="K27" s="1399">
        <f>SUM(K19:K26)</f>
        <v>82.05</v>
      </c>
      <c r="L27" s="1400">
        <f>SUM(L19:L26)</f>
        <v>0</v>
      </c>
      <c r="M27" s="1403">
        <f>SUM(M19:M26)</f>
        <v>82.05</v>
      </c>
      <c r="N27" s="1399">
        <f t="shared" ref="N27:O27" si="10">SUM(N19:N26)</f>
        <v>0</v>
      </c>
      <c r="O27" s="1400">
        <f t="shared" si="10"/>
        <v>0</v>
      </c>
      <c r="P27" s="1401">
        <f>SUM(P19:P26)</f>
        <v>0</v>
      </c>
      <c r="R27" s="1248">
        <f>IF(SUM(R19:R26)=$D$3,SUM(R19:R26),SUM(R19:R26)&amp;"误差"&amp;ROUND(SUM(R19:R26)-$D$3,2))</f>
        <v>26823.14</v>
      </c>
      <c r="S27" s="1246">
        <f>IF(SUM(S19:S26)=$E$3,SUM(S19:S26),SUM(S19:S26)&amp;"误差"&amp;ROUND(SUM(S19:S26)-E3,2))</f>
        <v>22666.709999999995</v>
      </c>
    </row>
    <row r="28" spans="1:19">
      <c r="A28" s="2257"/>
      <c r="B28" s="50" t="s">
        <v>1954</v>
      </c>
      <c r="C28" s="1258" t="s">
        <v>1955</v>
      </c>
      <c r="D28" s="48">
        <f>ROUND($D$3*E28/$E$3,2)</f>
        <v>97.1</v>
      </c>
      <c r="E28" s="56">
        <f>SUM(F28:G28)</f>
        <v>82.05</v>
      </c>
      <c r="F28" s="64">
        <f>'数据-基础表'!BQ5+'数据-基础表'!BS5</f>
        <v>0</v>
      </c>
      <c r="G28" s="65">
        <f>'数据-基础表'!BR5+'数据-基础表'!BT5</f>
        <v>82.05</v>
      </c>
      <c r="H28" s="1391"/>
      <c r="I28" s="1391"/>
      <c r="J28" s="1391"/>
      <c r="K28" s="1391"/>
      <c r="L28" s="1391"/>
      <c r="M28" s="1391"/>
      <c r="N28" s="1391"/>
      <c r="O28" s="1391"/>
      <c r="P28" s="1391"/>
    </row>
    <row r="29" spans="1:19">
      <c r="A29" s="2257"/>
      <c r="B29" s="50" t="s">
        <v>1954</v>
      </c>
      <c r="C29" s="2261"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1953</v>
      </c>
      <c r="D30" s="1392">
        <f>SUM(D28:D29)</f>
        <v>97.1</v>
      </c>
      <c r="E30" s="1392">
        <f>SUM(E28:E29)</f>
        <v>82.05</v>
      </c>
      <c r="F30" s="1392">
        <f>SUM(F28:F29)</f>
        <v>0</v>
      </c>
      <c r="G30" s="1394">
        <f>SUM(G28:G29)</f>
        <v>82.05</v>
      </c>
      <c r="H30" s="1391"/>
      <c r="I30" s="1391"/>
      <c r="J30" s="1391"/>
      <c r="K30" s="1391"/>
      <c r="L30" s="1391"/>
      <c r="M30" s="1391"/>
      <c r="N30" s="1391"/>
      <c r="O30" s="1391"/>
      <c r="P30" s="1391"/>
    </row>
    <row r="31" spans="1:19" ht="15.75" thickBot="1">
      <c r="A31" s="2263"/>
      <c r="B31" s="2264"/>
      <c r="C31" s="1006" t="s">
        <v>1957</v>
      </c>
      <c r="D31" s="728">
        <f>D27+D30</f>
        <v>26823.14</v>
      </c>
      <c r="E31" s="728">
        <f>E27+E30</f>
        <v>22666.709999999995</v>
      </c>
      <c r="F31" s="729">
        <f>F27+F30</f>
        <v>18053.419999999998</v>
      </c>
      <c r="G31" s="730">
        <f>G27+G30</f>
        <v>4613.29</v>
      </c>
      <c r="H31" s="1391"/>
      <c r="I31" s="1391"/>
      <c r="J31" s="1391"/>
      <c r="K31" s="1391"/>
      <c r="L31" s="1391"/>
      <c r="M31" s="1391"/>
      <c r="N31" s="1391"/>
      <c r="O31" s="1391"/>
      <c r="P31" s="1391"/>
    </row>
    <row r="32" spans="1:19">
      <c r="A32" s="2227"/>
      <c r="B32" s="2227" t="s">
        <v>1958</v>
      </c>
      <c r="C32" s="2227"/>
      <c r="D32" s="2227"/>
      <c r="E32" s="1273">
        <f>SUMIF(C19:C26,"*住宅*",E19:E26)</f>
        <v>0</v>
      </c>
      <c r="F32" s="2227"/>
      <c r="G32" s="2227"/>
      <c r="H32" s="1391"/>
      <c r="I32" s="1391"/>
      <c r="J32" s="1391"/>
      <c r="K32" s="1391"/>
      <c r="L32" s="1391"/>
      <c r="M32" s="1391"/>
      <c r="N32" s="1391"/>
      <c r="O32" s="1391"/>
      <c r="P32" s="1391"/>
    </row>
    <row r="33" spans="4:6">
      <c r="D33" s="2265"/>
    </row>
    <row r="35" spans="4:6">
      <c r="F35" s="2220">
        <f>6364.82+6378.05+5310.54</f>
        <v>18053.41</v>
      </c>
    </row>
    <row r="36" spans="4:6">
      <c r="F36" s="2220" t="s">
        <v>3179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X25" sqref="X2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1959</v>
      </c>
      <c r="B1" s="731"/>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1960</v>
      </c>
      <c r="B2" s="1265">
        <f>项目基本情况!D3</f>
        <v>43763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1961</v>
      </c>
      <c r="B4" s="2275"/>
      <c r="C4" s="2276"/>
      <c r="D4" s="2277"/>
      <c r="E4" s="2276" t="s">
        <v>1962</v>
      </c>
      <c r="F4" s="2276"/>
      <c r="G4" s="2276"/>
      <c r="H4" s="2276"/>
      <c r="I4" s="2276"/>
      <c r="J4" s="2278"/>
      <c r="K4" s="2279"/>
      <c r="L4" s="2280"/>
      <c r="M4" s="2276"/>
      <c r="N4" s="2276" t="s">
        <v>1963</v>
      </c>
      <c r="O4" s="2276"/>
      <c r="P4" s="2276"/>
      <c r="Q4" s="2276"/>
      <c r="R4" s="2276"/>
      <c r="S4" s="2278"/>
      <c r="T4" s="2281" t="str">
        <f>'数据-汇总表'!I17</f>
        <v>按面积比例</v>
      </c>
      <c r="U4" s="2275" t="s">
        <v>1964</v>
      </c>
      <c r="V4" s="2276"/>
      <c r="W4" s="2276"/>
      <c r="X4" s="2276"/>
      <c r="Y4" s="2278"/>
      <c r="Z4" s="2238" t="s">
        <v>1965</v>
      </c>
      <c r="AA4" s="2238"/>
      <c r="AB4" s="2238"/>
      <c r="AC4" s="2238"/>
      <c r="AD4" s="2238"/>
      <c r="AE4" s="2236" t="s">
        <v>1966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1967</v>
      </c>
      <c r="B5" s="2284" t="s">
        <v>1968</v>
      </c>
      <c r="C5" s="2285" t="s">
        <v>1969</v>
      </c>
      <c r="D5" s="2286" t="s">
        <v>1970</v>
      </c>
      <c r="E5" s="1267" t="s">
        <v>1971</v>
      </c>
      <c r="F5" s="2287" t="s">
        <v>1972</v>
      </c>
      <c r="G5" s="1267" t="s">
        <v>1973</v>
      </c>
      <c r="H5" s="1267" t="s">
        <v>1974</v>
      </c>
      <c r="I5" s="1267" t="s">
        <v>1975</v>
      </c>
      <c r="J5" s="2288" t="s">
        <v>1976</v>
      </c>
      <c r="K5" s="2289" t="s">
        <v>1977</v>
      </c>
      <c r="L5" s="2290" t="s">
        <v>1978</v>
      </c>
      <c r="M5" s="2291" t="s">
        <v>1979</v>
      </c>
      <c r="N5" s="2292" t="s">
        <v>3072</v>
      </c>
      <c r="O5" s="2290" t="s">
        <v>1980</v>
      </c>
      <c r="P5" s="2293" t="s">
        <v>1981</v>
      </c>
      <c r="Q5" s="69" t="s">
        <v>1982</v>
      </c>
      <c r="R5" s="2294" t="s">
        <v>1983</v>
      </c>
      <c r="S5" s="2295" t="s">
        <v>1984</v>
      </c>
      <c r="T5" s="2296" t="s">
        <v>1985</v>
      </c>
      <c r="U5" s="1266" t="s">
        <v>1986</v>
      </c>
      <c r="V5" s="1267" t="s">
        <v>1987</v>
      </c>
      <c r="W5" s="1267" t="s">
        <v>1988</v>
      </c>
      <c r="X5" s="71"/>
      <c r="Y5" s="70" t="s">
        <v>1989</v>
      </c>
      <c r="Z5" s="2297" t="s">
        <v>1986</v>
      </c>
      <c r="AA5" s="1267" t="s">
        <v>1987</v>
      </c>
      <c r="AB5" s="1267" t="s">
        <v>1988</v>
      </c>
      <c r="AC5" s="71"/>
      <c r="AD5" s="71" t="s">
        <v>1989</v>
      </c>
      <c r="AE5" s="1266" t="s">
        <v>1990</v>
      </c>
      <c r="AF5" s="1267" t="s">
        <v>1991</v>
      </c>
      <c r="AG5" s="70" t="s">
        <v>1992</v>
      </c>
      <c r="AH5" s="1266" t="s">
        <v>1993</v>
      </c>
      <c r="AI5" s="2297" t="s">
        <v>1994</v>
      </c>
      <c r="AJ5" s="2297" t="s">
        <v>1995</v>
      </c>
      <c r="AK5" s="1267" t="s">
        <v>1996</v>
      </c>
      <c r="AL5" s="1267" t="s">
        <v>1997</v>
      </c>
      <c r="AM5" s="70" t="s">
        <v>1998</v>
      </c>
      <c r="AN5" s="2298" t="s">
        <v>1999</v>
      </c>
      <c r="AO5" s="2069" t="s">
        <v>2000</v>
      </c>
      <c r="AP5" s="1248" t="s">
        <v>2001</v>
      </c>
      <c r="AQ5" s="2299" t="s">
        <v>2002</v>
      </c>
      <c r="AR5" s="2299" t="s">
        <v>2003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56897</v>
      </c>
      <c r="F6" s="72">
        <f>SUMIF(项目基本情况!D$12:I$12,C6,项目基本情况!D$15:I$15)</f>
        <v>35.979999999999997</v>
      </c>
      <c r="G6" s="73">
        <f ca="1">IF(ISERROR(ROUND(POWER(1+H6,D6-F6)*(POWER(1+H6,F6)-1)/(POWER(1+H6,D6)-1),3)),0,ROUND(POWER(1+H6,D6-F6)*(POWER(1+H6,F6)-1)/(POWER(1+H6,D6)-1),3))</f>
        <v>0.91100000000000003</v>
      </c>
      <c r="H6" s="801">
        <f ca="1">'基准地价修正-办公'!G20</f>
        <v>5.1999999999999998E-2</v>
      </c>
      <c r="I6" s="801">
        <v>5.5E-2</v>
      </c>
      <c r="J6" s="74">
        <v>8.5000000000000006E-2</v>
      </c>
      <c r="K6" s="1250">
        <f>SUMIF('数据-汇总表'!C$19:C$33,A6,'数据-汇总表'!E$19:E$33)</f>
        <v>22584.659999999996</v>
      </c>
      <c r="L6" s="802">
        <v>3000</v>
      </c>
      <c r="M6" s="75">
        <f t="shared" ref="M6:M14" si="0">ROUND(K6*L6/10000,0)</f>
        <v>6775</v>
      </c>
      <c r="N6" s="800">
        <f>N22</f>
        <v>0.83</v>
      </c>
      <c r="O6" s="75" t="str">
        <f>IF($N$5="成新度","——",ROUND(M6*N6,0))</f>
        <v>——</v>
      </c>
      <c r="P6" s="76" t="str">
        <f>IF($N$5="成新度","——",M6-O6)</f>
        <v>——</v>
      </c>
      <c r="Q6" s="803">
        <v>0.25</v>
      </c>
      <c r="R6" s="77">
        <f ca="1">SUMIF('数据-汇总表'!C$19:C$33,A6,'数据-汇总表'!R$19:R$27)</f>
        <v>26823.14</v>
      </c>
      <c r="S6" s="54">
        <f>IF('数据-汇总表'!$I$17="按面积比例",SUMIF('数据-汇总表'!C$19:C$33,A6,'数据-汇总表'!K$19:K$33),SUMIF('数据-汇总表'!C$19:C$33,A6,'数据-汇总表'!N$19:N$33))</f>
        <v>82.05</v>
      </c>
      <c r="T6" s="1442">
        <f>ROUND($L$14*S6/10000,0)</f>
        <v>25</v>
      </c>
      <c r="U6" s="3005">
        <f>租约!F29</f>
        <v>5.7042999999999999</v>
      </c>
      <c r="V6" s="79">
        <v>0</v>
      </c>
      <c r="W6" s="79">
        <v>0</v>
      </c>
      <c r="X6" s="1260"/>
      <c r="Y6" s="80">
        <f>N6</f>
        <v>0.83</v>
      </c>
      <c r="Z6" s="81">
        <f>ROUND('收益法-办公'!F49*(1+AA6)^AF6,2)</f>
        <v>6</v>
      </c>
      <c r="AA6" s="74">
        <f>'收益法-办公'!F70</f>
        <v>0.03</v>
      </c>
      <c r="AB6" s="74">
        <f>'收益法-办公'!F52</f>
        <v>0.1</v>
      </c>
      <c r="AC6" s="1260"/>
      <c r="AD6" s="3006">
        <v>0.77</v>
      </c>
      <c r="AE6" s="1261">
        <f ca="1">IF(AN6="",0,SUMIF(INDIRECT("'"&amp;AN6&amp;"'"&amp;"!E:E"),$AE$5,INDIRECT("'"&amp;AN6&amp;"'"&amp;"!F:F")))</f>
        <v>35.979999999999997</v>
      </c>
      <c r="AF6" s="1803">
        <v>1.72</v>
      </c>
      <c r="AG6" s="147">
        <f ca="1">IF(AF6="",0,AE6-AF6)</f>
        <v>34.26</v>
      </c>
      <c r="AH6" s="83"/>
      <c r="AI6" s="85">
        <v>365</v>
      </c>
      <c r="AJ6" s="86"/>
      <c r="AK6" s="87">
        <v>1.4999999999999999E-2</v>
      </c>
      <c r="AL6" s="88">
        <v>1.5E-3</v>
      </c>
      <c r="AM6" s="89">
        <v>0.01</v>
      </c>
      <c r="AN6" s="2303" t="s">
        <v>3073</v>
      </c>
      <c r="AO6" s="55">
        <f ca="1">SUMIF(INDIRECT("'"&amp;AN6&amp;"'"&amp;"!A:A"),"总价",INDIRECT("'"&amp;AN6&amp;"'"&amp;"!B:B"))</f>
        <v>76993</v>
      </c>
      <c r="AP6" s="2304">
        <f>IF(C6="住宅",K6*L6,0)</f>
        <v>0</v>
      </c>
      <c r="AQ6" s="55">
        <f>ROUND($L$14*$N$14*S6/10000,0)</f>
        <v>20</v>
      </c>
      <c r="AR6" s="55">
        <f>ROUND($L$14*(1-$N$14)*S6/10000,0)</f>
        <v>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2004</v>
      </c>
      <c r="B14" s="2301" t="s">
        <v>2005</v>
      </c>
      <c r="C14" s="2306" t="s">
        <v>2004</v>
      </c>
      <c r="D14" s="1050"/>
      <c r="E14" s="1047"/>
      <c r="F14" s="72"/>
      <c r="G14" s="73"/>
      <c r="H14" s="1249"/>
      <c r="I14" s="1249"/>
      <c r="J14" s="1249"/>
      <c r="K14" s="1250">
        <f>SUMIF('数据-汇总表'!C$19:C$33,A14,'数据-汇总表'!E$19:E$33)</f>
        <v>82.05</v>
      </c>
      <c r="L14" s="91">
        <v>3000</v>
      </c>
      <c r="M14" s="75">
        <f t="shared" si="0"/>
        <v>25</v>
      </c>
      <c r="N14" s="92">
        <f>N6</f>
        <v>0.83</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2006</v>
      </c>
      <c r="B15" s="2301" t="s">
        <v>2005</v>
      </c>
      <c r="C15" s="2306"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2008</v>
      </c>
      <c r="B16" s="97"/>
      <c r="C16" s="1004"/>
      <c r="D16" s="2308"/>
      <c r="E16" s="97"/>
      <c r="F16" s="97"/>
      <c r="G16" s="98">
        <f ca="1">ROUND(SUMPRODUCT(G6:G13,K6:K13)/SUMPRODUCT((G6:G13&gt;0)*(K6:K13)),3)</f>
        <v>0.91100000000000003</v>
      </c>
      <c r="H16" s="99">
        <f ca="1">ROUND(SUMPRODUCT(H6:H13,K6:K13)/SUMPRODUCT((H6:H13&gt;0)*(K6:K13)),3)</f>
        <v>5.1999999999999998E-2</v>
      </c>
      <c r="I16" s="100"/>
      <c r="J16" s="100"/>
      <c r="K16" s="101">
        <f>SUM(K6:K15)</f>
        <v>22666.709999999995</v>
      </c>
      <c r="L16" s="102">
        <f>ROUND(M16*10000/SUM(K6:K14),0)</f>
        <v>3000</v>
      </c>
      <c r="M16" s="102">
        <f>SUM(M6:M14)</f>
        <v>6800</v>
      </c>
      <c r="N16" s="103">
        <f>ROUND(SUMPRODUCT(M6:M14,N6:N14)/M16,3)</f>
        <v>0.83</v>
      </c>
      <c r="O16" s="102">
        <f>SUM(O6:O14)</f>
        <v>0</v>
      </c>
      <c r="P16" s="102">
        <f>SUM(P6:P14)</f>
        <v>0</v>
      </c>
      <c r="Q16" s="104">
        <f>ROUND(SUMPRODUCT(Q6:Q13,K6:K13)/SUMPRODUCT((Q6:Q13&gt;0)*(K6:K13)),2)</f>
        <v>0.25</v>
      </c>
      <c r="R16" s="1254">
        <f ca="1">SUM(R6:R13)</f>
        <v>26823.14</v>
      </c>
      <c r="S16" s="105">
        <f>SUM(S6:S13)</f>
        <v>82.05</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2010</v>
      </c>
      <c r="B19" s="112">
        <v>0</v>
      </c>
      <c r="C19" s="2271" t="s">
        <v>2011</v>
      </c>
      <c r="D19" s="2272"/>
      <c r="E19" s="2271"/>
      <c r="F19" s="2271"/>
      <c r="G19" s="2271"/>
      <c r="H19" s="2271"/>
      <c r="I19" s="2271"/>
      <c r="J19" s="2271"/>
      <c r="K19" s="168"/>
      <c r="L19" s="168"/>
      <c r="M19" s="1580"/>
      <c r="N19" s="1580">
        <v>2007</v>
      </c>
      <c r="O19" s="1580"/>
      <c r="P19" s="1580"/>
      <c r="Q19" s="1580"/>
      <c r="R19" s="1580"/>
      <c r="S19" s="1580"/>
      <c r="T19" s="1580"/>
      <c r="U19" s="1580"/>
      <c r="V19" s="1580">
        <f>2019-2007</f>
        <v>12</v>
      </c>
      <c r="W19" s="1580">
        <f>48/60</f>
        <v>0.8</v>
      </c>
      <c r="X19" s="1580"/>
      <c r="Y19" s="1580"/>
      <c r="Z19" s="1580"/>
      <c r="AA19" s="1580"/>
      <c r="AB19" s="1580"/>
      <c r="AC19" s="1580"/>
      <c r="AD19" s="1580"/>
      <c r="AE19" s="1580"/>
      <c r="AF19" s="1580"/>
      <c r="AG19" s="1580"/>
      <c r="AH19" s="1580"/>
      <c r="AI19" s="1580"/>
      <c r="AJ19" s="1580"/>
      <c r="AK19" s="1580"/>
      <c r="AL19" s="1580"/>
      <c r="AM19" s="1580"/>
    </row>
    <row r="20" spans="1:67" ht="14.25">
      <c r="A20" s="2311" t="s">
        <v>2012</v>
      </c>
      <c r="B20" s="113">
        <v>2</v>
      </c>
      <c r="C20" s="2271" t="s">
        <v>2013</v>
      </c>
      <c r="D20" s="2272"/>
      <c r="E20" s="2271"/>
      <c r="F20" s="2271"/>
      <c r="G20" s="2271"/>
      <c r="H20" s="2271"/>
      <c r="I20" s="2271"/>
      <c r="J20" s="2271"/>
      <c r="K20" s="168"/>
      <c r="L20" s="168"/>
      <c r="M20" s="1580"/>
      <c r="N20" s="1580">
        <f>ROUND(1-(2019-2007)/60,2)</f>
        <v>0.8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2014</v>
      </c>
      <c r="B21" s="113">
        <v>2</v>
      </c>
      <c r="C21" s="2271"/>
      <c r="D21" s="2272"/>
      <c r="E21" s="2271"/>
      <c r="F21" s="2271"/>
      <c r="G21" s="2271"/>
      <c r="H21" s="2271"/>
      <c r="I21" s="2271"/>
      <c r="J21" s="2271"/>
      <c r="K21" s="168"/>
      <c r="L21" s="168"/>
      <c r="M21" s="1580"/>
      <c r="N21" s="1580">
        <v>0.85</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2015</v>
      </c>
      <c r="B22" s="114">
        <f>B19+B20</f>
        <v>2</v>
      </c>
      <c r="C22" s="2271"/>
      <c r="D22" s="2272"/>
      <c r="E22" s="2271"/>
      <c r="F22" s="2271"/>
      <c r="G22" s="2271"/>
      <c r="H22" s="2271"/>
      <c r="I22" s="2271"/>
      <c r="J22" s="2271"/>
      <c r="K22" s="168"/>
      <c r="L22" s="168"/>
      <c r="M22" s="1580"/>
      <c r="N22" s="1580">
        <f>ROUND((N20+N21)/2,2)</f>
        <v>0.83</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2016</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2017</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2018</v>
      </c>
      <c r="B26" s="2314" t="s">
        <v>2019</v>
      </c>
      <c r="C26" s="2315" t="s">
        <v>2020</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2021</v>
      </c>
      <c r="B27" s="116">
        <v>160</v>
      </c>
      <c r="C27" s="1763" t="s">
        <v>2022</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2023</v>
      </c>
      <c r="B28" s="119">
        <v>200</v>
      </c>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2024</v>
      </c>
      <c r="B29" s="121">
        <f ca="1">成本法!C10</f>
        <v>453</v>
      </c>
      <c r="C29" s="1763" t="s">
        <v>2025</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2026</v>
      </c>
      <c r="B30" s="723">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2027</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2028</v>
      </c>
      <c r="B32" s="724">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2029</v>
      </c>
      <c r="B33" s="725">
        <v>0.03</v>
      </c>
      <c r="C33" s="1762" t="s">
        <v>2030</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2031</v>
      </c>
      <c r="B34" s="122">
        <v>0</v>
      </c>
      <c r="C34" s="1762" t="s">
        <v>2032</v>
      </c>
      <c r="D34" s="2272" t="s">
        <v>2033</v>
      </c>
      <c r="E34" s="731"/>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2034</v>
      </c>
      <c r="B35" s="119">
        <v>200</v>
      </c>
      <c r="C35" s="1762" t="s">
        <v>2035</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2036</v>
      </c>
      <c r="B36" s="123">
        <v>1.4999999999999999E-2</v>
      </c>
      <c r="C36" s="1762" t="s">
        <v>2037</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2038</v>
      </c>
      <c r="B37" s="124">
        <v>0.03</v>
      </c>
      <c r="C37" s="1762" t="s">
        <v>2039</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2040</v>
      </c>
      <c r="B38" s="122">
        <v>0.03</v>
      </c>
      <c r="C38" s="1762" t="s">
        <v>2039</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2041</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2042</v>
      </c>
      <c r="B40" s="1299">
        <f ca="1">存贷款利率!G1</f>
        <v>4.7500000000000001E-2</v>
      </c>
      <c r="C40" s="1762" t="s">
        <v>2043</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2044</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2045</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2046</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2047</v>
      </c>
      <c r="B44" s="128">
        <v>7.0000000000000007E-2</v>
      </c>
      <c r="C44" s="1762" t="s">
        <v>2048</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2049</v>
      </c>
      <c r="B45" s="126">
        <v>0.03</v>
      </c>
      <c r="C45" s="1763" t="s">
        <v>2050</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2051</v>
      </c>
      <c r="B46" s="3010">
        <v>0.02</v>
      </c>
      <c r="C46" s="1763" t="s">
        <v>2052</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2053</v>
      </c>
      <c r="B47" s="129">
        <v>0</v>
      </c>
      <c r="C47" s="1763" t="s">
        <v>2054</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2055</v>
      </c>
      <c r="B48" s="130">
        <v>0.03</v>
      </c>
      <c r="C48" s="1770" t="s">
        <v>2056</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2057</v>
      </c>
      <c r="B49" s="126">
        <v>5.0000000000000001E-4</v>
      </c>
      <c r="C49" s="1770" t="s">
        <v>2058</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2059</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2060</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2061</v>
      </c>
      <c r="B52" s="133">
        <f>SUMIF(A54:A63,B53,B54:B63)</f>
        <v>3</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2062</v>
      </c>
      <c r="B53" s="2330" t="s">
        <v>523</v>
      </c>
      <c r="C53" s="1426" t="s">
        <v>2063</v>
      </c>
      <c r="D53" s="2331" t="s">
        <v>2064</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2065</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2066</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2067</v>
      </c>
      <c r="B56" s="84"/>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2068</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2069</v>
      </c>
      <c r="B58" s="84">
        <v>3</v>
      </c>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2070</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2071</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2072</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2073</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2074</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2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05" t="s">
        <v>2075</v>
      </c>
      <c r="B1" s="3106"/>
      <c r="C1" s="3106"/>
      <c r="D1" s="3106"/>
      <c r="E1" s="3106"/>
      <c r="F1" s="3106"/>
      <c r="G1" s="310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2076</v>
      </c>
      <c r="D2" s="2360"/>
      <c r="E2" s="2361"/>
      <c r="F2" s="2280"/>
      <c r="G2" s="2359" t="s">
        <v>2077</v>
      </c>
      <c r="H2" s="2362"/>
      <c r="I2" s="2362"/>
      <c r="J2" s="2362"/>
      <c r="K2" s="2362"/>
      <c r="L2" s="2362"/>
      <c r="M2" s="2362"/>
      <c r="N2" s="2362"/>
      <c r="O2" s="2362"/>
      <c r="P2" s="2362"/>
      <c r="Q2" s="2362"/>
      <c r="R2" s="2362"/>
    </row>
    <row r="3" spans="1:29" ht="42.75">
      <c r="A3" s="415" t="s">
        <v>2078</v>
      </c>
      <c r="B3" s="1267" t="s">
        <v>2079</v>
      </c>
      <c r="C3" s="2364"/>
      <c r="D3" s="2365"/>
      <c r="E3" s="431" t="s">
        <v>2078</v>
      </c>
      <c r="F3" s="2366" t="s">
        <v>2080</v>
      </c>
      <c r="G3" s="2367" t="s">
        <v>2081</v>
      </c>
      <c r="H3" s="2362"/>
      <c r="I3" s="2362"/>
      <c r="J3" s="2362"/>
      <c r="K3" s="2362"/>
      <c r="L3" s="2362"/>
      <c r="M3" s="2362"/>
      <c r="N3" s="2362"/>
      <c r="O3" s="2362"/>
      <c r="P3" s="2362"/>
      <c r="Q3" s="2362"/>
      <c r="R3" s="2362"/>
    </row>
    <row r="4" spans="1:29" ht="40.5">
      <c r="A4" s="431"/>
      <c r="B4" s="1794" t="s">
        <v>2082</v>
      </c>
      <c r="C4" s="2368"/>
      <c r="D4" s="2365"/>
      <c r="E4" s="2369"/>
      <c r="F4" s="42" t="s">
        <v>2083</v>
      </c>
      <c r="G4" s="2370" t="s">
        <v>2084</v>
      </c>
      <c r="H4" s="2362"/>
      <c r="I4" s="2362"/>
      <c r="J4" s="2362"/>
      <c r="K4" s="2362"/>
      <c r="L4" s="2362"/>
      <c r="M4" s="2362"/>
      <c r="N4" s="2362"/>
      <c r="O4" s="2362"/>
      <c r="P4" s="2362"/>
      <c r="Q4" s="2362"/>
      <c r="R4" s="2362"/>
    </row>
    <row r="5" spans="1:29" ht="27">
      <c r="A5" s="431"/>
      <c r="B5" s="1794" t="s">
        <v>2085</v>
      </c>
      <c r="C5" s="2985" t="s">
        <v>3082</v>
      </c>
      <c r="D5" s="2365"/>
      <c r="E5" s="2369"/>
      <c r="F5" s="1794" t="s">
        <v>2086</v>
      </c>
      <c r="G5" s="2370" t="s">
        <v>2087</v>
      </c>
      <c r="H5" s="2362"/>
      <c r="I5" s="2362"/>
      <c r="J5" s="2362"/>
      <c r="K5" s="2362"/>
      <c r="L5" s="2362"/>
      <c r="M5" s="2362"/>
      <c r="N5" s="2362"/>
      <c r="O5" s="2362"/>
      <c r="P5" s="2362"/>
      <c r="Q5" s="2362"/>
      <c r="R5" s="2362"/>
    </row>
    <row r="6" spans="1:29" ht="15">
      <c r="A6" s="431"/>
      <c r="B6" s="1794" t="s">
        <v>2088</v>
      </c>
      <c r="C6" s="2984" t="s">
        <v>3081</v>
      </c>
      <c r="D6" s="2365"/>
      <c r="E6" s="2369"/>
      <c r="F6" s="1794" t="s">
        <v>2089</v>
      </c>
      <c r="G6" s="2370" t="s">
        <v>2090</v>
      </c>
      <c r="H6" s="2362"/>
      <c r="I6" s="2362"/>
      <c r="J6" s="2362"/>
      <c r="K6" s="2362"/>
      <c r="L6" s="2362"/>
      <c r="M6" s="2362"/>
      <c r="N6" s="2362"/>
      <c r="O6" s="2362"/>
      <c r="P6" s="2362"/>
      <c r="Q6" s="2362"/>
      <c r="R6" s="2362"/>
    </row>
    <row r="7" spans="1:29" ht="41.25" thickBot="1">
      <c r="A7" s="431"/>
      <c r="B7" s="1794" t="s">
        <v>2086</v>
      </c>
      <c r="C7" s="2984" t="s">
        <v>3085</v>
      </c>
      <c r="D7" s="2371"/>
      <c r="E7" s="2372"/>
      <c r="F7" s="2373" t="s">
        <v>2091</v>
      </c>
      <c r="G7" s="2374" t="s">
        <v>2092</v>
      </c>
      <c r="H7" s="2362"/>
      <c r="I7" s="2362"/>
      <c r="J7" s="2362"/>
      <c r="K7" s="2362"/>
      <c r="L7" s="2362"/>
      <c r="M7" s="2362"/>
      <c r="N7" s="2362"/>
      <c r="O7" s="2362"/>
      <c r="P7" s="2362"/>
      <c r="Q7" s="2362"/>
      <c r="R7" s="2362"/>
    </row>
    <row r="8" spans="1:29" ht="15">
      <c r="A8" s="431"/>
      <c r="B8" s="1794" t="s">
        <v>2089</v>
      </c>
      <c r="C8" s="2984" t="s">
        <v>3084</v>
      </c>
      <c r="D8" s="2371"/>
      <c r="E8" s="2371"/>
      <c r="F8" s="1132"/>
      <c r="G8" s="1132"/>
      <c r="H8" s="2362"/>
      <c r="I8" s="2362"/>
      <c r="J8" s="2362"/>
      <c r="K8" s="2362"/>
      <c r="L8" s="2362"/>
      <c r="M8" s="2362"/>
      <c r="N8" s="2362"/>
      <c r="O8" s="2362"/>
      <c r="P8" s="2362"/>
      <c r="Q8" s="2362"/>
      <c r="R8" s="2362"/>
    </row>
    <row r="9" spans="1:29" ht="15">
      <c r="A9" s="431"/>
      <c r="B9" s="1794" t="s">
        <v>2093</v>
      </c>
      <c r="C9" s="2985" t="s">
        <v>3081</v>
      </c>
      <c r="D9" s="2365"/>
      <c r="E9" s="2371"/>
      <c r="F9" s="1132"/>
      <c r="G9" s="1132"/>
      <c r="H9" s="2362"/>
      <c r="I9" s="2362"/>
      <c r="J9" s="2362"/>
      <c r="K9" s="2362"/>
      <c r="L9" s="2362"/>
      <c r="M9" s="2362"/>
      <c r="N9" s="2362"/>
      <c r="O9" s="2362"/>
      <c r="P9" s="2362"/>
      <c r="Q9" s="2362"/>
      <c r="R9" s="2362"/>
    </row>
    <row r="10" spans="1:29" s="117" customFormat="1" ht="15.75" thickBot="1">
      <c r="A10" s="2375"/>
      <c r="B10" s="2376" t="s">
        <v>2094</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2095</v>
      </c>
      <c r="B13" s="2382"/>
      <c r="C13" s="2382"/>
      <c r="D13" s="2389"/>
      <c r="E13" s="2382"/>
      <c r="F13" s="2382"/>
      <c r="G13" s="2382"/>
    </row>
    <row r="14" spans="1:29" ht="15.75" thickBot="1">
      <c r="A14" s="2393"/>
      <c r="B14" s="2394"/>
      <c r="C14" s="2395" t="s">
        <v>2096</v>
      </c>
      <c r="D14" s="2365"/>
      <c r="E14" s="2396"/>
      <c r="F14" s="2396"/>
      <c r="G14" s="2359" t="s">
        <v>2097</v>
      </c>
    </row>
    <row r="15" spans="1:29" ht="42.75">
      <c r="A15" s="68" t="s">
        <v>2098</v>
      </c>
      <c r="B15" s="1266" t="s">
        <v>2079</v>
      </c>
      <c r="C15" s="2397">
        <f>C3</f>
        <v>0</v>
      </c>
      <c r="D15" s="2365"/>
      <c r="E15" s="2398" t="s">
        <v>2099</v>
      </c>
      <c r="F15" s="1266" t="s">
        <v>2100</v>
      </c>
      <c r="G15" s="135" t="str">
        <f>G3</f>
        <v>估价对象位于XX开发区，园区建设成熟度XX，产业集聚程度XX</v>
      </c>
    </row>
    <row r="16" spans="1:29" ht="42.75">
      <c r="A16" s="645"/>
      <c r="B16" s="2399" t="s">
        <v>2082</v>
      </c>
      <c r="C16" s="2400">
        <f>C4</f>
        <v>0</v>
      </c>
      <c r="D16" s="2365"/>
      <c r="E16" s="2401"/>
      <c r="F16" s="2402" t="s">
        <v>2083</v>
      </c>
      <c r="G16" s="136" t="str">
        <f>G4</f>
        <v>估价对象周边道路状况、公共交通通达情况、停车便捷程度，综合评价交通便捷度较好</v>
      </c>
    </row>
    <row r="17" spans="1:18" ht="15">
      <c r="A17" s="645"/>
      <c r="B17" s="2399" t="s">
        <v>2085</v>
      </c>
      <c r="C17" s="2400" t="str">
        <f>C5</f>
        <v>较好</v>
      </c>
      <c r="D17" s="2371"/>
      <c r="E17" s="2401"/>
      <c r="F17" s="2402" t="s">
        <v>2101</v>
      </c>
      <c r="G17" s="1568"/>
    </row>
    <row r="18" spans="1:18" ht="42.75">
      <c r="A18" s="645"/>
      <c r="B18" s="2402" t="s">
        <v>2088</v>
      </c>
      <c r="C18" s="136" t="str">
        <f>C6</f>
        <v>较好</v>
      </c>
      <c r="D18" s="2371"/>
      <c r="E18" s="2401"/>
      <c r="F18" s="2402" t="s">
        <v>2091</v>
      </c>
      <c r="G18" s="136" t="str">
        <f>G7</f>
        <v>该园区内是否有污染型企业，绿化情况，卫生条件，整体环境状况判断</v>
      </c>
    </row>
    <row r="19" spans="1:18" ht="28.5">
      <c r="A19" s="645"/>
      <c r="B19" s="2402" t="s">
        <v>2102</v>
      </c>
      <c r="C19" s="1568"/>
      <c r="D19" s="2365"/>
      <c r="E19" s="2401"/>
      <c r="F19" s="1794" t="s">
        <v>2086</v>
      </c>
      <c r="G19" s="136" t="str">
        <f>G5</f>
        <v>估价对象所在区域公共配套设施齐备情况</v>
      </c>
    </row>
    <row r="20" spans="1:18" ht="15">
      <c r="A20" s="645"/>
      <c r="B20" s="2402" t="s">
        <v>2103</v>
      </c>
      <c r="C20" s="2400" t="str">
        <f>C9</f>
        <v>较好</v>
      </c>
      <c r="D20" s="2371"/>
      <c r="E20" s="2401"/>
      <c r="F20" s="1794" t="s">
        <v>2104</v>
      </c>
      <c r="G20" s="136" t="str">
        <f>G6</f>
        <v>估价对象所在区域基础设施水平</v>
      </c>
    </row>
    <row r="21" spans="1:18" ht="15">
      <c r="A21" s="645"/>
      <c r="B21" s="1794" t="s">
        <v>2086</v>
      </c>
      <c r="C21" s="136" t="str">
        <f>C7</f>
        <v>较好</v>
      </c>
      <c r="D21" s="2365"/>
      <c r="E21" s="2401"/>
      <c r="F21" s="2402" t="s">
        <v>2105</v>
      </c>
      <c r="G21" s="2403"/>
    </row>
    <row r="22" spans="1:18" ht="13.5" customHeight="1">
      <c r="A22" s="645"/>
      <c r="B22" s="1794" t="s">
        <v>2089</v>
      </c>
      <c r="C22" s="136" t="str">
        <f>C8</f>
        <v>七通</v>
      </c>
      <c r="D22" s="2365"/>
      <c r="E22" s="2401"/>
      <c r="F22" s="2402" t="s">
        <v>2094</v>
      </c>
      <c r="G22" s="1568"/>
    </row>
    <row r="23" spans="1:18" s="2362"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2" customFormat="1" ht="15.7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3" sqref="C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22666.709999999995</v>
      </c>
      <c r="C1" s="1741"/>
      <c r="D1" s="1741"/>
      <c r="E1" s="1741"/>
      <c r="F1" s="1741"/>
      <c r="G1" s="1739"/>
    </row>
    <row r="2" spans="1:10" ht="16.5">
      <c r="A2" s="1742" t="s">
        <v>1349</v>
      </c>
      <c r="B2" s="1742">
        <f>SUM(C14:C23)</f>
        <v>26823.14</v>
      </c>
      <c r="C2" s="1741"/>
      <c r="D2" s="1741"/>
      <c r="E2" s="1741"/>
      <c r="F2" s="1741"/>
      <c r="G2" s="1739"/>
    </row>
    <row r="3" spans="1:10" ht="16.5">
      <c r="A3" s="1742" t="s">
        <v>1358</v>
      </c>
      <c r="B3" s="1743">
        <f>项目基本情况!D3</f>
        <v>43763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90378</v>
      </c>
      <c r="C5" s="1742">
        <f ca="1">ROUND(B5*10000/$B$1,0)</f>
        <v>39873</v>
      </c>
      <c r="D5" s="1742">
        <f ca="1">ROUND(B5*10000/$B$2,0)</f>
        <v>33694</v>
      </c>
      <c r="E5" s="1741"/>
      <c r="F5" s="1739"/>
      <c r="G5" s="1739"/>
    </row>
    <row r="6" spans="1:10" ht="16.5">
      <c r="A6" s="1742" t="s">
        <v>1352</v>
      </c>
      <c r="B6" s="1742">
        <f ca="1">SUM(G14:G23)</f>
        <v>90378</v>
      </c>
      <c r="C6" s="1742">
        <f ca="1">ROUND(B6*10000/$B$1,0)</f>
        <v>39873</v>
      </c>
      <c r="D6" s="1742">
        <f ca="1">ROUND(B6*10000/$B$2,0)</f>
        <v>33694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22666.709999999995</v>
      </c>
      <c r="C14" s="1740">
        <f>结果表!C118</f>
        <v>26823.14</v>
      </c>
      <c r="D14" s="1740">
        <f ca="1">结果表!H118</f>
        <v>90378</v>
      </c>
      <c r="E14" s="1740">
        <f ca="1">ROUND(D14*10000/B14,0)</f>
        <v>39873</v>
      </c>
      <c r="F14" s="1740">
        <f ca="1">ROUND(D14*10000/C14,0)</f>
        <v>33694</v>
      </c>
      <c r="G14" s="1740">
        <f ca="1">结果表!D122</f>
        <v>90378</v>
      </c>
      <c r="H14" s="1740" t="str">
        <f>结果表!D124</f>
        <v>——</v>
      </c>
      <c r="I14" s="1740" t="str">
        <f>结果表!D126</f>
        <v>——</v>
      </c>
      <c r="J14" s="1739"/>
    </row>
    <row r="15" spans="1:10" ht="16.5">
      <c r="A15" s="1738" t="s">
        <v>1345</v>
      </c>
      <c r="B15" s="2992"/>
      <c r="C15" s="2992"/>
      <c r="D15" s="2992"/>
      <c r="E15" s="1740" t="e">
        <f t="shared" ref="E15:E23" si="0">ROUND(D15*10000/B15,0)</f>
        <v>#DIV/0!</v>
      </c>
      <c r="F15" s="1740" t="e">
        <f t="shared" ref="F15:F23" si="1">ROUND(D15*10000/C15,0)</f>
        <v>#DIV/0!</v>
      </c>
      <c r="G15" s="2992"/>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10621</v>
      </c>
      <c r="C2" s="243" t="s">
        <v>2319</v>
      </c>
      <c r="D2" s="2544" t="s">
        <v>70</v>
      </c>
      <c r="E2" s="1439"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4686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4533342</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4533342</v>
      </c>
      <c r="D8" s="266"/>
      <c r="E8" s="264"/>
      <c r="F8" s="265"/>
      <c r="G8" s="254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4533342</v>
      </c>
      <c r="D10" s="1031">
        <f ca="1">IF(B1="",'数据-汇总表'!E6,IF(INDIRECT("'数据-取费表'!c"&amp;$G$1)="住宅",INDIRECT("'数据-取费表'!s"&amp;$G$1),INDIRECT("'数据-取费表'!k"&amp;$G$1)+INDIRECT("'数据-取费表'!s"&amp;$G$1)))</f>
        <v>22666.709999999995</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4533342</v>
      </c>
      <c r="D19" s="1035">
        <f ca="1">D9+D10</f>
        <v>22666.709999999995</v>
      </c>
      <c r="E19" s="255">
        <f>'数据-取费表'!B31</f>
        <v>200</v>
      </c>
      <c r="F19" s="275"/>
      <c r="G19" s="2547"/>
    </row>
    <row r="20" spans="1:7" s="258" customFormat="1" ht="13.5" customHeight="1">
      <c r="A20" s="299" t="s">
        <v>2430</v>
      </c>
      <c r="B20" s="254" t="s">
        <v>2431</v>
      </c>
      <c r="C20" s="276">
        <f ca="1">ROUND((C5+C19)*F20,0)</f>
        <v>272001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894712</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440896</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440896</v>
      </c>
      <c r="D24" s="282"/>
      <c r="E24" s="282"/>
      <c r="F24" s="283"/>
      <c r="G24" s="284" t="s">
        <v>2442</v>
      </c>
    </row>
    <row r="25" spans="1:7" s="258" customFormat="1" ht="24">
      <c r="A25" s="950" t="s">
        <v>2332</v>
      </c>
      <c r="B25" s="259" t="s">
        <v>2443</v>
      </c>
      <c r="C25" s="1380">
        <f ca="1">ROUND(IF('数据-取费表'!B22&lt;=1,C20*F22*'数据-取费表'!B22/2,C20*(POWER((1+F22),'数据-取费表'!B22/2)-1)),0)</f>
        <v>12920</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2334671</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ROUND((C5+C19+C20)*F27,0)</f>
        <v>2334671</v>
      </c>
      <c r="D28" s="279"/>
      <c r="E28" s="280"/>
      <c r="F28" s="290"/>
      <c r="G28" s="291"/>
    </row>
    <row r="29" spans="1:7" s="258" customFormat="1" ht="13.5" customHeight="1">
      <c r="A29" s="950" t="s">
        <v>792</v>
      </c>
      <c r="B29" s="292" t="s">
        <v>2373</v>
      </c>
      <c r="C29" s="282">
        <f ca="1">ROUND(C21*F27,4)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13844534</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75593478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68000130</v>
      </c>
      <c r="D34" s="261"/>
      <c r="E34" s="264"/>
      <c r="F34" s="301"/>
      <c r="G34" s="263"/>
    </row>
    <row r="35" spans="1:7" ht="13.5" customHeight="1">
      <c r="A35" s="950" t="s">
        <v>796</v>
      </c>
      <c r="B35" s="259" t="s">
        <v>2383</v>
      </c>
      <c r="C35" s="264">
        <f ca="1">ROUND(C34*F35,0)</f>
        <v>2040004</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4533342</v>
      </c>
      <c r="D37" s="261">
        <f ca="1">D19</f>
        <v>22666.709999999995</v>
      </c>
      <c r="E37" s="293">
        <f>'数据-取费表'!B35</f>
        <v>200</v>
      </c>
      <c r="F37" s="303"/>
      <c r="G37" s="305"/>
    </row>
    <row r="38" spans="1:7" ht="13.5" customHeight="1">
      <c r="A38" s="950" t="s">
        <v>799</v>
      </c>
      <c r="B38" s="259" t="s">
        <v>2389</v>
      </c>
      <c r="C38" s="264">
        <f ca="1">ROUND(C34*F38,0)</f>
        <v>1020002</v>
      </c>
      <c r="D38" s="264"/>
      <c r="E38" s="264"/>
      <c r="F38" s="303">
        <f>'数据-取费表'!B36</f>
        <v>1.4999999999999999E-2</v>
      </c>
      <c r="G38" s="263" t="s">
        <v>2384</v>
      </c>
    </row>
    <row r="39" spans="1:7" s="258" customFormat="1" ht="13.5" customHeight="1">
      <c r="A39" s="299" t="s">
        <v>2390</v>
      </c>
      <c r="B39" s="254" t="s">
        <v>2391</v>
      </c>
      <c r="C39" s="276">
        <f ca="1">ROUND(C33*F20,0)</f>
        <v>2267804</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3698411</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3590690</v>
      </c>
      <c r="D42" s="282"/>
      <c r="E42" s="282"/>
      <c r="F42" s="283"/>
      <c r="G42" s="3107" t="s">
        <v>2447</v>
      </c>
    </row>
    <row r="43" spans="1:7" ht="13.5" customHeight="1">
      <c r="A43" s="950" t="s">
        <v>792</v>
      </c>
      <c r="B43" s="259" t="s">
        <v>2401</v>
      </c>
      <c r="C43" s="282">
        <f ca="1">ROUND(IF('数据-取费表'!B22&lt;=1,C39*F22*'数据-取费表'!B20/2,C39*(POWER((1+F22),'数据-取费表'!B20/2)-1)),0)</f>
        <v>107721</v>
      </c>
      <c r="D43" s="282"/>
      <c r="E43" s="282"/>
      <c r="F43" s="283"/>
      <c r="G43" s="3108"/>
    </row>
    <row r="44" spans="1:7" ht="13.5" customHeight="1">
      <c r="A44" s="950" t="s">
        <v>793</v>
      </c>
      <c r="B44" s="259" t="s">
        <v>2402</v>
      </c>
      <c r="C44" s="282">
        <f ca="1">ROUND(IF('数据-取费表'!B22&lt;=1,C40*F22*'数据-取费表'!B20/2,C40*(POWER((1+F22),'数据-取费表'!B20/2)-1)),4)</f>
        <v>1.4E-3</v>
      </c>
      <c r="D44" s="282"/>
      <c r="E44" s="282"/>
      <c r="F44" s="283"/>
      <c r="G44" s="3109"/>
    </row>
    <row r="45" spans="1:7" s="258" customFormat="1" ht="13.5" customHeight="1">
      <c r="A45" s="299" t="s">
        <v>2403</v>
      </c>
      <c r="B45" s="288" t="s">
        <v>2369</v>
      </c>
      <c r="C45" s="289">
        <f ca="1">C46</f>
        <v>19465321</v>
      </c>
      <c r="D45" s="279">
        <f ca="1">C47</f>
        <v>7.4999999999999997E-3</v>
      </c>
      <c r="E45" s="280" t="s">
        <v>2395</v>
      </c>
      <c r="F45" s="290"/>
      <c r="G45" s="291" t="s">
        <v>2404</v>
      </c>
    </row>
    <row r="46" spans="1:7" s="258" customFormat="1" ht="13.5" customHeight="1">
      <c r="A46" s="950" t="s">
        <v>791</v>
      </c>
      <c r="B46" s="292" t="s">
        <v>2405</v>
      </c>
      <c r="C46" s="293">
        <f ca="1">ROUND((C33+C39)*F27,0)</f>
        <v>19465321</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111285541</v>
      </c>
      <c r="D49" s="276"/>
      <c r="E49" s="276"/>
      <c r="F49" s="308"/>
      <c r="G49" s="278" t="s">
        <v>2410</v>
      </c>
    </row>
    <row r="50" spans="1:7" s="302" customFormat="1">
      <c r="A50" s="299" t="s">
        <v>2411</v>
      </c>
      <c r="B50" s="254" t="s">
        <v>2412</v>
      </c>
      <c r="C50" s="276"/>
      <c r="D50" s="276"/>
      <c r="E50" s="276"/>
      <c r="F50" s="308">
        <f>IF('数据-取费表'!B24=0,'数据-取费表'!N16,1)</f>
        <v>0.83</v>
      </c>
      <c r="G50" s="291"/>
    </row>
    <row r="51" spans="1:7" ht="16.5" customHeight="1">
      <c r="A51" s="299" t="s">
        <v>2414</v>
      </c>
      <c r="B51" s="254" t="s">
        <v>2449</v>
      </c>
      <c r="C51" s="276">
        <f ca="1">ROUND(C49*F50,0)</f>
        <v>92366999</v>
      </c>
      <c r="D51" s="276"/>
      <c r="E51" s="276"/>
      <c r="F51" s="308"/>
      <c r="G51" s="278" t="s">
        <v>2416</v>
      </c>
    </row>
    <row r="52" spans="1:7" s="252" customFormat="1" ht="16.5" thickBot="1">
      <c r="A52" s="309" t="s">
        <v>2417</v>
      </c>
      <c r="B52" s="310"/>
      <c r="C52" s="311">
        <f ca="1">C31+C51</f>
        <v>106211533</v>
      </c>
      <c r="D52" s="310"/>
      <c r="E52" s="310"/>
      <c r="F52" s="310"/>
      <c r="G52" s="312"/>
    </row>
    <row r="55" spans="1:7" ht="15">
      <c r="B55" s="314" t="s">
        <v>2418</v>
      </c>
      <c r="C55" s="315"/>
    </row>
    <row r="56" spans="1:7">
      <c r="B56" s="317" t="s">
        <v>1508</v>
      </c>
      <c r="C56" s="319">
        <f ca="1">1-C57</f>
        <v>0.13</v>
      </c>
    </row>
    <row r="57" spans="1:7">
      <c r="B57" s="317" t="s">
        <v>1509</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51" t="s">
        <v>2456</v>
      </c>
      <c r="D5" s="2551" t="s">
        <v>2457</v>
      </c>
      <c r="E5" s="2551" t="s">
        <v>2458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1330</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2472</v>
      </c>
      <c r="C12" s="24">
        <f ca="1">ROUND(C11*F12,0)</f>
        <v>0</v>
      </c>
      <c r="D12" s="972"/>
      <c r="E12" s="375"/>
      <c r="F12" s="975">
        <f>'数据-取费表'!B33</f>
        <v>0.03</v>
      </c>
      <c r="G12" s="8" t="s">
        <v>2473</v>
      </c>
      <c r="H12" s="967"/>
      <c r="I12" s="967"/>
      <c r="J12" s="967"/>
      <c r="K12" s="968"/>
    </row>
    <row r="13" spans="1:33" s="974" customFormat="1" ht="13.5" customHeight="1">
      <c r="A13" s="970" t="s">
        <v>1332</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1333</v>
      </c>
      <c r="B14" s="971" t="s">
        <v>2476</v>
      </c>
      <c r="C14" s="24">
        <f ca="1">ROUND(D14*E14*F11/10000,0)</f>
        <v>0</v>
      </c>
      <c r="D14" s="1032">
        <f ca="1">IF(C1="",'数据-汇总表'!E3,INDIRECT("'数据-取费表'!K"&amp;$K$1)+INDIRECT("'数据-取费表'!S"&amp;$K$1))</f>
        <v>22666.709999999995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22666.709999999995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2483</v>
      </c>
      <c r="C18" s="24">
        <f ca="1">C19+C20-IF(C1="",'数据-取费表'!B29,IF(G18="已全部缴纳",C19+C20,H18))</f>
        <v>0</v>
      </c>
      <c r="D18" s="1032"/>
      <c r="E18" s="24"/>
      <c r="F18" s="975"/>
      <c r="G18" s="2553"/>
      <c r="H18" s="1576"/>
      <c r="I18" s="255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453</v>
      </c>
      <c r="D20" s="1032">
        <f ca="1">IF(C1="",'数据-汇总表'!E6,IF(INDIRECT("'数据-取费表'!c"&amp;$K$1)="住宅",INDIRECT("'数据-取费表'!s"&amp;$K$1),INDIRECT("'数据-取费表'!k"&amp;$K$1)+INDIRECT("'数据-取费表'!s"&amp;$K$1)))</f>
        <v>22666.709999999995</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2500</v>
      </c>
      <c r="B28" s="2556" t="s">
        <v>2501</v>
      </c>
      <c r="C28" s="331">
        <f ca="1">C30</f>
        <v>0</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5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4" t="str">
        <f>项目基本情况!B1</f>
        <v>北京市海淀区东北旺西路8号19号楼房地产抵押价值预评估</v>
      </c>
      <c r="C37" s="3014"/>
      <c r="D37" s="3014"/>
      <c r="E37" s="3014"/>
      <c r="F37" s="3014"/>
      <c r="G37" s="3014"/>
      <c r="H37" s="3014"/>
      <c r="I37" s="3014"/>
    </row>
    <row r="38" spans="1:9">
      <c r="A38" s="1015"/>
      <c r="B38" s="1015"/>
    </row>
    <row r="39" spans="1:9">
      <c r="A39" s="1013" t="s">
        <v>818</v>
      </c>
      <c r="B39" s="1013" t="s">
        <v>820</v>
      </c>
    </row>
    <row r="40" spans="1:9">
      <c r="A40" s="1013"/>
      <c r="B40" s="1940" t="str">
        <f>项目基本情况!B5</f>
        <v>北京红钻科技发展有限公司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110" t="s">
        <v>1398</v>
      </c>
      <c r="C6" s="1295">
        <f ca="1">ROUND(F6*F8*F7*(1-F9),0)</f>
        <v>0</v>
      </c>
      <c r="D6" s="164" t="s">
        <v>3018</v>
      </c>
      <c r="E6" s="347" t="s">
        <v>1400</v>
      </c>
      <c r="F6" s="348">
        <f ca="1">INDIRECT("'数据-取费表'!u"&amp;$G$1)</f>
        <v>0</v>
      </c>
      <c r="G6" s="1850"/>
      <c r="H6" s="1290" t="s">
        <v>1032</v>
      </c>
      <c r="I6" s="3110" t="s">
        <v>1398</v>
      </c>
      <c r="J6" s="346">
        <f ca="1">ROUND(M6*M8*M7*(1-M9),0)</f>
        <v>0</v>
      </c>
      <c r="K6" s="1833" t="s">
        <v>3019</v>
      </c>
      <c r="L6" s="347" t="s">
        <v>1400</v>
      </c>
      <c r="M6" s="348">
        <f ca="1">INDIRECT("'数据-取费表'!z"&amp;$G$1)</f>
        <v>0</v>
      </c>
    </row>
    <row r="7" spans="1:37" ht="18" customHeight="1">
      <c r="A7" s="1294"/>
      <c r="B7" s="3111"/>
      <c r="C7" s="1296"/>
      <c r="D7" s="352"/>
      <c r="E7" s="1297" t="s">
        <v>1401</v>
      </c>
      <c r="F7" s="348">
        <f ca="1">IF(INDIRECT("'数据-取费表'!ah"&amp;$G$1)="",INDIRECT("'数据-取费表'!k"&amp;$G$1),INDIRECT("'数据-取费表'!ah"&amp;$G$1))</f>
        <v>0</v>
      </c>
      <c r="G7" s="1850"/>
      <c r="H7" s="349"/>
      <c r="I7" s="3111"/>
      <c r="J7" s="351"/>
      <c r="K7" s="352"/>
      <c r="L7" s="347" t="s">
        <v>1401</v>
      </c>
      <c r="M7" s="348">
        <f ca="1">F7</f>
        <v>0</v>
      </c>
    </row>
    <row r="8" spans="1:37" ht="18" customHeight="1">
      <c r="A8" s="349"/>
      <c r="B8" s="3111"/>
      <c r="C8" s="351"/>
      <c r="D8" s="352"/>
      <c r="E8" s="347" t="s">
        <v>1402</v>
      </c>
      <c r="F8" s="348">
        <f ca="1">INDIRECT("'数据-取费表'!ai"&amp;$G$1)</f>
        <v>0</v>
      </c>
      <c r="G8" s="1850"/>
      <c r="H8" s="349"/>
      <c r="I8" s="3111"/>
      <c r="J8" s="351"/>
      <c r="K8" s="352"/>
      <c r="L8" s="347" t="s">
        <v>1402</v>
      </c>
      <c r="M8" s="348">
        <f ca="1">INDIRECT("'数据-取费表'!ai"&amp;$G$1)</f>
        <v>0</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3029</v>
      </c>
      <c r="E10" s="358" t="s">
        <v>1405</v>
      </c>
      <c r="F10" s="1365"/>
      <c r="G10" s="1850"/>
      <c r="H10" s="1290" t="s">
        <v>1036</v>
      </c>
      <c r="I10" s="1822" t="s">
        <v>1404</v>
      </c>
      <c r="J10" s="346">
        <f ca="1">ROUND(IF(M10="押一",J6/12*M11,IF(M10="押二",J6/12*2*M11,IF(M10="押三",J6/12*3*M11,J11*M11))),0)</f>
        <v>0</v>
      </c>
      <c r="K10" s="1834" t="s">
        <v>3031</v>
      </c>
      <c r="L10" s="358" t="s">
        <v>1405</v>
      </c>
      <c r="M10" s="1365"/>
    </row>
    <row r="11" spans="1:37" ht="18" customHeight="1">
      <c r="A11" s="353"/>
      <c r="B11" s="1824" t="s">
        <v>1597</v>
      </c>
      <c r="C11" s="1177"/>
      <c r="D11" s="352"/>
      <c r="E11" s="358" t="s">
        <v>1407</v>
      </c>
      <c r="F11" s="359">
        <f ca="1">'数据-取费表'!B39</f>
        <v>1.4999999999999999E-2</v>
      </c>
      <c r="G11" s="1850"/>
      <c r="H11" s="1298"/>
      <c r="I11" s="1824" t="s">
        <v>1598</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7" t="s">
        <v>1412</v>
      </c>
      <c r="C14" s="363">
        <f ca="1">ROUND(INDIRECT("'数据-取费表'!l"&amp;$G$1)*F43+'数据-取费表'!L14*INDIRECT("'数据-取费表'!S"&amp;$G$1),0)</f>
        <v>0</v>
      </c>
      <c r="D14" s="1799" t="s">
        <v>1413</v>
      </c>
      <c r="E14" s="1793"/>
      <c r="F14" s="364"/>
      <c r="G14" s="1850"/>
      <c r="H14" s="1200" t="s">
        <v>1032</v>
      </c>
      <c r="I14" s="347" t="s">
        <v>1414</v>
      </c>
      <c r="J14" s="24">
        <f ca="1">C29</f>
        <v>0</v>
      </c>
      <c r="K14" s="15"/>
      <c r="L14" s="978"/>
      <c r="M14" s="979"/>
    </row>
    <row r="15" spans="1:37" s="1857" customFormat="1" ht="18" customHeight="1" thickBot="1">
      <c r="A15" s="1200"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0" t="s">
        <v>1385</v>
      </c>
      <c r="B17" s="347" t="s">
        <v>1421</v>
      </c>
      <c r="C17" s="24">
        <f ca="1">ROUND(F17*(F43+INDIRECT("'数据-取费表'!S"&amp;$G$1)),0)</f>
        <v>0</v>
      </c>
      <c r="D17" s="347" t="s">
        <v>1422</v>
      </c>
      <c r="E17" s="347" t="s">
        <v>1423</v>
      </c>
      <c r="F17" s="26">
        <f>'数据-取费表'!B35</f>
        <v>200</v>
      </c>
      <c r="G17" s="1853"/>
      <c r="H17" s="1200"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0</v>
      </c>
      <c r="D18" s="347" t="s">
        <v>1416</v>
      </c>
      <c r="E18" s="347" t="s">
        <v>1417</v>
      </c>
      <c r="F18" s="367">
        <f>'数据-取费表'!B36</f>
        <v>1.4999999999999999E-2</v>
      </c>
      <c r="G18" s="1853"/>
      <c r="H18" s="1200"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0</v>
      </c>
      <c r="D19" s="140" t="s">
        <v>1431</v>
      </c>
      <c r="E19" s="1817"/>
      <c r="F19" s="26"/>
      <c r="G19" s="1850"/>
      <c r="H19" s="1200"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0" t="s">
        <v>1036</v>
      </c>
      <c r="B20" s="347" t="s">
        <v>1434</v>
      </c>
      <c r="C20" s="24">
        <f ca="1">ROUND(C19*F20,0)</f>
        <v>0</v>
      </c>
      <c r="D20" s="369" t="s">
        <v>1435</v>
      </c>
      <c r="E20" s="347" t="s">
        <v>1417</v>
      </c>
      <c r="F20" s="367">
        <f>'数据-取费表'!B37</f>
        <v>0.03</v>
      </c>
      <c r="G20" s="1853"/>
      <c r="H20" s="1200" t="s">
        <v>1384</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ROUND(J14*M22,0)</f>
        <v>0</v>
      </c>
      <c r="K22" s="1797" t="s">
        <v>1445</v>
      </c>
      <c r="L22" s="347" t="s">
        <v>1417</v>
      </c>
      <c r="M22" s="374">
        <f ca="1">INDIRECT("'数据-取费表'!Ak"&amp;$G$1)</f>
        <v>0</v>
      </c>
    </row>
    <row r="23" spans="1:37" s="1857"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IF(项目基本情况!B11="自然人","——",ROUND(C6*F32/(1+'数据-取费表'!C42),0))</f>
        <v>0</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0"/>
      <c r="L36" s="1858"/>
      <c r="M36" s="1858"/>
    </row>
    <row r="37" spans="1:18" ht="18" customHeight="1">
      <c r="A37" s="1200" t="s">
        <v>1072</v>
      </c>
      <c r="B37" s="347" t="s">
        <v>1448</v>
      </c>
      <c r="C37" s="24">
        <f ca="1">ROUND(C13*F37,0)</f>
        <v>0</v>
      </c>
      <c r="D37" s="1797" t="s">
        <v>1449</v>
      </c>
      <c r="E37" s="347" t="s">
        <v>1450</v>
      </c>
      <c r="F37" s="376">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9" t="s">
        <v>1404</v>
      </c>
      <c r="C53" s="361">
        <f ca="1">ROUND(IF(F53="押一",C49/12*F11,IF(F53="押二",C49/12*2*F11,IF(F53="押三",C49/12*3*F11,C54*F11))),0)</f>
        <v>0</v>
      </c>
      <c r="D53" s="1823" t="s">
        <v>3032</v>
      </c>
      <c r="E53" s="358" t="s">
        <v>1405</v>
      </c>
      <c r="F53" s="1365"/>
      <c r="I53" s="1904" t="s">
        <v>1542</v>
      </c>
      <c r="J53" s="2947">
        <f ca="1">IF(M47="住宅",IF(D1="——",MAX(J51,L48),MAX(J51,L48-'数据-取费表'!B24)),IF(D1="——",MIN(J51,L48),MIN(J51,L48-'数据-取费表'!B24)))</f>
        <v>0</v>
      </c>
      <c r="K53" s="3113" t="s">
        <v>1543</v>
      </c>
      <c r="L53" s="3114"/>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6" t="s">
        <v>1419</v>
      </c>
      <c r="C58" s="361">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1">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7">
        <f t="shared" ca="1" si="0"/>
        <v>0</v>
      </c>
      <c r="O66" s="1883" t="s">
        <v>1038</v>
      </c>
      <c r="P66" s="1884" t="s">
        <v>1553</v>
      </c>
      <c r="Q66" s="1885" t="e">
        <f ca="1">L60</f>
        <v>#DIV/0!</v>
      </c>
      <c r="R66" s="1885" t="s">
        <v>1576</v>
      </c>
    </row>
    <row r="67" spans="1:18" s="1841" customFormat="1" ht="16.5" thickBot="1">
      <c r="A67" s="1175" t="s">
        <v>1028</v>
      </c>
      <c r="B67" s="1185" t="s">
        <v>1458</v>
      </c>
      <c r="C67" s="361">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6" t="e">
        <f ca="1">ROUND(C67*(1-((1+F70)/(1+F68))^F69)/(F68-F70),0)</f>
        <v>#DIV/0!</v>
      </c>
      <c r="D68" s="1183" t="s">
        <v>1464</v>
      </c>
      <c r="E68" s="1168" t="s">
        <v>1465</v>
      </c>
      <c r="F68" s="357">
        <f ca="1">F40</f>
        <v>0</v>
      </c>
      <c r="O68" s="1893" t="s">
        <v>1040</v>
      </c>
      <c r="P68" s="1932" t="s">
        <v>1578</v>
      </c>
      <c r="Q68" s="1885">
        <f ca="1">ROUND(Q69-Q70*Q71,0)</f>
        <v>0</v>
      </c>
      <c r="R68" s="1885" t="s">
        <v>1048</v>
      </c>
    </row>
    <row r="69" spans="1:18" s="1841" customFormat="1" ht="13.5" thickBot="1">
      <c r="A69" s="1169"/>
      <c r="B69" s="1170"/>
      <c r="C69" s="351"/>
      <c r="D69" s="1188" t="s">
        <v>1468</v>
      </c>
      <c r="E69" s="1168" t="s">
        <v>1469</v>
      </c>
      <c r="F69" s="379">
        <f ca="1">F41</f>
        <v>0</v>
      </c>
      <c r="O69" s="1893" t="s">
        <v>1045</v>
      </c>
      <c r="P69" s="1932" t="s">
        <v>1579</v>
      </c>
      <c r="Q69" s="1885">
        <f ca="1">C39</f>
        <v>0</v>
      </c>
      <c r="R69" s="1885" t="s">
        <v>1524</v>
      </c>
    </row>
    <row r="70" spans="1:18" s="1841" customFormat="1" ht="13.5" thickBot="1">
      <c r="A70" s="1172"/>
      <c r="B70" s="1173"/>
      <c r="C70" s="355"/>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2" t="e">
        <f ca="1">ROUND(C68/F71,0)</f>
        <v>#DIV/0!</v>
      </c>
      <c r="D71" s="1191" t="s">
        <v>1483</v>
      </c>
      <c r="E71" s="1192" t="s">
        <v>1484</v>
      </c>
      <c r="F71" s="385">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15" t="s">
        <v>1073</v>
      </c>
      <c r="B1" s="3116"/>
      <c r="C1" s="3117"/>
      <c r="D1" s="3118">
        <f>SUM(I10,I15,I20,I21,I23)</f>
        <v>0</v>
      </c>
      <c r="E1" s="3118"/>
      <c r="F1" s="3118"/>
      <c r="G1" s="3118"/>
      <c r="H1" s="3118"/>
      <c r="I1" s="3119"/>
    </row>
    <row r="2" spans="1:9">
      <c r="A2" s="3120" t="s">
        <v>1074</v>
      </c>
      <c r="B2" s="3121" t="s">
        <v>1075</v>
      </c>
      <c r="C2" s="3121"/>
      <c r="D2" s="1300" t="s">
        <v>1076</v>
      </c>
      <c r="E2" s="1300" t="s">
        <v>1077</v>
      </c>
      <c r="F2" s="1300" t="s">
        <v>1078</v>
      </c>
      <c r="G2" s="1300" t="s">
        <v>1079</v>
      </c>
      <c r="H2" s="1300" t="s">
        <v>1080</v>
      </c>
      <c r="I2" s="1301" t="s">
        <v>1081</v>
      </c>
    </row>
    <row r="3" spans="1:9">
      <c r="A3" s="3120"/>
      <c r="B3" s="3121" t="s">
        <v>1082</v>
      </c>
      <c r="C3" s="3121"/>
      <c r="D3" s="1302"/>
      <c r="E3" s="1300"/>
      <c r="F3" s="1303"/>
      <c r="G3" s="1303"/>
      <c r="H3" s="1304"/>
      <c r="I3" s="1305">
        <f>ROUND(D3*E3*F3*G3*H3/10000,0)</f>
        <v>0</v>
      </c>
    </row>
    <row r="4" spans="1:9">
      <c r="A4" s="3120"/>
      <c r="B4" s="3121" t="s">
        <v>1083</v>
      </c>
      <c r="C4" s="3121"/>
      <c r="D4" s="1302"/>
      <c r="E4" s="1300"/>
      <c r="F4" s="1303"/>
      <c r="G4" s="1303"/>
      <c r="H4" s="1304"/>
      <c r="I4" s="1305">
        <f t="shared" ref="I4:I9" si="0">ROUND(D4*E4*F4*G4*H4/10000,0)</f>
        <v>0</v>
      </c>
    </row>
    <row r="5" spans="1:9">
      <c r="A5" s="3120"/>
      <c r="B5" s="3121" t="s">
        <v>1084</v>
      </c>
      <c r="C5" s="3121"/>
      <c r="D5" s="1302"/>
      <c r="E5" s="1300"/>
      <c r="F5" s="1303"/>
      <c r="G5" s="1303"/>
      <c r="H5" s="1304"/>
      <c r="I5" s="1305">
        <f t="shared" si="0"/>
        <v>0</v>
      </c>
    </row>
    <row r="6" spans="1:9">
      <c r="A6" s="3120"/>
      <c r="B6" s="3121" t="s">
        <v>1085</v>
      </c>
      <c r="C6" s="3121"/>
      <c r="D6" s="1302"/>
      <c r="E6" s="1300"/>
      <c r="F6" s="1303"/>
      <c r="G6" s="1303"/>
      <c r="H6" s="1304"/>
      <c r="I6" s="1305">
        <f t="shared" si="0"/>
        <v>0</v>
      </c>
    </row>
    <row r="7" spans="1:9">
      <c r="A7" s="3120"/>
      <c r="B7" s="3121" t="s">
        <v>1086</v>
      </c>
      <c r="C7" s="3121"/>
      <c r="D7" s="1302"/>
      <c r="E7" s="1300"/>
      <c r="F7" s="1303"/>
      <c r="G7" s="1303"/>
      <c r="H7" s="1304"/>
      <c r="I7" s="1305">
        <f t="shared" si="0"/>
        <v>0</v>
      </c>
    </row>
    <row r="8" spans="1:9">
      <c r="A8" s="3120"/>
      <c r="B8" s="3121" t="s">
        <v>1087</v>
      </c>
      <c r="C8" s="3121"/>
      <c r="D8" s="1302"/>
      <c r="E8" s="1300"/>
      <c r="F8" s="1303"/>
      <c r="G8" s="1303"/>
      <c r="H8" s="1304"/>
      <c r="I8" s="1305">
        <f t="shared" si="0"/>
        <v>0</v>
      </c>
    </row>
    <row r="9" spans="1:9">
      <c r="A9" s="3120"/>
      <c r="B9" s="3121" t="s">
        <v>1088</v>
      </c>
      <c r="C9" s="3121"/>
      <c r="D9" s="1302"/>
      <c r="E9" s="1300"/>
      <c r="F9" s="1303"/>
      <c r="G9" s="1303"/>
      <c r="H9" s="1304"/>
      <c r="I9" s="1305">
        <f t="shared" si="0"/>
        <v>0</v>
      </c>
    </row>
    <row r="10" spans="1:9">
      <c r="A10" s="3120"/>
      <c r="B10" s="3122" t="s">
        <v>1089</v>
      </c>
      <c r="C10" s="3122"/>
      <c r="D10" s="1306"/>
      <c r="E10" s="1306" t="e">
        <f>ROUND(D1*10000/D10/H9,0)</f>
        <v>#DIV/0!</v>
      </c>
      <c r="F10" s="1307"/>
      <c r="G10" s="1307"/>
      <c r="H10" s="1308"/>
      <c r="I10" s="1309">
        <f>SUM(I3:I9)</f>
        <v>0</v>
      </c>
    </row>
    <row r="11" spans="1:9" ht="14.25">
      <c r="A11" s="3120" t="s">
        <v>1090</v>
      </c>
      <c r="B11" s="3121" t="s">
        <v>1091</v>
      </c>
      <c r="C11" s="3121"/>
      <c r="D11" s="1302" t="s">
        <v>1092</v>
      </c>
      <c r="E11" s="1302" t="s">
        <v>1093</v>
      </c>
      <c r="F11" s="1303" t="s">
        <v>1094</v>
      </c>
      <c r="G11" s="1303" t="s">
        <v>1080</v>
      </c>
      <c r="H11" s="1310" t="s">
        <v>1095</v>
      </c>
      <c r="I11" s="1301" t="s">
        <v>1081</v>
      </c>
    </row>
    <row r="12" spans="1:9">
      <c r="A12" s="3120"/>
      <c r="B12" s="3121" t="s">
        <v>1096</v>
      </c>
      <c r="C12" s="3121"/>
      <c r="D12" s="1302"/>
      <c r="E12" s="1302"/>
      <c r="F12" s="1303"/>
      <c r="G12" s="1304"/>
      <c r="H12" s="1311"/>
      <c r="I12" s="1301">
        <f>ROUND(D12*E12*F12*G12/10000,0)</f>
        <v>0</v>
      </c>
    </row>
    <row r="13" spans="1:9">
      <c r="A13" s="3120"/>
      <c r="B13" s="3121" t="s">
        <v>1097</v>
      </c>
      <c r="C13" s="3121"/>
      <c r="D13" s="1302"/>
      <c r="E13" s="1302"/>
      <c r="F13" s="1303"/>
      <c r="G13" s="1304"/>
      <c r="H13" s="1311"/>
      <c r="I13" s="1301">
        <f>ROUND(D13*E13*F13*G13/10000,0)</f>
        <v>0</v>
      </c>
    </row>
    <row r="14" spans="1:9">
      <c r="A14" s="3120"/>
      <c r="B14" s="3121" t="s">
        <v>1098</v>
      </c>
      <c r="C14" s="3121"/>
      <c r="D14" s="1302"/>
      <c r="E14" s="1302"/>
      <c r="F14" s="1303"/>
      <c r="G14" s="1304"/>
      <c r="H14" s="1311"/>
      <c r="I14" s="1301">
        <f>ROUND(D14*E14*F14*G14/10000,0)</f>
        <v>0</v>
      </c>
    </row>
    <row r="15" spans="1:9">
      <c r="A15" s="3120"/>
      <c r="B15" s="3122" t="s">
        <v>1089</v>
      </c>
      <c r="C15" s="3122"/>
      <c r="D15" s="1306"/>
      <c r="E15" s="1306">
        <f>SUM(E12:E14)</f>
        <v>0</v>
      </c>
      <c r="F15" s="1307"/>
      <c r="G15" s="1304"/>
      <c r="H15" s="1311"/>
      <c r="I15" s="1312">
        <f>SUM(I12:I14)</f>
        <v>0</v>
      </c>
    </row>
    <row r="16" spans="1:9" ht="24">
      <c r="A16" s="3120" t="s">
        <v>1099</v>
      </c>
      <c r="B16" s="3121" t="s">
        <v>1100</v>
      </c>
      <c r="C16" s="3121"/>
      <c r="D16" s="1302" t="s">
        <v>1076</v>
      </c>
      <c r="E16" s="1313" t="s">
        <v>1101</v>
      </c>
      <c r="F16" s="1303" t="s">
        <v>1102</v>
      </c>
      <c r="G16" s="1304" t="s">
        <v>1080</v>
      </c>
      <c r="H16" s="1310" t="s">
        <v>1095</v>
      </c>
      <c r="I16" s="1301" t="s">
        <v>1081</v>
      </c>
    </row>
    <row r="17" spans="1:9" ht="14.25">
      <c r="A17" s="3120"/>
      <c r="B17" s="3121" t="s">
        <v>1103</v>
      </c>
      <c r="C17" s="3121"/>
      <c r="D17" s="1302"/>
      <c r="E17" s="1302"/>
      <c r="F17" s="1303"/>
      <c r="G17" s="1304"/>
      <c r="H17" s="1314"/>
      <c r="I17" s="1315">
        <f>ROUND(D17*E17*F17*G17/10000,0)</f>
        <v>0</v>
      </c>
    </row>
    <row r="18" spans="1:9" ht="14.25">
      <c r="A18" s="3120"/>
      <c r="B18" s="3121" t="s">
        <v>1104</v>
      </c>
      <c r="C18" s="3121"/>
      <c r="D18" s="1302"/>
      <c r="E18" s="1302"/>
      <c r="F18" s="1303"/>
      <c r="G18" s="1304"/>
      <c r="H18" s="1314"/>
      <c r="I18" s="1315">
        <f>ROUND(D18*E18*F18*G18/10000,0)</f>
        <v>0</v>
      </c>
    </row>
    <row r="19" spans="1:9" ht="14.25">
      <c r="A19" s="3120"/>
      <c r="B19" s="3121" t="s">
        <v>1105</v>
      </c>
      <c r="C19" s="3121"/>
      <c r="D19" s="1302"/>
      <c r="E19" s="1302"/>
      <c r="F19" s="1303"/>
      <c r="G19" s="1304"/>
      <c r="H19" s="1314"/>
      <c r="I19" s="1315">
        <f>ROUND(D19*E19*F19*G19/10000,0)</f>
        <v>0</v>
      </c>
    </row>
    <row r="20" spans="1:9">
      <c r="A20" s="3120"/>
      <c r="B20" s="3122" t="s">
        <v>1089</v>
      </c>
      <c r="C20" s="3122"/>
      <c r="D20" s="1306">
        <f>SUM(D17:D19)</f>
        <v>0</v>
      </c>
      <c r="E20" s="1306"/>
      <c r="F20" s="1307"/>
      <c r="G20" s="1304"/>
      <c r="H20" s="1311"/>
      <c r="I20" s="1312">
        <f>SUM(I17:I19)</f>
        <v>0</v>
      </c>
    </row>
    <row r="21" spans="1:9">
      <c r="A21" s="3120" t="s">
        <v>1106</v>
      </c>
      <c r="B21" s="3124"/>
      <c r="C21" s="3124"/>
      <c r="D21" s="3124"/>
      <c r="E21" s="3124"/>
      <c r="F21" s="3124"/>
      <c r="G21" s="3124"/>
      <c r="H21" s="1764">
        <v>0.1</v>
      </c>
      <c r="I21" s="1309">
        <f>ROUND(I10*H21,0)</f>
        <v>0</v>
      </c>
    </row>
    <row r="22" spans="1:9" ht="14.25">
      <c r="A22" s="3125" t="s">
        <v>1107</v>
      </c>
      <c r="B22" s="3126"/>
      <c r="C22" s="3127"/>
      <c r="D22" s="1316" t="s">
        <v>1108</v>
      </c>
      <c r="E22" s="1316" t="s">
        <v>1109</v>
      </c>
      <c r="F22" s="1317" t="s">
        <v>1110</v>
      </c>
      <c r="G22" s="1317" t="s">
        <v>1111</v>
      </c>
      <c r="H22" s="1310" t="s">
        <v>1112</v>
      </c>
      <c r="I22" s="1301" t="s">
        <v>1113</v>
      </c>
    </row>
    <row r="23" spans="1:9" ht="14.25" thickBot="1">
      <c r="A23" s="3128"/>
      <c r="B23" s="3129"/>
      <c r="C23" s="3130"/>
      <c r="D23" s="1318"/>
      <c r="E23" s="1318"/>
      <c r="F23" s="1318"/>
      <c r="G23" s="1319"/>
      <c r="H23" s="1320"/>
      <c r="I23" s="1321">
        <f>ROUND(E23*D23*F23*(1-G23)/10000,0)</f>
        <v>0</v>
      </c>
    </row>
    <row r="26" spans="1:9">
      <c r="A26" s="1322" t="s">
        <v>1114</v>
      </c>
      <c r="B26" s="1322"/>
      <c r="C26" s="1322"/>
      <c r="D26" s="1322"/>
      <c r="E26" s="3131">
        <f>C27-C30-C31-C32</f>
        <v>0</v>
      </c>
      <c r="F26" s="3131"/>
      <c r="G26" s="3131"/>
      <c r="H26" s="1736" t="s">
        <v>1336</v>
      </c>
    </row>
    <row r="27" spans="1:9">
      <c r="A27" s="1323">
        <v>1</v>
      </c>
      <c r="B27" s="1324" t="s">
        <v>1115</v>
      </c>
      <c r="C27" s="1324">
        <f>C28+C29</f>
        <v>0</v>
      </c>
      <c r="D27" s="1324"/>
      <c r="E27" s="3132"/>
      <c r="F27" s="3132"/>
      <c r="G27" s="3132"/>
    </row>
    <row r="28" spans="1:9">
      <c r="A28" s="1325" t="s">
        <v>1116</v>
      </c>
      <c r="B28" s="1324" t="s">
        <v>1117</v>
      </c>
      <c r="C28" s="1324"/>
      <c r="D28" s="1324"/>
      <c r="E28" s="3132"/>
      <c r="F28" s="3132"/>
      <c r="G28" s="313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23"/>
      <c r="F32" s="3123"/>
      <c r="G32" s="3123"/>
    </row>
    <row r="33" spans="1:7" hidden="1">
      <c r="A33" s="3133" t="s">
        <v>1126</v>
      </c>
      <c r="B33" s="3134"/>
      <c r="C33" s="3134"/>
      <c r="D33" s="3135"/>
      <c r="E33" s="3131"/>
      <c r="F33" s="3131"/>
      <c r="G33" s="3131"/>
    </row>
    <row r="34" spans="1:7" hidden="1">
      <c r="A34" s="1327">
        <v>1</v>
      </c>
      <c r="B34" s="1324" t="s">
        <v>1127</v>
      </c>
      <c r="C34" s="1324"/>
      <c r="D34" s="1324"/>
      <c r="E34" s="3132"/>
      <c r="F34" s="3132"/>
      <c r="G34" s="3132"/>
    </row>
    <row r="35" spans="1:7" hidden="1">
      <c r="A35" s="1327">
        <v>2</v>
      </c>
      <c r="B35" s="1324" t="s">
        <v>1128</v>
      </c>
      <c r="C35" s="1324"/>
      <c r="D35" s="1324"/>
      <c r="E35" s="3132"/>
      <c r="F35" s="3132"/>
      <c r="G35" s="3132"/>
    </row>
    <row r="36" spans="1:7" hidden="1">
      <c r="A36" s="1327">
        <v>3</v>
      </c>
      <c r="B36" s="1324" t="s">
        <v>1129</v>
      </c>
      <c r="C36" s="1324"/>
      <c r="D36" s="1324"/>
      <c r="E36" s="3132"/>
      <c r="F36" s="3132"/>
      <c r="G36" s="3132"/>
    </row>
    <row r="37" spans="1:7" hidden="1">
      <c r="A37" s="1327">
        <v>4</v>
      </c>
      <c r="B37" s="1324" t="s">
        <v>1130</v>
      </c>
      <c r="C37" s="1324"/>
      <c r="D37" s="1324"/>
      <c r="E37" s="3132"/>
      <c r="F37" s="3132"/>
      <c r="G37" s="3132"/>
    </row>
    <row r="38" spans="1:7" hidden="1">
      <c r="A38" s="3133" t="s">
        <v>1131</v>
      </c>
      <c r="B38" s="3134"/>
      <c r="C38" s="3134"/>
      <c r="D38" s="3135"/>
      <c r="E38" s="3131"/>
      <c r="F38" s="3131"/>
      <c r="G38" s="31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9" t="s">
        <v>2520</v>
      </c>
      <c r="C1" s="1633" t="s">
        <v>2521</v>
      </c>
      <c r="D1" s="1620"/>
      <c r="E1" s="2580"/>
      <c r="F1" s="2581" t="s">
        <v>2522</v>
      </c>
      <c r="G1" s="1630" t="s">
        <v>2523</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3"/>
      <c r="D2" s="1364" t="e">
        <f ca="1">SUMIF(INDIRECT("'"&amp;F2&amp;"'"&amp;"!A:A"),"承租人权益价值",INDIRECT("'"&amp;F2&amp;"'"&amp;"!c:c"))</f>
        <v>#REF!</v>
      </c>
      <c r="E2" s="2584" t="s">
        <v>2524</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2525</v>
      </c>
      <c r="D3" s="399">
        <f>IF(D1="",'数据-汇总表'!E3,SUMIF('数据-汇总表'!$C19:$C33,D1,'数据-汇总表'!$E19:$E33))</f>
        <v>22666.709999999995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2526</v>
      </c>
      <c r="B4" s="402"/>
      <c r="C4" s="3154" t="s">
        <v>2527</v>
      </c>
      <c r="D4" s="3155"/>
      <c r="E4" s="3156" t="s">
        <v>2528</v>
      </c>
      <c r="F4" s="3157"/>
      <c r="G4" s="3154" t="s">
        <v>2529</v>
      </c>
      <c r="H4" s="3155"/>
      <c r="I4" s="3154" t="s">
        <v>2530</v>
      </c>
      <c r="J4" s="3155"/>
      <c r="K4" s="2593" t="s">
        <v>2531</v>
      </c>
      <c r="L4" s="1129"/>
      <c r="M4" s="1130"/>
      <c r="N4" s="1130"/>
      <c r="O4" s="1130"/>
      <c r="P4" s="3158" t="s">
        <v>2532</v>
      </c>
      <c r="Q4" s="3159"/>
      <c r="R4" s="3141" t="s">
        <v>2528</v>
      </c>
      <c r="S4" s="3142"/>
      <c r="T4" s="3141" t="s">
        <v>2529</v>
      </c>
      <c r="U4" s="3142"/>
      <c r="V4" s="3166" t="s">
        <v>2530</v>
      </c>
      <c r="W4" s="3166"/>
      <c r="X4" s="1812"/>
      <c r="Y4" s="3141" t="s">
        <v>2532</v>
      </c>
      <c r="Z4" s="3142"/>
      <c r="AA4" s="3136" t="s">
        <v>2528</v>
      </c>
      <c r="AB4" s="3136" t="s">
        <v>2529</v>
      </c>
      <c r="AC4" s="3136" t="s">
        <v>2530</v>
      </c>
    </row>
    <row r="5" spans="1:29" ht="15">
      <c r="A5" s="404"/>
      <c r="B5" s="405"/>
      <c r="C5" s="3147" t="s">
        <v>2533</v>
      </c>
      <c r="D5" s="3148"/>
      <c r="E5" s="3145" t="s">
        <v>2534</v>
      </c>
      <c r="F5" s="3146"/>
      <c r="G5" s="3147" t="s">
        <v>2535</v>
      </c>
      <c r="H5" s="3148"/>
      <c r="I5" s="3147" t="s">
        <v>2536</v>
      </c>
      <c r="J5" s="3148"/>
      <c r="K5" s="2594"/>
      <c r="L5" s="1129"/>
      <c r="M5" s="1130"/>
      <c r="N5" s="1130"/>
      <c r="O5" s="1130"/>
      <c r="P5" s="3160"/>
      <c r="Q5" s="3161"/>
      <c r="R5" s="3143"/>
      <c r="S5" s="3144"/>
      <c r="T5" s="3143"/>
      <c r="U5" s="3144"/>
      <c r="V5" s="3166"/>
      <c r="W5" s="3166"/>
      <c r="X5" s="1812"/>
      <c r="Y5" s="3143"/>
      <c r="Z5" s="3144"/>
      <c r="AA5" s="3137"/>
      <c r="AB5" s="3137"/>
      <c r="AC5" s="3137"/>
    </row>
    <row r="6" spans="1:29" ht="15.75" thickBot="1">
      <c r="A6" s="406"/>
      <c r="B6" s="407"/>
      <c r="C6" s="3149" t="s">
        <v>2537</v>
      </c>
      <c r="D6" s="3150"/>
      <c r="E6" s="3151" t="s">
        <v>2537</v>
      </c>
      <c r="F6" s="3152"/>
      <c r="G6" s="3149" t="s">
        <v>2537</v>
      </c>
      <c r="H6" s="3150"/>
      <c r="I6" s="3149" t="s">
        <v>2537</v>
      </c>
      <c r="J6" s="3150"/>
      <c r="K6" s="2594" t="s">
        <v>2538</v>
      </c>
      <c r="L6" s="1129"/>
      <c r="M6" s="1130"/>
      <c r="N6" s="1130"/>
      <c r="O6" s="1130"/>
      <c r="P6" s="3162"/>
      <c r="Q6" s="3163"/>
      <c r="R6" s="3143"/>
      <c r="S6" s="3144"/>
      <c r="T6" s="3164"/>
      <c r="U6" s="3165"/>
      <c r="V6" s="3166"/>
      <c r="W6" s="3166"/>
      <c r="X6" s="1812"/>
      <c r="Y6" s="3164"/>
      <c r="Z6" s="3165"/>
      <c r="AA6" s="3138"/>
      <c r="AB6" s="3138"/>
      <c r="AC6" s="3138"/>
    </row>
    <row r="7" spans="1:29" s="117" customFormat="1" ht="15.7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139" t="s">
        <v>2540</v>
      </c>
      <c r="Q7" s="3167"/>
      <c r="R7" s="769" t="s">
        <v>23</v>
      </c>
      <c r="S7" s="770">
        <f t="shared" ref="S7:S15" si="0">F7</f>
        <v>0</v>
      </c>
      <c r="T7" s="769" t="s">
        <v>23</v>
      </c>
      <c r="U7" s="770">
        <f t="shared" ref="U7:U15" si="1">H7</f>
        <v>0</v>
      </c>
      <c r="V7" s="769" t="s">
        <v>23</v>
      </c>
      <c r="W7" s="770">
        <f t="shared" ref="W7:W15" si="2">J7</f>
        <v>0</v>
      </c>
      <c r="X7" s="771"/>
      <c r="Y7" s="3139" t="s">
        <v>2540</v>
      </c>
      <c r="Z7" s="3140"/>
      <c r="AA7" s="772" t="e">
        <f>D7/F7</f>
        <v>#DIV/0!</v>
      </c>
      <c r="AB7" s="772" t="e">
        <f>D7/H7</f>
        <v>#DIV/0!</v>
      </c>
      <c r="AC7" s="772" t="e">
        <f>D7/J7</f>
        <v>#DIV/0!</v>
      </c>
    </row>
    <row r="8" spans="1:29" s="117" customFormat="1" ht="15.7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139" t="s">
        <v>2543</v>
      </c>
      <c r="Q8" s="3140"/>
      <c r="R8" s="769" t="s">
        <v>23</v>
      </c>
      <c r="S8" s="770">
        <f t="shared" si="0"/>
        <v>0</v>
      </c>
      <c r="T8" s="769" t="s">
        <v>23</v>
      </c>
      <c r="U8" s="770">
        <f t="shared" si="1"/>
        <v>0</v>
      </c>
      <c r="V8" s="769" t="s">
        <v>23</v>
      </c>
      <c r="W8" s="770">
        <f t="shared" si="2"/>
        <v>0</v>
      </c>
      <c r="X8" s="771"/>
      <c r="Y8" s="3139" t="s">
        <v>2543</v>
      </c>
      <c r="Z8" s="3140"/>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153"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53"/>
      <c r="Q10" s="1794"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53"/>
      <c r="Q11" s="1794" t="str">
        <f t="shared" si="6"/>
        <v>容积率</v>
      </c>
      <c r="R11" s="769" t="s">
        <v>21</v>
      </c>
      <c r="S11" s="770" t="e">
        <f t="shared" si="0"/>
        <v>#N/A</v>
      </c>
      <c r="T11" s="769" t="s">
        <v>21</v>
      </c>
      <c r="U11" s="770" t="e">
        <f t="shared" si="1"/>
        <v>#N/A</v>
      </c>
      <c r="V11" s="769" t="s">
        <v>21</v>
      </c>
      <c r="W11" s="770" t="e">
        <f t="shared" si="2"/>
        <v>#N/A</v>
      </c>
      <c r="X11" s="771"/>
      <c r="Y11" s="3080"/>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53"/>
      <c r="Q12" s="1794">
        <f t="shared" si="6"/>
        <v>111</v>
      </c>
      <c r="R12" s="769" t="s">
        <v>21</v>
      </c>
      <c r="S12" s="770">
        <f t="shared" si="0"/>
        <v>100</v>
      </c>
      <c r="T12" s="769" t="s">
        <v>21</v>
      </c>
      <c r="U12" s="770">
        <f t="shared" si="1"/>
        <v>100</v>
      </c>
      <c r="V12" s="769" t="s">
        <v>21</v>
      </c>
      <c r="W12" s="770">
        <f t="shared" si="2"/>
        <v>100</v>
      </c>
      <c r="X12" s="771"/>
      <c r="Y12" s="308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53"/>
      <c r="Q13" s="1794">
        <f t="shared" si="6"/>
        <v>111</v>
      </c>
      <c r="R13" s="769" t="s">
        <v>21</v>
      </c>
      <c r="S13" s="770">
        <f t="shared" si="0"/>
        <v>100</v>
      </c>
      <c r="T13" s="769" t="s">
        <v>21</v>
      </c>
      <c r="U13" s="770">
        <f t="shared" si="1"/>
        <v>100</v>
      </c>
      <c r="V13" s="769" t="s">
        <v>21</v>
      </c>
      <c r="W13" s="770">
        <f t="shared" si="2"/>
        <v>100</v>
      </c>
      <c r="X13" s="771"/>
      <c r="Y13" s="308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53"/>
      <c r="Q14" s="1794">
        <f t="shared" si="6"/>
        <v>111</v>
      </c>
      <c r="R14" s="769" t="s">
        <v>21</v>
      </c>
      <c r="S14" s="770">
        <f t="shared" si="0"/>
        <v>100</v>
      </c>
      <c r="T14" s="769" t="s">
        <v>21</v>
      </c>
      <c r="U14" s="770">
        <f t="shared" si="1"/>
        <v>100</v>
      </c>
      <c r="V14" s="769" t="s">
        <v>21</v>
      </c>
      <c r="W14" s="770">
        <f t="shared" si="2"/>
        <v>100</v>
      </c>
      <c r="X14" s="771"/>
      <c r="Y14" s="3080"/>
      <c r="Z14" s="55">
        <f t="shared" si="7"/>
        <v>111</v>
      </c>
      <c r="AA14" s="772">
        <f t="shared" si="3"/>
        <v>1</v>
      </c>
      <c r="AB14" s="772">
        <f t="shared" si="4"/>
        <v>1</v>
      </c>
      <c r="AC14" s="772">
        <f t="shared" si="5"/>
        <v>1</v>
      </c>
    </row>
    <row r="15" spans="1:29" ht="15">
      <c r="A15" s="440" t="s">
        <v>2550</v>
      </c>
      <c r="B15" s="69" t="s">
        <v>2079</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0" t="s">
        <v>2551</v>
      </c>
      <c r="Q15" s="1809" t="str">
        <f t="shared" si="6"/>
        <v>居住社区成熟度</v>
      </c>
      <c r="R15" s="773" t="s">
        <v>21</v>
      </c>
      <c r="S15" s="774">
        <f t="shared" si="0"/>
        <v>100</v>
      </c>
      <c r="T15" s="773" t="s">
        <v>21</v>
      </c>
      <c r="U15" s="774">
        <f t="shared" si="1"/>
        <v>100</v>
      </c>
      <c r="V15" s="773" t="s">
        <v>21</v>
      </c>
      <c r="W15" s="774">
        <f t="shared" si="2"/>
        <v>100</v>
      </c>
      <c r="X15" s="1812"/>
      <c r="Y15" s="3173" t="s">
        <v>2551</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181"/>
      <c r="Q16" s="1809"/>
      <c r="R16" s="773"/>
      <c r="S16" s="774"/>
      <c r="T16" s="773"/>
      <c r="U16" s="774"/>
      <c r="V16" s="773"/>
      <c r="W16" s="774"/>
      <c r="X16" s="1812"/>
      <c r="Y16" s="3174"/>
      <c r="Z16" s="1813"/>
      <c r="AA16" s="1810">
        <v>1</v>
      </c>
      <c r="AB16" s="1810">
        <v>1</v>
      </c>
      <c r="AC16" s="1810">
        <v>1</v>
      </c>
    </row>
    <row r="17" spans="1:29" ht="15">
      <c r="A17" s="428"/>
      <c r="B17" s="451" t="s">
        <v>2088</v>
      </c>
      <c r="C17" s="260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81"/>
      <c r="Q17" s="1809" t="str">
        <f>B17</f>
        <v>交通便捷度</v>
      </c>
      <c r="R17" s="773" t="s">
        <v>21</v>
      </c>
      <c r="S17" s="774">
        <f>F17</f>
        <v>100</v>
      </c>
      <c r="T17" s="773" t="s">
        <v>21</v>
      </c>
      <c r="U17" s="774">
        <f>H17</f>
        <v>100</v>
      </c>
      <c r="V17" s="773" t="s">
        <v>21</v>
      </c>
      <c r="W17" s="774">
        <f>J17</f>
        <v>100</v>
      </c>
      <c r="X17" s="1812"/>
      <c r="Y17" s="3174"/>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181"/>
      <c r="Q18" s="1809"/>
      <c r="R18" s="773"/>
      <c r="S18" s="774"/>
      <c r="T18" s="773"/>
      <c r="U18" s="774"/>
      <c r="V18" s="773"/>
      <c r="W18" s="774"/>
      <c r="X18" s="1812"/>
      <c r="Y18" s="3174"/>
      <c r="Z18" s="1813"/>
      <c r="AA18" s="1810">
        <v>1</v>
      </c>
      <c r="AB18" s="1810">
        <v>1</v>
      </c>
      <c r="AC18" s="1810">
        <v>1</v>
      </c>
    </row>
    <row r="19" spans="1:29" ht="15">
      <c r="A19" s="428"/>
      <c r="B19" s="451" t="s">
        <v>2086</v>
      </c>
      <c r="C19" s="260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81"/>
      <c r="Q19" s="1809" t="str">
        <f>B19</f>
        <v>公共配套设施</v>
      </c>
      <c r="R19" s="773" t="s">
        <v>21</v>
      </c>
      <c r="S19" s="774">
        <f>F19</f>
        <v>100</v>
      </c>
      <c r="T19" s="773" t="s">
        <v>21</v>
      </c>
      <c r="U19" s="774">
        <f>H19</f>
        <v>100</v>
      </c>
      <c r="V19" s="773" t="s">
        <v>21</v>
      </c>
      <c r="W19" s="774">
        <f>J19</f>
        <v>100</v>
      </c>
      <c r="X19" s="1812"/>
      <c r="Y19" s="3174"/>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181"/>
      <c r="Q20" s="1809"/>
      <c r="R20" s="773"/>
      <c r="S20" s="774"/>
      <c r="T20" s="773"/>
      <c r="U20" s="774"/>
      <c r="V20" s="773"/>
      <c r="W20" s="774"/>
      <c r="X20" s="1812"/>
      <c r="Y20" s="3174"/>
      <c r="Z20" s="1813"/>
      <c r="AA20" s="1810">
        <v>1</v>
      </c>
      <c r="AB20" s="1810">
        <v>1</v>
      </c>
      <c r="AC20" s="1810">
        <v>1</v>
      </c>
    </row>
    <row r="21" spans="1:29" ht="15">
      <c r="A21" s="428"/>
      <c r="B21" s="1383" t="s">
        <v>2089</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81"/>
      <c r="Q21" s="1809" t="str">
        <f>B21</f>
        <v>基础设施水平</v>
      </c>
      <c r="R21" s="773" t="s">
        <v>17</v>
      </c>
      <c r="S21" s="774">
        <f>F21</f>
        <v>100</v>
      </c>
      <c r="T21" s="773" t="s">
        <v>17</v>
      </c>
      <c r="U21" s="774">
        <f>H21</f>
        <v>100</v>
      </c>
      <c r="V21" s="773" t="s">
        <v>17</v>
      </c>
      <c r="W21" s="774">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181"/>
      <c r="Q22" s="1809"/>
      <c r="R22" s="773"/>
      <c r="S22" s="774"/>
      <c r="T22" s="773"/>
      <c r="U22" s="774"/>
      <c r="V22" s="773"/>
      <c r="W22" s="774"/>
      <c r="X22" s="1812"/>
      <c r="Y22" s="3174"/>
      <c r="Z22" s="1813"/>
      <c r="AA22" s="1810">
        <v>1</v>
      </c>
      <c r="AB22" s="1810">
        <v>1</v>
      </c>
      <c r="AC22" s="1810">
        <v>1</v>
      </c>
    </row>
    <row r="23" spans="1:29" ht="15">
      <c r="A23" s="428"/>
      <c r="B23" s="451" t="s">
        <v>2093</v>
      </c>
      <c r="C23" s="260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81"/>
      <c r="Q23" s="1809" t="str">
        <f>B23</f>
        <v>自然及人文环境</v>
      </c>
      <c r="R23" s="773" t="s">
        <v>21</v>
      </c>
      <c r="S23" s="774">
        <f>F23</f>
        <v>100</v>
      </c>
      <c r="T23" s="773" t="s">
        <v>21</v>
      </c>
      <c r="U23" s="774">
        <f>H23</f>
        <v>100</v>
      </c>
      <c r="V23" s="773" t="s">
        <v>21</v>
      </c>
      <c r="W23" s="774">
        <f>J23</f>
        <v>100</v>
      </c>
      <c r="X23" s="1812"/>
      <c r="Y23" s="3174"/>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181"/>
      <c r="Q24" s="1809"/>
      <c r="R24" s="773"/>
      <c r="S24" s="774"/>
      <c r="T24" s="773"/>
      <c r="U24" s="774"/>
      <c r="V24" s="773"/>
      <c r="W24" s="774"/>
      <c r="X24" s="1812"/>
      <c r="Y24" s="3174"/>
      <c r="Z24" s="1813"/>
      <c r="AA24" s="1810">
        <v>1</v>
      </c>
      <c r="AB24" s="1810">
        <v>1</v>
      </c>
      <c r="AC24" s="1810">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181"/>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4"/>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181"/>
      <c r="Q26" s="1809" t="str">
        <f t="shared" si="11"/>
        <v>朝向</v>
      </c>
      <c r="R26" s="773" t="s">
        <v>21</v>
      </c>
      <c r="S26" s="774">
        <f t="shared" si="12"/>
        <v>100</v>
      </c>
      <c r="T26" s="773" t="s">
        <v>21</v>
      </c>
      <c r="U26" s="774">
        <f t="shared" si="13"/>
        <v>100</v>
      </c>
      <c r="V26" s="773" t="s">
        <v>21</v>
      </c>
      <c r="W26" s="774">
        <f t="shared" si="14"/>
        <v>100</v>
      </c>
      <c r="X26" s="1812"/>
      <c r="Y26" s="317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181"/>
      <c r="Q27" s="1794">
        <f t="shared" si="11"/>
        <v>111</v>
      </c>
      <c r="R27" s="769" t="s">
        <v>21</v>
      </c>
      <c r="S27" s="770">
        <f t="shared" si="12"/>
        <v>100</v>
      </c>
      <c r="T27" s="769" t="s">
        <v>21</v>
      </c>
      <c r="U27" s="770">
        <f t="shared" si="13"/>
        <v>100</v>
      </c>
      <c r="V27" s="769" t="s">
        <v>21</v>
      </c>
      <c r="W27" s="770">
        <f t="shared" si="14"/>
        <v>100</v>
      </c>
      <c r="X27" s="771"/>
      <c r="Y27" s="317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181"/>
      <c r="Q28" s="1809">
        <f t="shared" si="11"/>
        <v>111</v>
      </c>
      <c r="R28" s="773" t="s">
        <v>21</v>
      </c>
      <c r="S28" s="774">
        <f t="shared" si="12"/>
        <v>100</v>
      </c>
      <c r="T28" s="773" t="s">
        <v>21</v>
      </c>
      <c r="U28" s="774">
        <f t="shared" si="13"/>
        <v>100</v>
      </c>
      <c r="V28" s="773" t="s">
        <v>21</v>
      </c>
      <c r="W28" s="774">
        <f t="shared" si="14"/>
        <v>100</v>
      </c>
      <c r="X28" s="1812"/>
      <c r="Y28" s="317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181"/>
      <c r="Q29" s="1809">
        <f t="shared" si="11"/>
        <v>111</v>
      </c>
      <c r="R29" s="773" t="s">
        <v>21</v>
      </c>
      <c r="S29" s="774">
        <f t="shared" si="12"/>
        <v>100</v>
      </c>
      <c r="T29" s="773" t="s">
        <v>21</v>
      </c>
      <c r="U29" s="774">
        <f t="shared" si="13"/>
        <v>100</v>
      </c>
      <c r="V29" s="773" t="s">
        <v>21</v>
      </c>
      <c r="W29" s="774">
        <f t="shared" si="14"/>
        <v>100</v>
      </c>
      <c r="X29" s="1812"/>
      <c r="Y29" s="317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181"/>
      <c r="Q30" s="1809">
        <f t="shared" si="11"/>
        <v>111</v>
      </c>
      <c r="R30" s="773" t="s">
        <v>21</v>
      </c>
      <c r="S30" s="774">
        <f t="shared" si="12"/>
        <v>100</v>
      </c>
      <c r="T30" s="773" t="s">
        <v>21</v>
      </c>
      <c r="U30" s="774">
        <f t="shared" si="13"/>
        <v>100</v>
      </c>
      <c r="V30" s="773" t="s">
        <v>21</v>
      </c>
      <c r="W30" s="774">
        <f t="shared" si="14"/>
        <v>100</v>
      </c>
      <c r="X30" s="1812"/>
      <c r="Y30" s="317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181"/>
      <c r="Q31" s="1809">
        <f t="shared" si="11"/>
        <v>111</v>
      </c>
      <c r="R31" s="773" t="s">
        <v>21</v>
      </c>
      <c r="S31" s="774">
        <f t="shared" si="12"/>
        <v>100</v>
      </c>
      <c r="T31" s="773" t="s">
        <v>21</v>
      </c>
      <c r="U31" s="774">
        <f t="shared" si="13"/>
        <v>100</v>
      </c>
      <c r="V31" s="773" t="s">
        <v>21</v>
      </c>
      <c r="W31" s="774">
        <f t="shared" si="14"/>
        <v>100</v>
      </c>
      <c r="X31" s="1812"/>
      <c r="Y31" s="3174"/>
      <c r="Z31" s="1813">
        <f t="shared" si="18"/>
        <v>111</v>
      </c>
      <c r="AA31" s="1810">
        <f t="shared" si="15"/>
        <v>1</v>
      </c>
      <c r="AB31" s="1810">
        <f t="shared" si="16"/>
        <v>1</v>
      </c>
      <c r="AC31" s="1810">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175" t="s">
        <v>2556</v>
      </c>
      <c r="Q32" s="1809" t="str">
        <f t="shared" si="11"/>
        <v>建筑类型</v>
      </c>
      <c r="R32" s="773" t="s">
        <v>21</v>
      </c>
      <c r="S32" s="774">
        <f t="shared" si="12"/>
        <v>100</v>
      </c>
      <c r="T32" s="773" t="s">
        <v>21</v>
      </c>
      <c r="U32" s="774">
        <f t="shared" si="13"/>
        <v>100</v>
      </c>
      <c r="V32" s="773" t="s">
        <v>21</v>
      </c>
      <c r="W32" s="774">
        <f t="shared" si="14"/>
        <v>100</v>
      </c>
      <c r="X32" s="1812"/>
      <c r="Y32" s="3178"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176"/>
      <c r="Q33" s="775" t="str">
        <f t="shared" si="11"/>
        <v>项目建筑规模</v>
      </c>
      <c r="R33" s="776" t="s">
        <v>21</v>
      </c>
      <c r="S33" s="777" t="e">
        <f t="shared" si="12"/>
        <v>#N/A</v>
      </c>
      <c r="T33" s="776" t="s">
        <v>21</v>
      </c>
      <c r="U33" s="777" t="e">
        <f t="shared" si="13"/>
        <v>#N/A</v>
      </c>
      <c r="V33" s="776" t="s">
        <v>21</v>
      </c>
      <c r="W33" s="777" t="e">
        <f t="shared" si="14"/>
        <v>#N/A</v>
      </c>
      <c r="X33" s="778"/>
      <c r="Y33" s="3178"/>
      <c r="Z33" s="779" t="str">
        <f t="shared" si="18"/>
        <v>项目建筑规模</v>
      </c>
      <c r="AA33" s="1810" t="e">
        <f t="shared" si="15"/>
        <v>#N/A</v>
      </c>
      <c r="AB33" s="1810" t="e">
        <f t="shared" si="16"/>
        <v>#N/A</v>
      </c>
      <c r="AC33" s="1810"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176"/>
      <c r="Q34" s="1809" t="str">
        <f t="shared" si="11"/>
        <v>建筑结构</v>
      </c>
      <c r="R34" s="773" t="s">
        <v>21</v>
      </c>
      <c r="S34" s="774">
        <f t="shared" si="12"/>
        <v>100</v>
      </c>
      <c r="T34" s="773" t="s">
        <v>21</v>
      </c>
      <c r="U34" s="774">
        <f t="shared" si="13"/>
        <v>100</v>
      </c>
      <c r="V34" s="773" t="s">
        <v>21</v>
      </c>
      <c r="W34" s="774">
        <f t="shared" si="14"/>
        <v>100</v>
      </c>
      <c r="X34" s="1812"/>
      <c r="Y34" s="3178"/>
      <c r="Z34" s="1813" t="str">
        <f t="shared" si="18"/>
        <v>建筑结构</v>
      </c>
      <c r="AA34" s="1810">
        <f t="shared" si="15"/>
        <v>1</v>
      </c>
      <c r="AB34" s="1810">
        <f t="shared" si="16"/>
        <v>1</v>
      </c>
      <c r="AC34" s="1810">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176"/>
      <c r="Q35" s="1809" t="str">
        <f t="shared" si="11"/>
        <v>建筑品质</v>
      </c>
      <c r="R35" s="773" t="s">
        <v>21</v>
      </c>
      <c r="S35" s="774">
        <f t="shared" si="12"/>
        <v>100</v>
      </c>
      <c r="T35" s="773" t="s">
        <v>21</v>
      </c>
      <c r="U35" s="774">
        <f t="shared" si="13"/>
        <v>100</v>
      </c>
      <c r="V35" s="773" t="s">
        <v>21</v>
      </c>
      <c r="W35" s="774">
        <f t="shared" si="14"/>
        <v>100</v>
      </c>
      <c r="X35" s="1812"/>
      <c r="Y35" s="3178"/>
      <c r="Z35" s="1813" t="str">
        <f t="shared" si="18"/>
        <v>建筑品质</v>
      </c>
      <c r="AA35" s="1810">
        <f t="shared" si="15"/>
        <v>1</v>
      </c>
      <c r="AB35" s="1810">
        <f t="shared" si="16"/>
        <v>1</v>
      </c>
      <c r="AC35" s="1810">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176"/>
      <c r="Q36" s="1809" t="str">
        <f t="shared" si="11"/>
        <v>公共部分装修</v>
      </c>
      <c r="R36" s="773" t="s">
        <v>21</v>
      </c>
      <c r="S36" s="774">
        <f t="shared" si="12"/>
        <v>100</v>
      </c>
      <c r="T36" s="773" t="s">
        <v>21</v>
      </c>
      <c r="U36" s="774">
        <f t="shared" si="13"/>
        <v>100</v>
      </c>
      <c r="V36" s="773" t="s">
        <v>21</v>
      </c>
      <c r="W36" s="774">
        <f t="shared" si="14"/>
        <v>100</v>
      </c>
      <c r="X36" s="1812"/>
      <c r="Y36" s="3178"/>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6"/>
      <c r="Q37" s="1794" t="str">
        <f t="shared" si="11"/>
        <v>成新度</v>
      </c>
      <c r="R37" s="769" t="s">
        <v>21</v>
      </c>
      <c r="S37" s="770" t="e">
        <f t="shared" si="12"/>
        <v>#N/A</v>
      </c>
      <c r="T37" s="769" t="s">
        <v>21</v>
      </c>
      <c r="U37" s="770" t="e">
        <f t="shared" si="13"/>
        <v>#N/A</v>
      </c>
      <c r="V37" s="769" t="s">
        <v>21</v>
      </c>
      <c r="W37" s="770" t="e">
        <f t="shared" si="14"/>
        <v>#N/A</v>
      </c>
      <c r="X37" s="771"/>
      <c r="Y37" s="3178"/>
      <c r="Z37" s="55" t="str">
        <f t="shared" si="18"/>
        <v>成新度</v>
      </c>
      <c r="AA37" s="772" t="e">
        <f t="shared" si="15"/>
        <v>#N/A</v>
      </c>
      <c r="AB37" s="772" t="e">
        <f t="shared" si="16"/>
        <v>#N/A</v>
      </c>
      <c r="AC37" s="772"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176" t="s">
        <v>2556</v>
      </c>
      <c r="Q38" s="1809" t="str">
        <f t="shared" si="11"/>
        <v>物业管理</v>
      </c>
      <c r="R38" s="773" t="s">
        <v>21</v>
      </c>
      <c r="S38" s="774">
        <f t="shared" si="12"/>
        <v>100</v>
      </c>
      <c r="T38" s="773" t="s">
        <v>21</v>
      </c>
      <c r="U38" s="774">
        <f t="shared" si="13"/>
        <v>100</v>
      </c>
      <c r="V38" s="773" t="s">
        <v>21</v>
      </c>
      <c r="W38" s="774">
        <f t="shared" si="14"/>
        <v>100</v>
      </c>
      <c r="X38" s="1812"/>
      <c r="Y38" s="3178" t="s">
        <v>2556</v>
      </c>
      <c r="Z38" s="1813" t="str">
        <f t="shared" si="18"/>
        <v>物业管理</v>
      </c>
      <c r="AA38" s="1810">
        <f t="shared" si="15"/>
        <v>1</v>
      </c>
      <c r="AB38" s="1810">
        <f t="shared" si="16"/>
        <v>1</v>
      </c>
      <c r="AC38" s="1810">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176"/>
      <c r="Q39" s="1809" t="str">
        <f t="shared" si="11"/>
        <v>市政基础设施</v>
      </c>
      <c r="R39" s="773" t="s">
        <v>21</v>
      </c>
      <c r="S39" s="774">
        <f t="shared" si="12"/>
        <v>100</v>
      </c>
      <c r="T39" s="773" t="s">
        <v>21</v>
      </c>
      <c r="U39" s="774">
        <f t="shared" si="13"/>
        <v>100</v>
      </c>
      <c r="V39" s="773" t="s">
        <v>21</v>
      </c>
      <c r="W39" s="774">
        <f t="shared" si="14"/>
        <v>100</v>
      </c>
      <c r="X39" s="1812"/>
      <c r="Y39" s="3178"/>
      <c r="Z39" s="1813" t="str">
        <f t="shared" si="18"/>
        <v>市政基础设施</v>
      </c>
      <c r="AA39" s="1810">
        <f t="shared" si="15"/>
        <v>1</v>
      </c>
      <c r="AB39" s="1810">
        <f t="shared" si="16"/>
        <v>1</v>
      </c>
      <c r="AC39" s="1810">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176"/>
      <c r="Q40" s="1809" t="str">
        <f t="shared" si="11"/>
        <v>房型</v>
      </c>
      <c r="R40" s="773" t="s">
        <v>21</v>
      </c>
      <c r="S40" s="774">
        <f t="shared" si="12"/>
        <v>100</v>
      </c>
      <c r="T40" s="773" t="s">
        <v>21</v>
      </c>
      <c r="U40" s="774">
        <f t="shared" si="13"/>
        <v>100</v>
      </c>
      <c r="V40" s="773" t="s">
        <v>21</v>
      </c>
      <c r="W40" s="774">
        <f t="shared" si="14"/>
        <v>100</v>
      </c>
      <c r="X40" s="1812"/>
      <c r="Y40" s="3178"/>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176"/>
      <c r="Q41" s="775" t="str">
        <f t="shared" si="11"/>
        <v>单套/主力户型建筑面积</v>
      </c>
      <c r="R41" s="776" t="s">
        <v>21</v>
      </c>
      <c r="S41" s="777">
        <f t="shared" si="12"/>
        <v>100</v>
      </c>
      <c r="T41" s="776" t="s">
        <v>21</v>
      </c>
      <c r="U41" s="777">
        <f t="shared" si="13"/>
        <v>100</v>
      </c>
      <c r="V41" s="776" t="s">
        <v>21</v>
      </c>
      <c r="W41" s="777">
        <f t="shared" si="14"/>
        <v>100</v>
      </c>
      <c r="X41" s="778"/>
      <c r="Y41" s="3178"/>
      <c r="Z41" s="779" t="str">
        <f t="shared" si="18"/>
        <v>单套/主力户型建筑面积</v>
      </c>
      <c r="AA41" s="1810">
        <f t="shared" si="15"/>
        <v>1</v>
      </c>
      <c r="AB41" s="1810">
        <f t="shared" si="16"/>
        <v>1</v>
      </c>
      <c r="AC41" s="1810">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176"/>
      <c r="Q42" s="1809" t="str">
        <f t="shared" si="11"/>
        <v>内部装修</v>
      </c>
      <c r="R42" s="773" t="s">
        <v>21</v>
      </c>
      <c r="S42" s="774">
        <f t="shared" si="12"/>
        <v>100</v>
      </c>
      <c r="T42" s="773" t="s">
        <v>21</v>
      </c>
      <c r="U42" s="774">
        <f t="shared" si="13"/>
        <v>100</v>
      </c>
      <c r="V42" s="773" t="s">
        <v>21</v>
      </c>
      <c r="W42" s="774">
        <f t="shared" si="14"/>
        <v>100</v>
      </c>
      <c r="X42" s="1812"/>
      <c r="Y42" s="3178"/>
      <c r="Z42" s="1813" t="str">
        <f t="shared" si="18"/>
        <v>内部装修</v>
      </c>
      <c r="AA42" s="1810">
        <f t="shared" si="15"/>
        <v>1</v>
      </c>
      <c r="AB42" s="1810">
        <f t="shared" si="16"/>
        <v>1</v>
      </c>
      <c r="AC42" s="1810">
        <f t="shared" si="17"/>
        <v>1</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176"/>
      <c r="Q43" s="1809" t="str">
        <f t="shared" si="11"/>
        <v>内部装修维护情况</v>
      </c>
      <c r="R43" s="773" t="s">
        <v>21</v>
      </c>
      <c r="S43" s="774">
        <f t="shared" si="12"/>
        <v>100</v>
      </c>
      <c r="T43" s="773" t="s">
        <v>21</v>
      </c>
      <c r="U43" s="774">
        <f t="shared" si="13"/>
        <v>100</v>
      </c>
      <c r="V43" s="773" t="s">
        <v>21</v>
      </c>
      <c r="W43" s="774">
        <f t="shared" si="14"/>
        <v>100</v>
      </c>
      <c r="X43" s="1812"/>
      <c r="Y43" s="317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76"/>
      <c r="Q44" s="1794">
        <f t="shared" si="11"/>
        <v>111</v>
      </c>
      <c r="R44" s="769" t="s">
        <v>21</v>
      </c>
      <c r="S44" s="770">
        <f t="shared" si="12"/>
        <v>100</v>
      </c>
      <c r="T44" s="769" t="s">
        <v>21</v>
      </c>
      <c r="U44" s="770">
        <f t="shared" si="13"/>
        <v>100</v>
      </c>
      <c r="V44" s="769" t="s">
        <v>21</v>
      </c>
      <c r="W44" s="770">
        <f t="shared" si="14"/>
        <v>100</v>
      </c>
      <c r="X44" s="771"/>
      <c r="Y44" s="3178"/>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76"/>
      <c r="Q45" s="1809">
        <f t="shared" si="11"/>
        <v>111</v>
      </c>
      <c r="R45" s="773" t="s">
        <v>21</v>
      </c>
      <c r="S45" s="774">
        <f t="shared" si="12"/>
        <v>100</v>
      </c>
      <c r="T45" s="773" t="s">
        <v>21</v>
      </c>
      <c r="U45" s="774">
        <f t="shared" si="13"/>
        <v>100</v>
      </c>
      <c r="V45" s="773" t="s">
        <v>21</v>
      </c>
      <c r="W45" s="774">
        <f t="shared" si="14"/>
        <v>100</v>
      </c>
      <c r="X45" s="1812"/>
      <c r="Y45" s="3178"/>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77"/>
      <c r="Q46" s="1809">
        <f t="shared" si="11"/>
        <v>111</v>
      </c>
      <c r="R46" s="773" t="s">
        <v>20</v>
      </c>
      <c r="S46" s="774">
        <f t="shared" si="12"/>
        <v>100</v>
      </c>
      <c r="T46" s="773" t="s">
        <v>20</v>
      </c>
      <c r="U46" s="774">
        <f t="shared" si="13"/>
        <v>100</v>
      </c>
      <c r="V46" s="773" t="s">
        <v>20</v>
      </c>
      <c r="W46" s="774">
        <f t="shared" si="14"/>
        <v>100</v>
      </c>
      <c r="X46" s="1812"/>
      <c r="Y46" s="3179"/>
      <c r="Z46" s="1813">
        <f t="shared" si="18"/>
        <v>111</v>
      </c>
      <c r="AA46" s="1810">
        <f t="shared" si="15"/>
        <v>1</v>
      </c>
      <c r="AB46" s="1810">
        <f t="shared" si="16"/>
        <v>1</v>
      </c>
      <c r="AC46" s="1810">
        <f t="shared" si="17"/>
        <v>1</v>
      </c>
    </row>
    <row r="47" spans="1:29" ht="15">
      <c r="A47" s="479" t="s">
        <v>2568</v>
      </c>
      <c r="B47" s="480"/>
      <c r="C47" s="1406" t="s">
        <v>19</v>
      </c>
      <c r="D47" s="1407"/>
      <c r="E47" s="1408"/>
      <c r="F47" s="1409"/>
      <c r="G47" s="1410"/>
      <c r="H47" s="1411"/>
      <c r="I47" s="1408"/>
      <c r="J47" s="1411"/>
      <c r="K47" s="2618"/>
      <c r="L47" s="1142"/>
      <c r="M47" s="1143"/>
      <c r="N47" s="1130"/>
      <c r="O47" s="1143"/>
      <c r="P47" s="3171" t="str">
        <f>A47</f>
        <v>成交单价（元/平方米）</v>
      </c>
      <c r="Q47" s="3171"/>
      <c r="R47" s="3172">
        <f>E47</f>
        <v>0</v>
      </c>
      <c r="S47" s="3172"/>
      <c r="T47" s="3172">
        <f>G47</f>
        <v>0</v>
      </c>
      <c r="U47" s="3172"/>
      <c r="V47" s="3172">
        <f>I47</f>
        <v>0</v>
      </c>
      <c r="W47" s="3172"/>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9"/>
      <c r="L48" s="1142"/>
      <c r="M48" s="1143"/>
      <c r="N48" s="1143"/>
      <c r="O48" s="1143"/>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20"/>
      <c r="L49" s="1142"/>
      <c r="M49" s="1143"/>
      <c r="N49" s="1143"/>
      <c r="O49" s="1143"/>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3"/>
      <c r="Q57" s="504"/>
    </row>
    <row r="58" spans="1:29" s="508" customFormat="1" ht="15">
      <c r="A58" s="505" t="s">
        <v>2575</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2579</v>
      </c>
      <c r="B63" s="528" t="s">
        <v>2545</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2601</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2602</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2554</v>
      </c>
      <c r="B100" s="528" t="s">
        <v>2603</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2606</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2607</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2609</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2610</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3">
        <v>6</v>
      </c>
      <c r="C139" s="1084">
        <v>96</v>
      </c>
      <c r="D139" s="2645" t="s">
        <v>2622</v>
      </c>
      <c r="E139" s="1085">
        <v>100</v>
      </c>
      <c r="F139" s="1086">
        <v>102.5</v>
      </c>
      <c r="G139" s="2645" t="s">
        <v>2622</v>
      </c>
      <c r="H139" s="1087">
        <v>105</v>
      </c>
      <c r="I139" s="2646" t="s">
        <v>2623</v>
      </c>
      <c r="J139" s="1084">
        <v>20</v>
      </c>
      <c r="K139" s="1088">
        <f>C145/(J139-2)</f>
        <v>4.0555555555555553E-3</v>
      </c>
    </row>
    <row r="140" spans="1:17" ht="15">
      <c r="B140" s="1089">
        <v>5</v>
      </c>
      <c r="C140" s="1090">
        <v>100</v>
      </c>
      <c r="D140" s="1090"/>
      <c r="E140" s="1091"/>
      <c r="F140" s="1092">
        <v>102</v>
      </c>
      <c r="G140" s="1090"/>
      <c r="H140" s="1093"/>
      <c r="I140" s="2647" t="s">
        <v>2624</v>
      </c>
      <c r="J140" s="315">
        <f>ROUNDUP((J139-1)/2,0)</f>
        <v>10</v>
      </c>
      <c r="K140" s="1094">
        <v>100</v>
      </c>
    </row>
    <row r="141" spans="1:17" ht="15">
      <c r="B141" s="1089">
        <v>4</v>
      </c>
      <c r="C141" s="1090">
        <v>102</v>
      </c>
      <c r="D141" s="1090"/>
      <c r="E141" s="1091"/>
      <c r="F141" s="1092">
        <v>101.5</v>
      </c>
      <c r="G141" s="1090"/>
      <c r="H141" s="1093"/>
      <c r="I141" s="2647" t="s">
        <v>2625</v>
      </c>
      <c r="J141" s="315">
        <v>1</v>
      </c>
      <c r="K141" s="1095">
        <f>ROUND(100+(J141-J140)*K139*100,1)</f>
        <v>96.4</v>
      </c>
    </row>
    <row r="142" spans="1:17" ht="15">
      <c r="B142" s="1089">
        <v>3</v>
      </c>
      <c r="C142" s="1090">
        <v>103</v>
      </c>
      <c r="D142" s="1090"/>
      <c r="E142" s="1091"/>
      <c r="F142" s="1092">
        <v>101</v>
      </c>
      <c r="G142" s="1090"/>
      <c r="H142" s="1093"/>
      <c r="I142" s="2647" t="s">
        <v>2626</v>
      </c>
      <c r="J142" s="315">
        <f>J139</f>
        <v>20</v>
      </c>
      <c r="K142" s="1096">
        <v>95</v>
      </c>
    </row>
    <row r="143" spans="1:17" ht="15">
      <c r="B143" s="1089">
        <v>2</v>
      </c>
      <c r="C143" s="1090">
        <v>100</v>
      </c>
      <c r="D143" s="1090"/>
      <c r="E143" s="1091"/>
      <c r="F143" s="1092">
        <v>100.5</v>
      </c>
      <c r="G143" s="1090"/>
      <c r="H143" s="1093"/>
      <c r="I143" s="2647" t="s">
        <v>2627</v>
      </c>
      <c r="J143" s="1090">
        <v>15</v>
      </c>
      <c r="K143" s="1095">
        <f>ROUND(100+(J143-J140)*K139*100,1)</f>
        <v>102</v>
      </c>
    </row>
    <row r="144" spans="1:17" ht="15">
      <c r="B144" s="1089">
        <v>1</v>
      </c>
      <c r="C144" s="1090">
        <v>98</v>
      </c>
      <c r="D144" s="2648" t="s">
        <v>2628</v>
      </c>
      <c r="E144" s="1091">
        <v>102</v>
      </c>
      <c r="F144" s="1097">
        <v>100</v>
      </c>
      <c r="G144" s="2648" t="s">
        <v>2628</v>
      </c>
      <c r="H144" s="1093">
        <v>105</v>
      </c>
      <c r="I144" s="2647" t="s">
        <v>2627</v>
      </c>
      <c r="J144" s="1090">
        <v>18</v>
      </c>
      <c r="K144" s="1095">
        <f>ROUND(100+(J144-J140)*K139*100,1)</f>
        <v>103.2</v>
      </c>
    </row>
    <row r="145" spans="2:11" ht="15.75" thickBot="1">
      <c r="B145" s="2649" t="s">
        <v>2629</v>
      </c>
      <c r="C145" s="1098">
        <f>ROUND(MAX(C139:C144)/MIN(C139:C144)-1,3)</f>
        <v>7.2999999999999995E-2</v>
      </c>
      <c r="D145" s="1099"/>
      <c r="E145" s="1099"/>
      <c r="F145" s="2650" t="s">
        <v>2630</v>
      </c>
      <c r="G145" s="2651"/>
      <c r="H145" s="2652"/>
      <c r="I145" s="2653" t="s">
        <v>2627</v>
      </c>
      <c r="J145" s="1100">
        <v>8</v>
      </c>
      <c r="K145" s="1101">
        <f>ROUND(100+(J145-J140)*K139*100,1)</f>
        <v>99.2</v>
      </c>
    </row>
    <row r="147" spans="2:11">
      <c r="B147" s="2634" t="s">
        <v>2631</v>
      </c>
    </row>
    <row r="148" spans="2:11">
      <c r="B148" s="263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9" t="s">
        <v>2633</v>
      </c>
      <c r="C1" s="1633" t="s">
        <v>2521</v>
      </c>
      <c r="D1" s="1620"/>
      <c r="E1" s="2654"/>
      <c r="F1" s="2581"/>
      <c r="G1" s="1630" t="s">
        <v>2634</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2318</v>
      </c>
      <c r="B2" s="1417" t="e">
        <f ca="1">IF(C2="——",ROUND(C49*D3/10000,0),ROUND(C49*D3/10000,0)-D2)</f>
        <v>#DIV/0!</v>
      </c>
      <c r="C2" s="2583"/>
      <c r="D2" s="1364" t="e">
        <f ca="1">SUMIF(INDIRECT("'"&amp;F2&amp;"'"&amp;"!A:A"),"承租人权益价值",INDIRECT("'"&amp;F2&amp;"'"&amp;"!c:c"))</f>
        <v>#REF!</v>
      </c>
      <c r="E2" s="2584" t="s">
        <v>2319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2320</v>
      </c>
      <c r="B3" s="609" t="e">
        <f ca="1">IF(C2="——",C49,ROUND(B2*10000/D3,0))</f>
        <v>#DIV/0!</v>
      </c>
      <c r="C3" s="400" t="s">
        <v>2635</v>
      </c>
      <c r="D3" s="399">
        <f>IF(D1="",'数据-汇总表'!E3,SUMIF('数据-汇总表'!$C19:$C33,D1,'数据-汇总表'!$E19:$E33))</f>
        <v>22666.709999999995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66" t="s">
        <v>2639</v>
      </c>
      <c r="AC4" s="3136" t="s">
        <v>2640</v>
      </c>
    </row>
    <row r="5" spans="1:29"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66"/>
      <c r="AC5" s="3137"/>
    </row>
    <row r="6" spans="1:29" ht="15.75" thickBot="1">
      <c r="A6" s="406"/>
      <c r="B6" s="407"/>
      <c r="C6" s="3149" t="s">
        <v>2537</v>
      </c>
      <c r="D6" s="3150"/>
      <c r="E6" s="3151" t="s">
        <v>2537</v>
      </c>
      <c r="F6" s="3152"/>
      <c r="G6" s="3149" t="s">
        <v>2537</v>
      </c>
      <c r="H6" s="3150"/>
      <c r="I6" s="3149" t="s">
        <v>2537</v>
      </c>
      <c r="J6" s="3150"/>
      <c r="K6" s="610" t="s">
        <v>2538</v>
      </c>
      <c r="L6" s="1129"/>
      <c r="M6" s="1130"/>
      <c r="N6" s="1130"/>
      <c r="O6" s="1130"/>
      <c r="P6" s="3162"/>
      <c r="Q6" s="3163"/>
      <c r="R6" s="3143"/>
      <c r="S6" s="3144"/>
      <c r="T6" s="3164"/>
      <c r="U6" s="3165"/>
      <c r="V6" s="3166"/>
      <c r="W6" s="3166"/>
      <c r="X6" s="1812"/>
      <c r="Y6" s="3164"/>
      <c r="Z6" s="3165"/>
      <c r="AA6" s="3138"/>
      <c r="AB6" s="3166"/>
      <c r="AC6" s="3138"/>
    </row>
    <row r="7" spans="1:29" s="117" customFormat="1" ht="15.7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39" t="s">
        <v>2540</v>
      </c>
      <c r="Q7" s="3167"/>
      <c r="R7" s="769" t="s">
        <v>17</v>
      </c>
      <c r="S7" s="770">
        <f t="shared" ref="S7:S15" si="0">F7</f>
        <v>0</v>
      </c>
      <c r="T7" s="769" t="s">
        <v>17</v>
      </c>
      <c r="U7" s="770">
        <f t="shared" ref="U7:U15" si="1">H7</f>
        <v>0</v>
      </c>
      <c r="V7" s="769" t="s">
        <v>17</v>
      </c>
      <c r="W7" s="770">
        <f t="shared" ref="W7:W15" si="2">J7</f>
        <v>0</v>
      </c>
      <c r="X7" s="771"/>
      <c r="Y7" s="3139" t="s">
        <v>2540</v>
      </c>
      <c r="Z7" s="3140"/>
      <c r="AA7" s="772" t="e">
        <f>D7/F7</f>
        <v>#DIV/0!</v>
      </c>
      <c r="AB7" s="772" t="e">
        <f>D7/H7</f>
        <v>#DIV/0!</v>
      </c>
      <c r="AC7" s="772"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46" si="3">D8/F8</f>
        <v>#DIV/0!</v>
      </c>
      <c r="AB8" s="772" t="e">
        <f t="shared" ref="AB8:AB46" si="4">D8/H8</f>
        <v>#DIV/0!</v>
      </c>
      <c r="AC8" s="772"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53"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53"/>
      <c r="Q10" s="1794"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53"/>
      <c r="Q11" s="1794"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53"/>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53"/>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53"/>
      <c r="Q14" s="1794">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15">
      <c r="A15" s="440" t="s">
        <v>2550</v>
      </c>
      <c r="B15" s="69" t="s">
        <v>2644</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80" t="s">
        <v>2551</v>
      </c>
      <c r="Q15" s="1809" t="str">
        <f t="shared" si="6"/>
        <v>商业繁华度</v>
      </c>
      <c r="R15" s="773" t="s">
        <v>17</v>
      </c>
      <c r="S15" s="774">
        <f t="shared" si="0"/>
        <v>100</v>
      </c>
      <c r="T15" s="773" t="s">
        <v>17</v>
      </c>
      <c r="U15" s="774">
        <f t="shared" si="1"/>
        <v>100</v>
      </c>
      <c r="V15" s="773" t="s">
        <v>17</v>
      </c>
      <c r="W15" s="774">
        <f t="shared" si="2"/>
        <v>100</v>
      </c>
      <c r="X15" s="1812"/>
      <c r="Y15" s="3173"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81"/>
      <c r="Q16" s="1809"/>
      <c r="R16" s="773"/>
      <c r="S16" s="774"/>
      <c r="T16" s="773"/>
      <c r="U16" s="774"/>
      <c r="V16" s="773"/>
      <c r="W16" s="774"/>
      <c r="X16" s="1812"/>
      <c r="Y16" s="3174"/>
      <c r="Z16" s="1813"/>
      <c r="AA16" s="1810">
        <v>1</v>
      </c>
      <c r="AB16" s="1810">
        <v>1</v>
      </c>
      <c r="AC16" s="1810">
        <v>1</v>
      </c>
    </row>
    <row r="17" spans="1:29" ht="15">
      <c r="A17" s="428"/>
      <c r="B17" s="451" t="s">
        <v>2088</v>
      </c>
      <c r="C17" s="260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81"/>
      <c r="Q17" s="1809" t="str">
        <f>B17</f>
        <v>交通便捷度</v>
      </c>
      <c r="R17" s="773" t="s">
        <v>17</v>
      </c>
      <c r="S17" s="774">
        <f>F17</f>
        <v>100</v>
      </c>
      <c r="T17" s="773" t="s">
        <v>17</v>
      </c>
      <c r="U17" s="774">
        <f>H17</f>
        <v>100</v>
      </c>
      <c r="V17" s="773" t="s">
        <v>17</v>
      </c>
      <c r="W17" s="774">
        <f>J17</f>
        <v>100</v>
      </c>
      <c r="X17" s="1812"/>
      <c r="Y17" s="3174"/>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0"/>
      <c r="P18" s="3181"/>
      <c r="Q18" s="1809"/>
      <c r="R18" s="773"/>
      <c r="S18" s="774"/>
      <c r="T18" s="773"/>
      <c r="U18" s="774"/>
      <c r="V18" s="773"/>
      <c r="W18" s="774"/>
      <c r="X18" s="1812"/>
      <c r="Y18" s="3174"/>
      <c r="Z18" s="1813"/>
      <c r="AA18" s="1810">
        <v>1</v>
      </c>
      <c r="AB18" s="1810">
        <v>1</v>
      </c>
      <c r="AC18" s="1810">
        <v>1</v>
      </c>
    </row>
    <row r="19" spans="1:29" ht="15">
      <c r="A19" s="428"/>
      <c r="B19" s="451" t="s">
        <v>2645</v>
      </c>
      <c r="C19" s="2604"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81"/>
      <c r="Q19" s="1809" t="str">
        <f>B19</f>
        <v>公共配套设施</v>
      </c>
      <c r="R19" s="773" t="s">
        <v>17</v>
      </c>
      <c r="S19" s="774">
        <f>F19</f>
        <v>100</v>
      </c>
      <c r="T19" s="773" t="s">
        <v>17</v>
      </c>
      <c r="U19" s="774">
        <f>H19</f>
        <v>100</v>
      </c>
      <c r="V19" s="773" t="s">
        <v>17</v>
      </c>
      <c r="W19" s="774">
        <f>J19</f>
        <v>100</v>
      </c>
      <c r="X19" s="1812"/>
      <c r="Y19" s="3174"/>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0"/>
      <c r="P20" s="3181"/>
      <c r="Q20" s="1809"/>
      <c r="R20" s="773"/>
      <c r="S20" s="774"/>
      <c r="T20" s="773"/>
      <c r="U20" s="774"/>
      <c r="V20" s="773"/>
      <c r="W20" s="774"/>
      <c r="X20" s="1812"/>
      <c r="Y20" s="3174"/>
      <c r="Z20" s="1813"/>
      <c r="AA20" s="1810">
        <v>1</v>
      </c>
      <c r="AB20" s="1810">
        <v>1</v>
      </c>
      <c r="AC20" s="1810">
        <v>1</v>
      </c>
    </row>
    <row r="21" spans="1:29" ht="15">
      <c r="A21" s="428"/>
      <c r="B21" s="1383" t="s">
        <v>2646</v>
      </c>
      <c r="C21" s="260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81"/>
      <c r="Q21" s="1809" t="str">
        <f>B21</f>
        <v>基础设施水平</v>
      </c>
      <c r="R21" s="773" t="s">
        <v>17</v>
      </c>
      <c r="S21" s="774">
        <f>F21</f>
        <v>100</v>
      </c>
      <c r="T21" s="773" t="s">
        <v>17</v>
      </c>
      <c r="U21" s="774">
        <f>H21</f>
        <v>100</v>
      </c>
      <c r="V21" s="773" t="s">
        <v>17</v>
      </c>
      <c r="W21" s="774">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0"/>
      <c r="P22" s="3181"/>
      <c r="Q22" s="1809"/>
      <c r="R22" s="773"/>
      <c r="S22" s="774"/>
      <c r="T22" s="773"/>
      <c r="U22" s="774"/>
      <c r="V22" s="773"/>
      <c r="W22" s="774"/>
      <c r="X22" s="1812"/>
      <c r="Y22" s="3174"/>
      <c r="Z22" s="1813"/>
      <c r="AA22" s="1810">
        <v>1</v>
      </c>
      <c r="AB22" s="1810">
        <v>1</v>
      </c>
      <c r="AC22" s="1810">
        <v>1</v>
      </c>
    </row>
    <row r="23" spans="1:29" ht="15">
      <c r="A23" s="428"/>
      <c r="B23" s="451" t="s">
        <v>2093</v>
      </c>
      <c r="C23" s="2661"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81"/>
      <c r="Q23" s="1809" t="str">
        <f>B23</f>
        <v>自然及人文环境</v>
      </c>
      <c r="R23" s="773" t="s">
        <v>17</v>
      </c>
      <c r="S23" s="774">
        <f>F23</f>
        <v>100</v>
      </c>
      <c r="T23" s="773" t="s">
        <v>17</v>
      </c>
      <c r="U23" s="774">
        <f>H23</f>
        <v>100</v>
      </c>
      <c r="V23" s="773" t="s">
        <v>17</v>
      </c>
      <c r="W23" s="774">
        <f>J23</f>
        <v>100</v>
      </c>
      <c r="X23" s="1812"/>
      <c r="Y23" s="3174"/>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39"/>
      <c r="M24" s="1130"/>
      <c r="N24" s="1130"/>
      <c r="O24" s="1130"/>
      <c r="P24" s="3181"/>
      <c r="Q24" s="1809"/>
      <c r="R24" s="773"/>
      <c r="S24" s="774"/>
      <c r="T24" s="773"/>
      <c r="U24" s="774"/>
      <c r="V24" s="773"/>
      <c r="W24" s="774"/>
      <c r="X24" s="1812"/>
      <c r="Y24" s="3174"/>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81"/>
      <c r="Q25" s="1809" t="str">
        <f t="shared" ref="Q25:Q46" si="11">B25</f>
        <v>临街状况</v>
      </c>
      <c r="R25" s="773" t="s">
        <v>17</v>
      </c>
      <c r="S25" s="774">
        <f>F25</f>
        <v>100</v>
      </c>
      <c r="T25" s="773" t="s">
        <v>17</v>
      </c>
      <c r="U25" s="774">
        <f>H25</f>
        <v>100</v>
      </c>
      <c r="V25" s="773" t="s">
        <v>17</v>
      </c>
      <c r="W25" s="774">
        <f>J25</f>
        <v>100</v>
      </c>
      <c r="X25" s="1812"/>
      <c r="Y25" s="3174"/>
      <c r="Z25" s="1813" t="str">
        <f>Q25</f>
        <v>临街状况</v>
      </c>
      <c r="AA25" s="1810">
        <f t="shared" si="3"/>
        <v>1</v>
      </c>
      <c r="AB25" s="1810">
        <f t="shared" si="4"/>
        <v>1</v>
      </c>
      <c r="AC25" s="1810">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81"/>
      <c r="Q26" s="1809" t="str">
        <f t="shared" si="11"/>
        <v>平面位置/可视性</v>
      </c>
      <c r="R26" s="773" t="s">
        <v>17</v>
      </c>
      <c r="S26" s="774">
        <f>F26</f>
        <v>100</v>
      </c>
      <c r="T26" s="773" t="s">
        <v>17</v>
      </c>
      <c r="U26" s="774">
        <f>H26</f>
        <v>100</v>
      </c>
      <c r="V26" s="773" t="s">
        <v>17</v>
      </c>
      <c r="W26" s="774">
        <f>J26</f>
        <v>100</v>
      </c>
      <c r="X26" s="1812"/>
      <c r="Y26" s="3174"/>
      <c r="Z26" s="1813" t="str">
        <f>Q26</f>
        <v>平面位置/可视性</v>
      </c>
      <c r="AA26" s="1810">
        <f t="shared" si="3"/>
        <v>1</v>
      </c>
      <c r="AB26" s="1810">
        <f t="shared" si="4"/>
        <v>1</v>
      </c>
      <c r="AC26" s="1810">
        <f t="shared" si="5"/>
        <v>1</v>
      </c>
    </row>
    <row r="27" spans="1:29" s="117" customFormat="1" ht="15">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181"/>
      <c r="Q27" s="1794" t="str">
        <f t="shared" si="11"/>
        <v>人流量</v>
      </c>
      <c r="R27" s="769" t="s">
        <v>17</v>
      </c>
      <c r="S27" s="770">
        <f>F27</f>
        <v>100</v>
      </c>
      <c r="T27" s="769" t="s">
        <v>17</v>
      </c>
      <c r="U27" s="770">
        <f>H27</f>
        <v>100</v>
      </c>
      <c r="V27" s="769" t="s">
        <v>17</v>
      </c>
      <c r="W27" s="770">
        <f>J27</f>
        <v>100</v>
      </c>
      <c r="X27" s="771"/>
      <c r="Y27" s="3174"/>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81"/>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1"/>
      <c r="Q29" s="1809">
        <f t="shared" si="11"/>
        <v>111</v>
      </c>
      <c r="R29" s="773" t="s">
        <v>17</v>
      </c>
      <c r="S29" s="774">
        <f t="shared" si="12"/>
        <v>100</v>
      </c>
      <c r="T29" s="773" t="s">
        <v>17</v>
      </c>
      <c r="U29" s="774">
        <f t="shared" si="13"/>
        <v>100</v>
      </c>
      <c r="V29" s="773" t="s">
        <v>17</v>
      </c>
      <c r="W29" s="774">
        <f t="shared" si="14"/>
        <v>100</v>
      </c>
      <c r="X29" s="1812"/>
      <c r="Y29" s="317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1"/>
      <c r="Q30" s="1809">
        <f t="shared" si="11"/>
        <v>111</v>
      </c>
      <c r="R30" s="773" t="s">
        <v>17</v>
      </c>
      <c r="S30" s="774">
        <f t="shared" si="12"/>
        <v>100</v>
      </c>
      <c r="T30" s="773" t="s">
        <v>17</v>
      </c>
      <c r="U30" s="774">
        <f t="shared" si="13"/>
        <v>100</v>
      </c>
      <c r="V30" s="773" t="s">
        <v>17</v>
      </c>
      <c r="W30" s="774">
        <f t="shared" si="14"/>
        <v>100</v>
      </c>
      <c r="X30" s="1812"/>
      <c r="Y30" s="317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1"/>
      <c r="Q31" s="1809">
        <f t="shared" si="11"/>
        <v>111</v>
      </c>
      <c r="R31" s="773" t="s">
        <v>17</v>
      </c>
      <c r="S31" s="774">
        <f t="shared" si="12"/>
        <v>100</v>
      </c>
      <c r="T31" s="773" t="s">
        <v>17</v>
      </c>
      <c r="U31" s="774">
        <f t="shared" si="13"/>
        <v>100</v>
      </c>
      <c r="V31" s="773" t="s">
        <v>17</v>
      </c>
      <c r="W31" s="774">
        <f t="shared" si="14"/>
        <v>100</v>
      </c>
      <c r="X31" s="1812"/>
      <c r="Y31" s="3174"/>
      <c r="Z31" s="1813">
        <f t="shared" si="15"/>
        <v>111</v>
      </c>
      <c r="AA31" s="1810">
        <f t="shared" si="3"/>
        <v>1</v>
      </c>
      <c r="AB31" s="1810">
        <f t="shared" si="4"/>
        <v>1</v>
      </c>
      <c r="AC31" s="1810">
        <f t="shared" si="5"/>
        <v>1</v>
      </c>
    </row>
    <row r="32" spans="1:29" ht="15">
      <c r="A32" s="440" t="s">
        <v>2554</v>
      </c>
      <c r="B32" s="71" t="s">
        <v>2651</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175" t="s">
        <v>2556</v>
      </c>
      <c r="Q32" s="1809" t="str">
        <f t="shared" si="11"/>
        <v>商业类型</v>
      </c>
      <c r="R32" s="773" t="s">
        <v>17</v>
      </c>
      <c r="S32" s="774">
        <f t="shared" si="12"/>
        <v>100</v>
      </c>
      <c r="T32" s="773" t="s">
        <v>17</v>
      </c>
      <c r="U32" s="774">
        <f t="shared" si="13"/>
        <v>100</v>
      </c>
      <c r="V32" s="773" t="s">
        <v>17</v>
      </c>
      <c r="W32" s="774">
        <f t="shared" si="14"/>
        <v>100</v>
      </c>
      <c r="X32" s="1812"/>
      <c r="Y32" s="3178"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76"/>
      <c r="Q33" s="775" t="str">
        <f t="shared" si="11"/>
        <v>项目建筑规模</v>
      </c>
      <c r="R33" s="776" t="s">
        <v>17</v>
      </c>
      <c r="S33" s="777" t="e">
        <f t="shared" si="12"/>
        <v>#N/A</v>
      </c>
      <c r="T33" s="776" t="s">
        <v>17</v>
      </c>
      <c r="U33" s="777" t="e">
        <f t="shared" si="13"/>
        <v>#N/A</v>
      </c>
      <c r="V33" s="776" t="s">
        <v>17</v>
      </c>
      <c r="W33" s="777" t="e">
        <f t="shared" si="14"/>
        <v>#N/A</v>
      </c>
      <c r="X33" s="778"/>
      <c r="Y33" s="3178"/>
      <c r="Z33" s="779" t="str">
        <f t="shared" si="15"/>
        <v>项目建筑规模</v>
      </c>
      <c r="AA33" s="1810" t="e">
        <f t="shared" si="3"/>
        <v>#N/A</v>
      </c>
      <c r="AB33" s="1810" t="e">
        <f t="shared" si="4"/>
        <v>#N/A</v>
      </c>
      <c r="AC33" s="1810" t="e">
        <f t="shared" si="5"/>
        <v>#N/A</v>
      </c>
    </row>
    <row r="34" spans="1:29" ht="15">
      <c r="A34" s="472"/>
      <c r="B34" s="422" t="s">
        <v>2558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176"/>
      <c r="Q34" s="1809" t="str">
        <f t="shared" si="11"/>
        <v>建筑结构</v>
      </c>
      <c r="R34" s="773" t="s">
        <v>17</v>
      </c>
      <c r="S34" s="774">
        <f t="shared" si="12"/>
        <v>100</v>
      </c>
      <c r="T34" s="773" t="s">
        <v>17</v>
      </c>
      <c r="U34" s="774">
        <f t="shared" si="13"/>
        <v>100</v>
      </c>
      <c r="V34" s="773" t="s">
        <v>17</v>
      </c>
      <c r="W34" s="774">
        <f t="shared" si="14"/>
        <v>100</v>
      </c>
      <c r="X34" s="1812"/>
      <c r="Y34" s="3178"/>
      <c r="Z34" s="1813" t="str">
        <f t="shared" si="15"/>
        <v>建筑结构</v>
      </c>
      <c r="AA34" s="1810">
        <f t="shared" si="3"/>
        <v>1</v>
      </c>
      <c r="AB34" s="1810">
        <f t="shared" si="4"/>
        <v>1</v>
      </c>
      <c r="AC34" s="1810">
        <f t="shared" si="5"/>
        <v>1</v>
      </c>
    </row>
    <row r="35" spans="1:29" ht="15">
      <c r="A35" s="472"/>
      <c r="B35" s="422" t="s">
        <v>2652</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176"/>
      <c r="Q35" s="1809" t="str">
        <f t="shared" si="11"/>
        <v>公共部分装修</v>
      </c>
      <c r="R35" s="773" t="s">
        <v>17</v>
      </c>
      <c r="S35" s="774">
        <f t="shared" si="12"/>
        <v>100</v>
      </c>
      <c r="T35" s="773" t="s">
        <v>17</v>
      </c>
      <c r="U35" s="774">
        <f t="shared" si="13"/>
        <v>100</v>
      </c>
      <c r="V35" s="773" t="s">
        <v>17</v>
      </c>
      <c r="W35" s="774">
        <f t="shared" si="14"/>
        <v>100</v>
      </c>
      <c r="X35" s="1812"/>
      <c r="Y35" s="3178"/>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76"/>
      <c r="Q36" s="1809" t="str">
        <f t="shared" si="11"/>
        <v>成新度</v>
      </c>
      <c r="R36" s="773" t="s">
        <v>17</v>
      </c>
      <c r="S36" s="774" t="e">
        <f t="shared" si="12"/>
        <v>#N/A</v>
      </c>
      <c r="T36" s="773" t="s">
        <v>17</v>
      </c>
      <c r="U36" s="774" t="e">
        <f t="shared" si="13"/>
        <v>#N/A</v>
      </c>
      <c r="V36" s="773" t="s">
        <v>17</v>
      </c>
      <c r="W36" s="774" t="e">
        <f t="shared" si="14"/>
        <v>#N/A</v>
      </c>
      <c r="X36" s="1812"/>
      <c r="Y36" s="3178"/>
      <c r="Z36" s="1813" t="str">
        <f t="shared" si="15"/>
        <v>成新度</v>
      </c>
      <c r="AA36" s="1810" t="e">
        <f t="shared" si="3"/>
        <v>#N/A</v>
      </c>
      <c r="AB36" s="1810" t="e">
        <f t="shared" si="4"/>
        <v>#N/A</v>
      </c>
      <c r="AC36" s="1810" t="e">
        <f t="shared" si="5"/>
        <v>#N/A</v>
      </c>
    </row>
    <row r="37" spans="1:29" s="117" customFormat="1" ht="15">
      <c r="A37" s="473"/>
      <c r="B37" s="422" t="s">
        <v>2654</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176"/>
      <c r="Q37" s="1794" t="str">
        <f t="shared" si="11"/>
        <v>市政基础设施</v>
      </c>
      <c r="R37" s="769" t="s">
        <v>17</v>
      </c>
      <c r="S37" s="770">
        <f t="shared" si="12"/>
        <v>100</v>
      </c>
      <c r="T37" s="769" t="s">
        <v>17</v>
      </c>
      <c r="U37" s="770">
        <f t="shared" si="13"/>
        <v>100</v>
      </c>
      <c r="V37" s="769" t="s">
        <v>17</v>
      </c>
      <c r="W37" s="770">
        <f t="shared" si="14"/>
        <v>100</v>
      </c>
      <c r="X37" s="771"/>
      <c r="Y37" s="3178"/>
      <c r="Z37" s="55" t="str">
        <f t="shared" si="15"/>
        <v>市政基础设施</v>
      </c>
      <c r="AA37" s="772">
        <f t="shared" si="3"/>
        <v>1</v>
      </c>
      <c r="AB37" s="772">
        <f t="shared" si="4"/>
        <v>1</v>
      </c>
      <c r="AC37" s="772">
        <f t="shared" si="5"/>
        <v>1</v>
      </c>
    </row>
    <row r="38" spans="1:29" ht="15">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176" t="s">
        <v>2556</v>
      </c>
      <c r="Q38" s="1809" t="str">
        <f t="shared" si="11"/>
        <v>业态</v>
      </c>
      <c r="R38" s="773" t="s">
        <v>17</v>
      </c>
      <c r="S38" s="774">
        <f t="shared" si="12"/>
        <v>100</v>
      </c>
      <c r="T38" s="773" t="s">
        <v>17</v>
      </c>
      <c r="U38" s="774">
        <f t="shared" si="13"/>
        <v>100</v>
      </c>
      <c r="V38" s="773" t="s">
        <v>17</v>
      </c>
      <c r="W38" s="774">
        <f t="shared" si="14"/>
        <v>100</v>
      </c>
      <c r="X38" s="1812"/>
      <c r="Y38" s="3178" t="s">
        <v>2556</v>
      </c>
      <c r="Z38" s="1813" t="str">
        <f t="shared" si="15"/>
        <v>业态</v>
      </c>
      <c r="AA38" s="1810">
        <f t="shared" si="3"/>
        <v>1</v>
      </c>
      <c r="AB38" s="1810">
        <f t="shared" si="4"/>
        <v>1</v>
      </c>
      <c r="AC38" s="1810">
        <f t="shared" si="5"/>
        <v>1</v>
      </c>
    </row>
    <row r="39" spans="1:29" ht="15">
      <c r="A39" s="472"/>
      <c r="B39" s="422" t="s">
        <v>2656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176"/>
      <c r="Q39" s="1809" t="str">
        <f t="shared" si="11"/>
        <v>层高</v>
      </c>
      <c r="R39" s="773" t="s">
        <v>17</v>
      </c>
      <c r="S39" s="774">
        <f t="shared" si="12"/>
        <v>100</v>
      </c>
      <c r="T39" s="773" t="s">
        <v>17</v>
      </c>
      <c r="U39" s="774">
        <f t="shared" si="13"/>
        <v>100</v>
      </c>
      <c r="V39" s="773" t="s">
        <v>17</v>
      </c>
      <c r="W39" s="774">
        <f t="shared" si="14"/>
        <v>100</v>
      </c>
      <c r="X39" s="1812"/>
      <c r="Y39" s="3178"/>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6"/>
      <c r="Q40" s="1809" t="str">
        <f t="shared" si="11"/>
        <v>单套建筑面积</v>
      </c>
      <c r="R40" s="773" t="s">
        <v>17</v>
      </c>
      <c r="S40" s="774">
        <f t="shared" si="12"/>
        <v>100</v>
      </c>
      <c r="T40" s="773" t="s">
        <v>17</v>
      </c>
      <c r="U40" s="774">
        <f t="shared" si="13"/>
        <v>100</v>
      </c>
      <c r="V40" s="773" t="s">
        <v>17</v>
      </c>
      <c r="W40" s="774">
        <f t="shared" si="14"/>
        <v>100</v>
      </c>
      <c r="X40" s="1812"/>
      <c r="Y40" s="3178"/>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6"/>
      <c r="Q41" s="775" t="str">
        <f t="shared" si="11"/>
        <v>进深比</v>
      </c>
      <c r="R41" s="776" t="s">
        <v>17</v>
      </c>
      <c r="S41" s="777">
        <f t="shared" si="12"/>
        <v>100</v>
      </c>
      <c r="T41" s="776" t="s">
        <v>17</v>
      </c>
      <c r="U41" s="777">
        <f t="shared" si="13"/>
        <v>100</v>
      </c>
      <c r="V41" s="776" t="s">
        <v>17</v>
      </c>
      <c r="W41" s="777">
        <f t="shared" si="14"/>
        <v>100</v>
      </c>
      <c r="X41" s="778"/>
      <c r="Y41" s="3178"/>
      <c r="Z41" s="779" t="str">
        <f t="shared" si="15"/>
        <v>进深比</v>
      </c>
      <c r="AA41" s="1810">
        <f t="shared" si="3"/>
        <v>1</v>
      </c>
      <c r="AB41" s="1810">
        <f t="shared" si="4"/>
        <v>1</v>
      </c>
      <c r="AC41" s="1810">
        <f t="shared" si="5"/>
        <v>1</v>
      </c>
    </row>
    <row r="42" spans="1:29" ht="15">
      <c r="A42" s="472"/>
      <c r="B42" s="422" t="s">
        <v>2659</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176"/>
      <c r="Q42" s="1809" t="str">
        <f t="shared" si="11"/>
        <v>内部装修</v>
      </c>
      <c r="R42" s="773" t="s">
        <v>17</v>
      </c>
      <c r="S42" s="774">
        <f t="shared" si="12"/>
        <v>100</v>
      </c>
      <c r="T42" s="773" t="s">
        <v>17</v>
      </c>
      <c r="U42" s="774">
        <f t="shared" si="13"/>
        <v>100</v>
      </c>
      <c r="V42" s="773" t="s">
        <v>17</v>
      </c>
      <c r="W42" s="774">
        <f t="shared" si="14"/>
        <v>100</v>
      </c>
      <c r="X42" s="1812"/>
      <c r="Y42" s="3178"/>
      <c r="Z42" s="1813" t="str">
        <f t="shared" si="15"/>
        <v>内部装修</v>
      </c>
      <c r="AA42" s="1810">
        <f t="shared" si="3"/>
        <v>1</v>
      </c>
      <c r="AB42" s="1810">
        <f t="shared" si="4"/>
        <v>1</v>
      </c>
      <c r="AC42" s="1810">
        <f t="shared" si="5"/>
        <v>1</v>
      </c>
    </row>
    <row r="43" spans="1:29" ht="15">
      <c r="A43" s="472"/>
      <c r="B43" s="422" t="s">
        <v>2567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176"/>
      <c r="Q43" s="1809" t="str">
        <f t="shared" si="11"/>
        <v>内部装修维护情况</v>
      </c>
      <c r="R43" s="773" t="s">
        <v>17</v>
      </c>
      <c r="S43" s="774">
        <f t="shared" si="12"/>
        <v>100</v>
      </c>
      <c r="T43" s="773" t="s">
        <v>17</v>
      </c>
      <c r="U43" s="774">
        <f t="shared" si="13"/>
        <v>100</v>
      </c>
      <c r="V43" s="773" t="s">
        <v>17</v>
      </c>
      <c r="W43" s="774">
        <f t="shared" si="14"/>
        <v>100</v>
      </c>
      <c r="X43" s="1812"/>
      <c r="Y43" s="317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6"/>
      <c r="Q44" s="1794">
        <f t="shared" si="11"/>
        <v>111</v>
      </c>
      <c r="R44" s="769" t="s">
        <v>17</v>
      </c>
      <c r="S44" s="770">
        <f t="shared" si="12"/>
        <v>100</v>
      </c>
      <c r="T44" s="769" t="s">
        <v>17</v>
      </c>
      <c r="U44" s="770">
        <f t="shared" si="13"/>
        <v>100</v>
      </c>
      <c r="V44" s="769" t="s">
        <v>17</v>
      </c>
      <c r="W44" s="770">
        <f t="shared" si="14"/>
        <v>100</v>
      </c>
      <c r="X44" s="771"/>
      <c r="Y44" s="3178"/>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6"/>
      <c r="Q45" s="1809">
        <f t="shared" si="11"/>
        <v>111</v>
      </c>
      <c r="R45" s="773" t="s">
        <v>17</v>
      </c>
      <c r="S45" s="774">
        <f t="shared" si="12"/>
        <v>100</v>
      </c>
      <c r="T45" s="773" t="s">
        <v>17</v>
      </c>
      <c r="U45" s="774">
        <f t="shared" si="13"/>
        <v>100</v>
      </c>
      <c r="V45" s="773" t="s">
        <v>17</v>
      </c>
      <c r="W45" s="774">
        <f t="shared" si="14"/>
        <v>100</v>
      </c>
      <c r="X45" s="1812"/>
      <c r="Y45" s="3178"/>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77"/>
      <c r="Q46" s="1809">
        <f t="shared" si="11"/>
        <v>111</v>
      </c>
      <c r="R46" s="773" t="s">
        <v>17</v>
      </c>
      <c r="S46" s="774">
        <f t="shared" si="12"/>
        <v>100</v>
      </c>
      <c r="T46" s="773" t="s">
        <v>17</v>
      </c>
      <c r="U46" s="774">
        <f t="shared" si="13"/>
        <v>100</v>
      </c>
      <c r="V46" s="773" t="s">
        <v>17</v>
      </c>
      <c r="W46" s="774">
        <f t="shared" si="14"/>
        <v>100</v>
      </c>
      <c r="X46" s="1812"/>
      <c r="Y46" s="3179"/>
      <c r="Z46" s="1813">
        <f t="shared" si="15"/>
        <v>111</v>
      </c>
      <c r="AA46" s="1810">
        <f t="shared" si="3"/>
        <v>1</v>
      </c>
      <c r="AB46" s="1810">
        <f t="shared" si="4"/>
        <v>1</v>
      </c>
      <c r="AC46" s="1810">
        <f t="shared" si="5"/>
        <v>1</v>
      </c>
    </row>
    <row r="47" spans="1:29" ht="15">
      <c r="A47" s="479" t="s">
        <v>2568</v>
      </c>
      <c r="B47" s="480"/>
      <c r="C47" s="1406" t="s">
        <v>1</v>
      </c>
      <c r="D47" s="1407"/>
      <c r="E47" s="1408"/>
      <c r="F47" s="1409"/>
      <c r="G47" s="1410"/>
      <c r="H47" s="1411"/>
      <c r="I47" s="1408"/>
      <c r="J47" s="1411"/>
      <c r="K47" s="782"/>
      <c r="L47" s="1142"/>
      <c r="M47" s="1143"/>
      <c r="N47" s="1130"/>
      <c r="O47" s="1143"/>
      <c r="P47" s="3171" t="str">
        <f>A47</f>
        <v>成交单价（元/平方米）</v>
      </c>
      <c r="Q47" s="3171"/>
      <c r="R47" s="3166">
        <f>E47</f>
        <v>0</v>
      </c>
      <c r="S47" s="3166"/>
      <c r="T47" s="3166">
        <f>G47</f>
        <v>0</v>
      </c>
      <c r="U47" s="3166"/>
      <c r="V47" s="3166">
        <f>I47</f>
        <v>0</v>
      </c>
      <c r="W47" s="3166"/>
      <c r="X47" s="758"/>
      <c r="Y47" s="780"/>
      <c r="Z47" s="758"/>
      <c r="AA47" s="758"/>
      <c r="AB47" s="758"/>
      <c r="AC47" s="758"/>
    </row>
    <row r="48" spans="1:29" ht="15.75" thickBot="1">
      <c r="A48" s="486" t="s">
        <v>2660</v>
      </c>
      <c r="B48" s="487"/>
      <c r="C48" s="1412" t="e">
        <f>R49</f>
        <v>#DIV/0!</v>
      </c>
      <c r="D48" s="1413"/>
      <c r="E48" s="1414" t="e">
        <f>R48</f>
        <v>#DIV/0!</v>
      </c>
      <c r="F48" s="1414"/>
      <c r="G48" s="1412" t="e">
        <f>T48</f>
        <v>#DIV/0!</v>
      </c>
      <c r="H48" s="1413"/>
      <c r="I48" s="1414" t="e">
        <f>V48</f>
        <v>#DIV/0!</v>
      </c>
      <c r="J48" s="1413"/>
      <c r="K48" s="783"/>
      <c r="L48" s="1142"/>
      <c r="M48" s="1143"/>
      <c r="N48" s="1130"/>
      <c r="O48" s="1143"/>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2" t="s">
        <v>2661</v>
      </c>
      <c r="B49" s="493"/>
      <c r="C49" s="1416" t="e">
        <f>R49</f>
        <v>#DIV/0!</v>
      </c>
      <c r="D49" s="1416"/>
      <c r="E49" s="1416"/>
      <c r="F49" s="1416"/>
      <c r="G49" s="1416"/>
      <c r="H49" s="1416"/>
      <c r="I49" s="1416"/>
      <c r="J49" s="1416"/>
      <c r="K49" s="784"/>
      <c r="L49" s="1142"/>
      <c r="M49" s="1143"/>
      <c r="N49" s="1130"/>
      <c r="O49" s="1143"/>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2539</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2579</v>
      </c>
      <c r="B63" s="528" t="s">
        <v>2545</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2671</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5.75" thickBot="1">
      <c r="A89" s="579"/>
      <c r="B89" s="543"/>
      <c r="C89" s="560"/>
      <c r="D89" s="536"/>
      <c r="E89" s="536"/>
      <c r="F89" s="536"/>
      <c r="G89" s="536"/>
      <c r="H89" s="536"/>
      <c r="I89" s="536"/>
      <c r="J89" s="536"/>
      <c r="K89" s="536"/>
      <c r="L89" s="536"/>
      <c r="M89" s="536"/>
      <c r="N89" s="1152"/>
      <c r="O89" s="1152"/>
      <c r="P89" s="2627"/>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5.75" thickTop="1">
      <c r="A92" s="534"/>
      <c r="B92" s="538" t="str">
        <f>B28</f>
        <v>楼层</v>
      </c>
      <c r="C92" s="554"/>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2554</v>
      </c>
      <c r="B100" s="528" t="s">
        <v>2672</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2607</v>
      </c>
      <c r="C107" s="554"/>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2609</v>
      </c>
      <c r="C112" s="554"/>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2673</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2674</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2675</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7" zoomScaleNormal="100" zoomScaleSheetLayoutView="100" zoomScalePageLayoutView="80" workbookViewId="0">
      <selection activeCell="K79" sqref="K7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19" t="s">
        <v>2108</v>
      </c>
      <c r="B1" s="2413"/>
      <c r="C1" s="2414"/>
      <c r="D1" s="2413"/>
      <c r="E1" s="2413"/>
      <c r="F1" s="2415" t="s">
        <v>2109</v>
      </c>
      <c r="G1" s="2066" t="s">
        <v>3055</v>
      </c>
      <c r="H1" s="2416" t="str">
        <f>IF(G1="现房","——","估价对象范围")</f>
        <v>——</v>
      </c>
      <c r="I1" s="2417"/>
    </row>
    <row r="2" spans="1:12" ht="21.75" customHeight="1" thickBot="1">
      <c r="A2" s="3254" t="str">
        <f>项目基本情况!S2</f>
        <v>北京市海淀区东北旺西路8号19号楼房地产</v>
      </c>
      <c r="B2" s="3255"/>
      <c r="C2" s="3255"/>
      <c r="D2" s="3255"/>
      <c r="E2" s="3255"/>
      <c r="F2" s="3255"/>
      <c r="G2" s="3255"/>
      <c r="H2" s="3255"/>
      <c r="I2" s="3256"/>
    </row>
    <row r="3" spans="1:12" ht="12.75">
      <c r="A3" s="3257" t="s">
        <v>2110</v>
      </c>
      <c r="B3" s="3258"/>
      <c r="C3" s="3258"/>
      <c r="D3" s="3258"/>
      <c r="E3" s="3258"/>
      <c r="F3" s="3258"/>
      <c r="G3" s="3258"/>
      <c r="H3" s="3258"/>
      <c r="I3" s="3258"/>
    </row>
    <row r="4" spans="1:12" ht="14.25">
      <c r="A4" s="2420" t="s">
        <v>2111</v>
      </c>
      <c r="B4" s="2421" t="s">
        <v>2112</v>
      </c>
      <c r="C4" s="2422" t="s">
        <v>3073</v>
      </c>
      <c r="D4" s="2422" t="s">
        <v>3160</v>
      </c>
      <c r="E4" s="3238" t="s">
        <v>2113</v>
      </c>
      <c r="F4" s="3251"/>
      <c r="G4" s="3251"/>
      <c r="H4" s="3251"/>
      <c r="I4" s="3239"/>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成本法</v>
      </c>
    </row>
    <row r="5" spans="1:12" ht="12.75">
      <c r="A5" s="3229" t="s">
        <v>2114</v>
      </c>
      <c r="B5" s="3080">
        <v>25</v>
      </c>
      <c r="C5" s="3259"/>
      <c r="D5" s="3247"/>
      <c r="E5" s="140" t="s">
        <v>2115</v>
      </c>
      <c r="F5" s="2424"/>
      <c r="G5" s="2424"/>
      <c r="H5" s="2424"/>
      <c r="I5" s="1830"/>
    </row>
    <row r="6" spans="1:12" ht="12.75">
      <c r="A6" s="3229"/>
      <c r="B6" s="3080"/>
      <c r="C6" s="3261"/>
      <c r="D6" s="3247"/>
      <c r="E6" s="140" t="s">
        <v>2116</v>
      </c>
      <c r="F6" s="2424"/>
      <c r="G6" s="2424"/>
      <c r="H6" s="2424"/>
      <c r="I6" s="1830"/>
    </row>
    <row r="7" spans="1:12" ht="12.75">
      <c r="A7" s="3229"/>
      <c r="B7" s="3080"/>
      <c r="C7" s="3260"/>
      <c r="D7" s="3247"/>
      <c r="E7" s="140" t="s">
        <v>2117</v>
      </c>
      <c r="F7" s="2424"/>
      <c r="G7" s="2424"/>
      <c r="H7" s="2424"/>
      <c r="I7" s="1830"/>
    </row>
    <row r="8" spans="1:12" ht="12.75">
      <c r="A8" s="3229" t="s">
        <v>2118</v>
      </c>
      <c r="B8" s="3080">
        <v>15</v>
      </c>
      <c r="C8" s="3259"/>
      <c r="D8" s="3247"/>
      <c r="E8" s="140" t="s">
        <v>2119</v>
      </c>
      <c r="F8" s="2424"/>
      <c r="G8" s="2424"/>
      <c r="H8" s="2424"/>
      <c r="I8" s="1830"/>
    </row>
    <row r="9" spans="1:12" ht="12.75">
      <c r="A9" s="3229"/>
      <c r="B9" s="3080"/>
      <c r="C9" s="3260"/>
      <c r="D9" s="3247"/>
      <c r="E9" s="140" t="s">
        <v>2120</v>
      </c>
      <c r="F9" s="2424"/>
      <c r="G9" s="2424"/>
      <c r="H9" s="2424"/>
      <c r="I9" s="1830"/>
    </row>
    <row r="10" spans="1:12" ht="12.75">
      <c r="A10" s="3229" t="s">
        <v>2121</v>
      </c>
      <c r="B10" s="3080">
        <v>15</v>
      </c>
      <c r="C10" s="3259"/>
      <c r="D10" s="3247"/>
      <c r="E10" s="140" t="s">
        <v>2122</v>
      </c>
      <c r="F10" s="2424"/>
      <c r="G10" s="2424"/>
      <c r="H10" s="2424"/>
      <c r="I10" s="1830"/>
    </row>
    <row r="11" spans="1:12" ht="12.75">
      <c r="A11" s="3229"/>
      <c r="B11" s="3080"/>
      <c r="C11" s="3260"/>
      <c r="D11" s="3247"/>
      <c r="E11" s="140" t="s">
        <v>2123</v>
      </c>
      <c r="F11" s="2424"/>
      <c r="G11" s="2424"/>
      <c r="H11" s="2424"/>
      <c r="I11" s="1830"/>
    </row>
    <row r="12" spans="1:12" ht="12.75">
      <c r="A12" s="3229" t="s">
        <v>2124</v>
      </c>
      <c r="B12" s="3080">
        <v>15</v>
      </c>
      <c r="C12" s="3259"/>
      <c r="D12" s="3247"/>
      <c r="E12" s="140" t="s">
        <v>2125</v>
      </c>
      <c r="F12" s="2424"/>
      <c r="G12" s="2424"/>
      <c r="H12" s="2424"/>
      <c r="I12" s="1830"/>
    </row>
    <row r="13" spans="1:12" ht="12.75">
      <c r="A13" s="3229"/>
      <c r="B13" s="3080"/>
      <c r="C13" s="3260"/>
      <c r="D13" s="3247"/>
      <c r="E13" s="140" t="s">
        <v>2126</v>
      </c>
      <c r="F13" s="2424"/>
      <c r="G13" s="2424"/>
      <c r="H13" s="2424"/>
      <c r="I13" s="1830"/>
    </row>
    <row r="14" spans="1:12" ht="12.75">
      <c r="A14" s="3229" t="s">
        <v>2127</v>
      </c>
      <c r="B14" s="3080">
        <v>30</v>
      </c>
      <c r="C14" s="3259">
        <v>45</v>
      </c>
      <c r="D14" s="3247">
        <v>55</v>
      </c>
      <c r="E14" s="140" t="s">
        <v>2128</v>
      </c>
      <c r="F14" s="2424"/>
      <c r="G14" s="2424"/>
      <c r="H14" s="2424"/>
      <c r="I14" s="1830"/>
    </row>
    <row r="15" spans="1:12" ht="12.75">
      <c r="A15" s="3229"/>
      <c r="B15" s="3080"/>
      <c r="C15" s="3261"/>
      <c r="D15" s="3247"/>
      <c r="E15" s="140" t="s">
        <v>2129</v>
      </c>
      <c r="F15" s="2424"/>
      <c r="G15" s="2424"/>
      <c r="H15" s="2424"/>
      <c r="I15" s="1830"/>
    </row>
    <row r="16" spans="1:12" ht="12.75">
      <c r="A16" s="3229"/>
      <c r="B16" s="3080"/>
      <c r="C16" s="3260"/>
      <c r="D16" s="3247"/>
      <c r="E16" s="140" t="s">
        <v>2130</v>
      </c>
      <c r="F16" s="2424"/>
      <c r="G16" s="2424"/>
      <c r="H16" s="2424"/>
      <c r="I16" s="1830"/>
    </row>
    <row r="17" spans="1:35" ht="15">
      <c r="A17" s="2425" t="s">
        <v>2131</v>
      </c>
      <c r="B17" s="64"/>
      <c r="C17" s="141">
        <f>SUM(C5:C16)</f>
        <v>45</v>
      </c>
      <c r="D17" s="141">
        <f>SUM(D5:D16)</f>
        <v>55</v>
      </c>
      <c r="E17" s="138"/>
      <c r="F17" s="138"/>
      <c r="G17" s="138"/>
      <c r="H17" s="138"/>
      <c r="I17" s="138"/>
      <c r="K17" s="2423"/>
      <c r="L17" s="2426" t="s">
        <v>2132</v>
      </c>
      <c r="M17" s="2426" t="s">
        <v>2133</v>
      </c>
    </row>
    <row r="18" spans="1:35" ht="15.75" thickBot="1">
      <c r="A18" s="2427" t="s">
        <v>2134</v>
      </c>
      <c r="B18" s="2428"/>
      <c r="C18" s="142">
        <f>ROUND(C17/SUM(C17:D17),2)</f>
        <v>0.45</v>
      </c>
      <c r="D18" s="142">
        <f>1-C18</f>
        <v>0.55000000000000004</v>
      </c>
      <c r="E18" s="138"/>
      <c r="F18" s="138"/>
      <c r="G18" s="138"/>
      <c r="H18" s="138"/>
      <c r="I18" s="138"/>
      <c r="K18" s="2423" t="s">
        <v>2135</v>
      </c>
      <c r="L18" s="2423">
        <f>IF(C1="",'数据-汇总表'!E3,SUMIF(项目类型,C1,'数据-汇总表'!E17:E26)+SUMIF(项目类型,C1,'数据-汇总表'!I17:I26))</f>
        <v>22666.709999999995</v>
      </c>
      <c r="M18" s="2423">
        <f>IF(C1="",'数据-汇总表'!E3,SUMIF(项目类型,C1,'数据-汇总表'!E17:E26))</f>
        <v>22666.709999999995</v>
      </c>
    </row>
    <row r="19" spans="1:35" ht="15">
      <c r="A19" s="2429" t="s">
        <v>2136</v>
      </c>
      <c r="B19" s="2430" t="s">
        <v>2137</v>
      </c>
      <c r="C19" s="143">
        <f ca="1">SUMIF(INDIRECT("'"&amp;C4&amp;"'"&amp;"!A:A"),结果表!B19,INDIRECT("'"&amp;C4&amp;"'"&amp;"!B:B"))</f>
        <v>76993</v>
      </c>
      <c r="D19" s="144">
        <f ca="1">SUMIF(INDIRECT("'"&amp;D4&amp;"'"&amp;"!A:A"),结果表!B19,INDIRECT("'"&amp;D4&amp;"'"&amp;"!B:B"))</f>
        <v>101329</v>
      </c>
      <c r="E19" s="2429" t="s">
        <v>2138</v>
      </c>
      <c r="F19" s="2430" t="s">
        <v>2137</v>
      </c>
      <c r="G19" s="145">
        <f ca="1">ROUND(C19*$C$18+D19*$D$18,0)</f>
        <v>90378</v>
      </c>
      <c r="H19" s="2431" t="s">
        <v>2139</v>
      </c>
      <c r="I19" s="138"/>
      <c r="K19" s="2423" t="s">
        <v>2140</v>
      </c>
      <c r="L19" s="2423">
        <f>IF(C1="",'数据-汇总表'!D3,SUMIF(项目类型,C1,'数据-汇总表'!D17:D26)+SUMIF(项目类型,C1,'数据-汇总表'!H17:H27))</f>
        <v>26823.14</v>
      </c>
      <c r="M19" s="2423">
        <f>IF(C1="",'数据-汇总表'!D3,SUMIF(项目类型,C1,'数据-汇总表'!D17:D26))</f>
        <v>26823.14</v>
      </c>
    </row>
    <row r="20" spans="1:35" ht="15">
      <c r="A20" s="2432"/>
      <c r="B20" s="1246" t="s">
        <v>2141</v>
      </c>
      <c r="C20" s="146">
        <f ca="1">SUMIF(INDIRECT("'"&amp;C4&amp;"'"&amp;"!A:A"),结果表!B20,INDIRECT("'"&amp;C4&amp;"'"&amp;"!B:B"))</f>
        <v>34091</v>
      </c>
      <c r="D20" s="147">
        <f ca="1">SUMIF(INDIRECT("'"&amp;D4&amp;"'"&amp;"!A:A"),结果表!B20,INDIRECT("'"&amp;D4&amp;"'"&amp;"!B:B"))</f>
        <v>44704</v>
      </c>
      <c r="E20" s="2432"/>
      <c r="F20" s="1246" t="s">
        <v>2141</v>
      </c>
      <c r="G20" s="148">
        <f ca="1">ROUND(C20*$C$18+D20*$D$18,0)</f>
        <v>39928</v>
      </c>
      <c r="H20" s="979" t="s">
        <v>2142</v>
      </c>
      <c r="I20" s="138"/>
    </row>
    <row r="21" spans="1:35" ht="15" customHeight="1" thickBot="1">
      <c r="A21" s="999"/>
      <c r="B21" s="2433" t="s">
        <v>2143</v>
      </c>
      <c r="C21" s="788">
        <f ca="1">ROUND(C19*10000/L19,0)</f>
        <v>28704</v>
      </c>
      <c r="D21" s="789">
        <f ca="1">ROUND(D19*10000/L19,0)</f>
        <v>37777</v>
      </c>
      <c r="E21" s="999"/>
      <c r="F21" s="2433" t="s">
        <v>2143</v>
      </c>
      <c r="G21" s="149">
        <f ca="1">ROUND(G19*10000/L19,0)</f>
        <v>33694</v>
      </c>
      <c r="H21" s="2434" t="s">
        <v>2142</v>
      </c>
      <c r="I21" s="138"/>
    </row>
    <row r="22" spans="1:35" ht="15" thickBot="1">
      <c r="A22" s="2275" t="s">
        <v>2144</v>
      </c>
      <c r="B22" s="2435"/>
      <c r="C22" s="2436"/>
      <c r="D22" s="790">
        <f ca="1">IF(C19&lt;D19,D19/C19-1,C19/D19-1)</f>
        <v>0.31608068265946265</v>
      </c>
      <c r="E22" s="138"/>
      <c r="F22" s="138"/>
      <c r="G22" s="138"/>
      <c r="H22" s="138"/>
      <c r="I22" s="138"/>
    </row>
    <row r="23" spans="1:35" ht="13.5" thickBot="1">
      <c r="A23" s="2413"/>
      <c r="B23" s="2413"/>
      <c r="C23" s="2413"/>
      <c r="D23" s="2413"/>
      <c r="E23" s="138"/>
      <c r="F23" s="138"/>
      <c r="G23" s="138"/>
      <c r="H23" s="138"/>
      <c r="I23" s="138"/>
    </row>
    <row r="24" spans="1:35" ht="14.25">
      <c r="A24" s="3268" t="s">
        <v>2145</v>
      </c>
      <c r="B24" s="2430" t="s">
        <v>2137</v>
      </c>
      <c r="C24" s="145">
        <f>IF(B30=0,0,D30)</f>
        <v>0</v>
      </c>
      <c r="D24" s="2437"/>
      <c r="E24" s="138"/>
      <c r="F24" s="138"/>
      <c r="G24" s="138"/>
      <c r="H24" s="138"/>
      <c r="I24" s="138"/>
    </row>
    <row r="25" spans="1:35" ht="14.25">
      <c r="A25" s="3269"/>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2151</v>
      </c>
      <c r="B32" s="2443"/>
      <c r="C32" s="153">
        <f ca="1">IF(D32="总价",G19-C24,G20-C25)</f>
        <v>90378</v>
      </c>
      <c r="D32" s="2444" t="s">
        <v>2152</v>
      </c>
      <c r="E32" s="138"/>
      <c r="F32" s="138"/>
      <c r="G32" s="138"/>
      <c r="H32" s="138"/>
      <c r="I32" s="138"/>
    </row>
    <row r="33" spans="1:15" ht="15">
      <c r="A33" s="956" t="s">
        <v>2153</v>
      </c>
      <c r="B33" s="2445"/>
      <c r="C33" s="2446" t="s">
        <v>3161</v>
      </c>
      <c r="D33" s="2447" t="s">
        <v>3160</v>
      </c>
      <c r="E33" s="2448" t="s">
        <v>2154</v>
      </c>
      <c r="F33" s="2449" t="str">
        <f>IF(D32="楼面单价","取值（单价）","取值（总价）")</f>
        <v>取值（总价）</v>
      </c>
      <c r="G33" s="138"/>
      <c r="H33" s="138"/>
      <c r="I33" s="138"/>
    </row>
    <row r="34" spans="1:15" ht="15">
      <c r="A34" s="2450"/>
      <c r="B34" s="2451" t="s">
        <v>2155</v>
      </c>
      <c r="C34" s="157">
        <f ca="1">IF(C33="自定义",F34,C32-C35)</f>
        <v>82154</v>
      </c>
      <c r="D34" s="1054">
        <f ca="1">IF(C33="自定义",ROUND(C34/C32,3),IF(C33="收益比率",SUMIF(INDIRECT("'"&amp;D33&amp;"'"&amp;"!b:b"),"土地收益比率",INDIRECT("'"&amp;D33&amp;"'"&amp;"!c:c")),SUMIF(INDIRECT("'"&amp;D33&amp;"'"&amp;"!b:b"),"土地成本比率",INDIRECT("'"&amp;D33&amp;"'"&amp;"!c:c"))))</f>
        <v>0.90900000000000003</v>
      </c>
      <c r="E34" s="2452" t="s">
        <v>2156</v>
      </c>
      <c r="F34" s="1735"/>
      <c r="G34" s="138"/>
      <c r="H34" s="138"/>
      <c r="I34" s="138"/>
    </row>
    <row r="35" spans="1:15" ht="15.75" thickBot="1">
      <c r="A35" s="2453"/>
      <c r="B35" s="2454" t="s">
        <v>2157</v>
      </c>
      <c r="C35" s="1440">
        <f ca="1">IF(C33="自定义",F35,ROUND(C32*D35,0))</f>
        <v>8224</v>
      </c>
      <c r="D35" s="1441">
        <f ca="1">IF(C33="自定义",ROUND(C35/C32,3),IF(C33="收益比率",SUMIF(INDIRECT("'"&amp;D33&amp;"'"&amp;"!b:b"),"建筑物收益比率",INDIRECT("'"&amp;D33&amp;"'"&amp;"!c:c")),SUMIF(INDIRECT("'"&amp;D33&amp;"'"&amp;"!b:b"),"建筑物成本比率",INDIRECT("'"&amp;D33&amp;"'"&amp;"!c:c"))))</f>
        <v>9.0999999999999998E-2</v>
      </c>
      <c r="E35" s="2455" t="s">
        <v>2158</v>
      </c>
      <c r="F35" s="163"/>
      <c r="G35" s="138"/>
      <c r="H35" s="138"/>
      <c r="I35" s="138"/>
    </row>
    <row r="36" spans="1:15" ht="15.75" thickBot="1">
      <c r="A36" s="3248" t="s">
        <v>2159</v>
      </c>
      <c r="B36" s="2456" t="s">
        <v>2160</v>
      </c>
      <c r="C36" s="154"/>
      <c r="D36" s="2457"/>
      <c r="E36" s="2458"/>
      <c r="F36" s="2459"/>
      <c r="G36" s="138"/>
      <c r="H36" s="138"/>
      <c r="I36" s="138"/>
    </row>
    <row r="37" spans="1:15" ht="15.75" thickBot="1">
      <c r="A37" s="3249"/>
      <c r="B37" s="2261" t="s">
        <v>2161</v>
      </c>
      <c r="C37" s="156"/>
      <c r="D37" s="1391"/>
      <c r="E37" s="1391"/>
      <c r="F37" s="2459"/>
      <c r="G37" s="138"/>
      <c r="H37" s="138"/>
      <c r="I37" s="138"/>
    </row>
    <row r="38" spans="1:15" ht="15.75" thickBot="1">
      <c r="A38" s="3250"/>
      <c r="B38" s="2460" t="s">
        <v>2162</v>
      </c>
      <c r="C38" s="726"/>
      <c r="D38" s="2461" t="s">
        <v>2163</v>
      </c>
      <c r="E38" s="1391"/>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265" t="s">
        <v>2173</v>
      </c>
      <c r="B45" s="3266"/>
      <c r="C45" s="3267"/>
      <c r="D45" s="164">
        <f ca="1">ROUND(H101*F45,0)</f>
        <v>90378</v>
      </c>
      <c r="E45" s="165" t="s">
        <v>2174</v>
      </c>
      <c r="F45" s="166">
        <v>1</v>
      </c>
      <c r="G45" s="167" t="s">
        <v>2175</v>
      </c>
      <c r="H45" s="138"/>
      <c r="I45" s="138"/>
      <c r="J45" s="3184" t="s">
        <v>2176</v>
      </c>
      <c r="K45" s="3184"/>
      <c r="L45" s="3184"/>
      <c r="M45" s="3184"/>
      <c r="N45" s="3184"/>
      <c r="O45" s="3184"/>
    </row>
    <row r="46" spans="1:15" ht="14.25" customHeight="1">
      <c r="A46" s="3262" t="s">
        <v>2177</v>
      </c>
      <c r="B46" s="3263"/>
      <c r="C46" s="3263"/>
      <c r="D46" s="3263"/>
      <c r="E46" s="3263"/>
      <c r="F46" s="3263"/>
      <c r="G46" s="3264"/>
      <c r="H46" s="2475"/>
      <c r="I46" s="168"/>
      <c r="J46" s="1808">
        <v>1</v>
      </c>
      <c r="K46" s="3184" t="s">
        <v>2178</v>
      </c>
      <c r="L46" s="3184"/>
      <c r="M46" s="3185"/>
      <c r="N46" s="3185"/>
      <c r="O46" s="3185"/>
    </row>
    <row r="47" spans="1:15" ht="12" customHeight="1">
      <c r="A47" s="169" t="s">
        <v>2179</v>
      </c>
      <c r="B47" s="170"/>
      <c r="C47" s="171"/>
      <c r="D47" s="172" t="s">
        <v>2180</v>
      </c>
      <c r="E47" s="24" t="s">
        <v>2181</v>
      </c>
      <c r="F47" s="173" t="s">
        <v>2182</v>
      </c>
      <c r="G47" s="174" t="s">
        <v>2183</v>
      </c>
      <c r="H47" s="2475"/>
      <c r="I47" s="168"/>
      <c r="J47" s="1808">
        <v>2</v>
      </c>
      <c r="K47" s="3184" t="s">
        <v>2184</v>
      </c>
      <c r="L47" s="3184"/>
      <c r="M47" s="3186">
        <f>'数据-取费表'!B2</f>
        <v>43763</v>
      </c>
      <c r="N47" s="3186"/>
      <c r="O47" s="3186"/>
    </row>
    <row r="48" spans="1:15" ht="25.5">
      <c r="A48" s="3252" t="s">
        <v>2185</v>
      </c>
      <c r="B48" s="3253"/>
      <c r="C48" s="3253"/>
      <c r="D48" s="140">
        <f>IF(H48="情况1",0,IF(H48="情况2",D52,IF(H48="情况3",D53,IF(H48="情况4",D54))))</f>
        <v>0</v>
      </c>
      <c r="E48" s="1797" t="str">
        <f>IF(H48="情况4","(销售额-原购置价)×税（费）率","销售额×税（费）率")</f>
        <v>销售额×税（费）率</v>
      </c>
      <c r="F48" s="175" t="str">
        <f>IF(H48="情况1","免征",'数据-取费表'!B41)</f>
        <v>免征</v>
      </c>
      <c r="G48" s="2476" t="s">
        <v>2186</v>
      </c>
      <c r="H48" s="2477" t="s">
        <v>2187</v>
      </c>
      <c r="I48" s="2475"/>
      <c r="J48" s="1808">
        <v>3</v>
      </c>
      <c r="K48" s="3184" t="s">
        <v>2188</v>
      </c>
      <c r="L48" s="3184"/>
      <c r="M48" s="3187">
        <f ca="1">H101</f>
        <v>90378</v>
      </c>
      <c r="N48" s="3187"/>
      <c r="O48" s="3187"/>
    </row>
    <row r="49" spans="1:35" ht="25.5" customHeight="1">
      <c r="A49" s="176" t="s">
        <v>2189</v>
      </c>
      <c r="B49" s="3232" t="s">
        <v>2190</v>
      </c>
      <c r="C49" s="3232"/>
      <c r="D49" s="177">
        <v>0</v>
      </c>
      <c r="E49" s="23" t="s">
        <v>2191</v>
      </c>
      <c r="F49" s="28" t="s">
        <v>34</v>
      </c>
      <c r="G49" s="3213"/>
      <c r="H49" s="138"/>
      <c r="I49" s="2478"/>
      <c r="J49" s="1808">
        <v>4</v>
      </c>
      <c r="K49" s="3184" t="str">
        <f>IF(项目基本情况!E8="房地产抵押价值","房地产抵押价值","抵押担保权已注销时的房地产抵押价值")</f>
        <v>房地产抵押价值</v>
      </c>
      <c r="L49" s="3184"/>
      <c r="M49" s="3187">
        <f ca="1">IF(项目基本情况!E8="房地产抵押价值",H107,H109)</f>
        <v>90378</v>
      </c>
      <c r="N49" s="3187"/>
      <c r="O49" s="3187"/>
    </row>
    <row r="50" spans="1:35" ht="25.5" customHeight="1">
      <c r="A50" s="178"/>
      <c r="B50" s="3232" t="s">
        <v>2192</v>
      </c>
      <c r="C50" s="3232"/>
      <c r="D50" s="179"/>
      <c r="E50" s="31"/>
      <c r="F50" s="180"/>
      <c r="G50" s="3214"/>
      <c r="H50" s="138"/>
      <c r="I50" s="2478"/>
      <c r="J50" s="3184" t="s">
        <v>2193</v>
      </c>
      <c r="K50" s="3184"/>
      <c r="L50" s="3184"/>
      <c r="M50" s="3184"/>
      <c r="N50" s="3184"/>
      <c r="O50" s="3184"/>
    </row>
    <row r="51" spans="1:35" ht="12" customHeight="1">
      <c r="A51" s="181"/>
      <c r="B51" s="3232" t="s">
        <v>2194</v>
      </c>
      <c r="C51" s="3232"/>
      <c r="D51" s="182"/>
      <c r="E51" s="30"/>
      <c r="F51" s="180"/>
      <c r="G51" s="3215"/>
      <c r="H51" s="138"/>
      <c r="I51" s="2478"/>
      <c r="J51" s="2479" t="s">
        <v>2195</v>
      </c>
      <c r="K51" s="3184" t="s">
        <v>2196</v>
      </c>
      <c r="L51" s="3184"/>
      <c r="M51" s="2479" t="s">
        <v>2197</v>
      </c>
      <c r="N51" s="2479" t="s">
        <v>2198</v>
      </c>
      <c r="O51" s="2479" t="s">
        <v>2199</v>
      </c>
    </row>
    <row r="52" spans="1:35" ht="24" customHeight="1">
      <c r="A52" s="183" t="s">
        <v>2200</v>
      </c>
      <c r="B52" s="3232" t="s">
        <v>2201</v>
      </c>
      <c r="C52" s="3232"/>
      <c r="D52" s="182">
        <f ca="1">ROUND(D45*'数据-取费表'!B41/(1+'数据-取费表'!C42),0)</f>
        <v>4820</v>
      </c>
      <c r="E52" s="11" t="s">
        <v>2202</v>
      </c>
      <c r="F52" s="184">
        <f>'数据-取费表'!B41</f>
        <v>5.6000000000000001E-2</v>
      </c>
      <c r="G52" s="2480"/>
      <c r="H52" s="138"/>
      <c r="I52" s="2478"/>
      <c r="J52" s="1808">
        <v>1</v>
      </c>
      <c r="K52" s="3207" t="s">
        <v>2203</v>
      </c>
      <c r="L52" s="3207"/>
      <c r="M52" s="1750">
        <f>D48</f>
        <v>0</v>
      </c>
      <c r="N52" s="1808" t="str">
        <f>E48</f>
        <v>销售额×税（费）率</v>
      </c>
      <c r="O52" s="1751" t="str">
        <f>F48</f>
        <v>免征</v>
      </c>
    </row>
    <row r="53" spans="1:35" ht="12" customHeight="1">
      <c r="A53" s="183" t="s">
        <v>2204</v>
      </c>
      <c r="B53" s="3233" t="s">
        <v>2205</v>
      </c>
      <c r="C53" s="3234"/>
      <c r="D53" s="182">
        <f ca="1">ROUND(D45*'数据-取费表'!B41/(1+'数据-取费表'!C42),0)</f>
        <v>4820</v>
      </c>
      <c r="E53" s="11" t="s">
        <v>2202</v>
      </c>
      <c r="F53" s="184">
        <f>'数据-取费表'!B41</f>
        <v>5.6000000000000001E-2</v>
      </c>
      <c r="G53" s="2480"/>
      <c r="H53" s="138"/>
      <c r="I53" s="2478"/>
      <c r="J53" s="1808">
        <v>2</v>
      </c>
      <c r="K53" s="3207" t="s">
        <v>2206</v>
      </c>
      <c r="L53" s="3207"/>
      <c r="M53" s="1750">
        <f t="shared" ref="M53:O54" ca="1" si="0">D55</f>
        <v>45</v>
      </c>
      <c r="N53" s="1808" t="str">
        <f t="shared" si="0"/>
        <v>销售额×税（费）率</v>
      </c>
      <c r="O53" s="1751">
        <f t="shared" si="0"/>
        <v>5.0000000000000001E-4</v>
      </c>
    </row>
    <row r="54" spans="1:35" ht="12" customHeight="1">
      <c r="A54" s="183" t="s">
        <v>2207</v>
      </c>
      <c r="B54" s="3233" t="s">
        <v>2208</v>
      </c>
      <c r="C54" s="3234"/>
      <c r="D54" s="182">
        <f ca="1">C68</f>
        <v>4820</v>
      </c>
      <c r="E54" s="30" t="s">
        <v>2209</v>
      </c>
      <c r="F54" s="184">
        <f>'数据-取费表'!B41</f>
        <v>5.6000000000000001E-2</v>
      </c>
      <c r="G54" s="2480"/>
      <c r="H54" s="2481"/>
      <c r="I54" s="2478"/>
      <c r="J54" s="1808">
        <v>3</v>
      </c>
      <c r="K54" s="3207" t="s">
        <v>2210</v>
      </c>
      <c r="L54" s="3207"/>
      <c r="M54" s="1750">
        <f t="shared" ca="1" si="0"/>
        <v>51154</v>
      </c>
      <c r="N54" s="1808" t="str">
        <f t="shared" si="0"/>
        <v>增值额×税（费）率</v>
      </c>
      <c r="O54" s="1752" t="str">
        <f t="shared" si="0"/>
        <v>——</v>
      </c>
    </row>
    <row r="55" spans="1:35" ht="24" customHeight="1">
      <c r="A55" s="3271" t="s">
        <v>2211</v>
      </c>
      <c r="B55" s="3253"/>
      <c r="C55" s="3253"/>
      <c r="D55" s="185">
        <f ca="1">IF(H55="个人住宅",0,ROUND(D45*I55,0))</f>
        <v>45</v>
      </c>
      <c r="E55" s="11" t="s">
        <v>2212</v>
      </c>
      <c r="F55" s="184">
        <f>IF(H55="正常",I55,"免征")</f>
        <v>5.0000000000000001E-4</v>
      </c>
      <c r="G55" s="2480"/>
      <c r="H55" s="2477" t="s">
        <v>2213</v>
      </c>
      <c r="I55" s="186">
        <f>'数据-取费表'!B49</f>
        <v>5.0000000000000001E-4</v>
      </c>
      <c r="J55" s="1808" t="str">
        <f>IF(H59="非个人房产","",4)</f>
        <v/>
      </c>
      <c r="K55" s="3207" t="str">
        <f>IF(H59="非个人房产","——","个人所得税")</f>
        <v>——</v>
      </c>
      <c r="L55" s="3207"/>
      <c r="M55" s="1753" t="str">
        <f>D59</f>
        <v>——</v>
      </c>
      <c r="N55" s="1806" t="str">
        <f>E59</f>
        <v>——</v>
      </c>
      <c r="O55" s="1754" t="str">
        <f>F59</f>
        <v>——</v>
      </c>
    </row>
    <row r="56" spans="1:35" ht="24.75">
      <c r="A56" s="3271" t="s">
        <v>2214</v>
      </c>
      <c r="B56" s="3253"/>
      <c r="C56" s="3253"/>
      <c r="D56" s="185">
        <f ca="1">IF(H56="个人住宅",D57,D58)</f>
        <v>51154</v>
      </c>
      <c r="E56" s="11" t="s">
        <v>2215</v>
      </c>
      <c r="F56" s="184" t="str">
        <f>IF(H56="正常",F58,"免征")</f>
        <v>——</v>
      </c>
      <c r="G56" s="2482" t="s">
        <v>2216</v>
      </c>
      <c r="H56" s="2483" t="s">
        <v>2213</v>
      </c>
      <c r="I56" s="2484"/>
      <c r="J56" s="1808" t="str">
        <f>IF(项目基本情况!K6="上海银行",IF(J55="",4,J55+1),"")</f>
        <v/>
      </c>
      <c r="K56" s="3190" t="str">
        <f>IF(项目基本情况!K6="上海银行","其他处置费用","")</f>
        <v/>
      </c>
      <c r="L56" s="3191"/>
      <c r="M56" s="1750" t="str">
        <f>IF(项目基本情况!K6="上海银行",M69,"")</f>
        <v/>
      </c>
      <c r="N56" s="3193" t="str">
        <f>IF(项目基本情况!K6="上海银行","包含处置中涉及的律师、诉讼、拍卖、评估等费用","")</f>
        <v/>
      </c>
      <c r="O56" s="3194"/>
    </row>
    <row r="57" spans="1:35" ht="12.75">
      <c r="A57" s="183" t="s">
        <v>2189</v>
      </c>
      <c r="B57" s="3238" t="s">
        <v>2217</v>
      </c>
      <c r="C57" s="3239"/>
      <c r="D57" s="187">
        <v>0</v>
      </c>
      <c r="E57" s="23" t="s">
        <v>2191</v>
      </c>
      <c r="F57" s="155"/>
      <c r="G57" s="2480"/>
      <c r="H57" s="2484"/>
      <c r="I57" s="2484"/>
      <c r="J57" s="3207">
        <f>IF(AND(J55="",J56=""),4,IF(项目基本情况!K6="上海银行",结果表!J56+1,结果表!J55+1))</f>
        <v>4</v>
      </c>
      <c r="K57" s="3207" t="s">
        <v>2218</v>
      </c>
      <c r="L57" s="2485" t="s">
        <v>2219</v>
      </c>
      <c r="M57" s="1755"/>
      <c r="N57" s="1756">
        <f ca="1">SUMIF(M52:M56,"&lt;9e307")</f>
        <v>51199</v>
      </c>
      <c r="O57" s="2486"/>
      <c r="P57" s="1749">
        <f ca="1">N57/M49</f>
        <v>0.56649848414437143</v>
      </c>
    </row>
    <row r="58" spans="1:35" ht="24.75">
      <c r="A58" s="183" t="s">
        <v>2200</v>
      </c>
      <c r="B58" s="3238" t="s">
        <v>2220</v>
      </c>
      <c r="C58" s="3251"/>
      <c r="D58" s="185">
        <f ca="1">IF(H58="转让取得",C81,C97)</f>
        <v>51154</v>
      </c>
      <c r="E58" s="11" t="s">
        <v>2215</v>
      </c>
      <c r="F58" s="24" t="s">
        <v>34</v>
      </c>
      <c r="G58" s="2480"/>
      <c r="H58" s="2483" t="s">
        <v>2221</v>
      </c>
      <c r="I58" s="2484"/>
      <c r="J58" s="3207"/>
      <c r="K58" s="3207"/>
      <c r="L58" s="2485" t="s">
        <v>2222</v>
      </c>
      <c r="M58" s="1757"/>
      <c r="N58" s="2487" t="str">
        <f ca="1">NUMBERSTRING(INT(N57*10000),2)&amp;"元整"</f>
        <v>伍亿壹仟壹佰玖拾玖万元整</v>
      </c>
      <c r="O58" s="2488"/>
    </row>
    <row r="59" spans="1:35" ht="24.75" thickBot="1">
      <c r="A59" s="3211" t="s">
        <v>2223</v>
      </c>
      <c r="B59" s="3212"/>
      <c r="C59" s="3212"/>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09">
        <f>J57+1</f>
        <v>5</v>
      </c>
      <c r="K59" s="3207" t="s">
        <v>2225</v>
      </c>
      <c r="L59" s="1808" t="s">
        <v>2219</v>
      </c>
      <c r="M59" s="1758"/>
      <c r="N59" s="1759">
        <f ca="1">M49-N57</f>
        <v>39179</v>
      </c>
      <c r="O59" s="2490"/>
    </row>
    <row r="60" spans="1:35" ht="12" customHeight="1">
      <c r="A60" s="2491"/>
      <c r="B60" s="2413"/>
      <c r="C60" s="2413"/>
      <c r="D60" s="2413"/>
      <c r="E60" s="2160"/>
      <c r="F60" s="2484"/>
      <c r="G60" s="2484"/>
      <c r="H60" s="2492"/>
      <c r="I60" s="138"/>
      <c r="J60" s="3210"/>
      <c r="K60" s="3207"/>
      <c r="L60" s="2485" t="s">
        <v>2222</v>
      </c>
      <c r="M60" s="1757"/>
      <c r="N60" s="2487" t="str">
        <f ca="1">NUMBERSTRING(INT(N59*10000),2)&amp;"元整"</f>
        <v>叁亿玖仟壹佰柒拾玖万元整</v>
      </c>
      <c r="O60" s="2488"/>
    </row>
    <row r="61" spans="1:35" ht="13.5" thickBot="1">
      <c r="A61" s="3270" t="s">
        <v>2226</v>
      </c>
      <c r="B61" s="3270"/>
      <c r="C61" s="3270"/>
      <c r="D61" s="3270"/>
      <c r="E61" s="3270"/>
      <c r="F61" s="2484"/>
      <c r="G61" s="2484"/>
      <c r="H61" s="2492"/>
      <c r="I61" s="138"/>
      <c r="J61" s="1808">
        <f>J59+1</f>
        <v>6</v>
      </c>
      <c r="K61" s="3207" t="s">
        <v>2227</v>
      </c>
      <c r="L61" s="3207"/>
      <c r="M61" s="1760"/>
      <c r="N61" s="1761">
        <f ca="1">ROUND(N59*10000/'数据-汇总表'!E3,0)</f>
        <v>17285</v>
      </c>
      <c r="O61" s="2493"/>
    </row>
    <row r="62" spans="1:35" ht="12.75">
      <c r="A62" s="3227" t="s">
        <v>2228</v>
      </c>
      <c r="B62" s="3228"/>
      <c r="C62" s="1800"/>
      <c r="D62" s="1800" t="s">
        <v>2229</v>
      </c>
      <c r="E62" s="192" t="s">
        <v>2230</v>
      </c>
      <c r="F62" s="2484"/>
      <c r="G62" s="2484"/>
      <c r="H62" s="2492"/>
      <c r="I62" s="138"/>
    </row>
    <row r="63" spans="1:35" ht="12.75">
      <c r="A63" s="203" t="s">
        <v>775</v>
      </c>
      <c r="B63" s="193" t="s">
        <v>2231</v>
      </c>
      <c r="C63" s="194">
        <f ca="1">ROUND((C64+C65)/(1+'数据-取费表'!C42),0)</f>
        <v>86074</v>
      </c>
      <c r="D63" s="195"/>
      <c r="E63" s="196"/>
      <c r="F63" s="2484"/>
      <c r="G63" s="2484"/>
      <c r="H63" s="2492"/>
      <c r="I63" s="138"/>
      <c r="J63" s="3192" t="s">
        <v>2232</v>
      </c>
      <c r="K63" s="2494" t="s">
        <v>2233</v>
      </c>
      <c r="L63" s="1748">
        <f ca="1">IF(M49&gt;10000,M49*0.5%,IF(AND(M49&gt;1000,M49&lt;=10000),M49*1%,IF(AND(M49&gt;100,M49&lt;=1000),M49*3%,IF(AND(M49&gt;10,M49&lt;=100),M49*5%,M49*8%))))</f>
        <v>451.89</v>
      </c>
      <c r="M63" s="24">
        <f ca="1">ROUND(L63,1)</f>
        <v>451.9</v>
      </c>
      <c r="Z63" s="2418"/>
      <c r="AI63" s="2419"/>
    </row>
    <row r="64" spans="1:35" ht="14.25" customHeight="1">
      <c r="A64" s="197" t="s">
        <v>770</v>
      </c>
      <c r="B64" s="198" t="s">
        <v>2234</v>
      </c>
      <c r="C64" s="199">
        <f ca="1">D45</f>
        <v>90378</v>
      </c>
      <c r="D64" s="200" t="s">
        <v>32</v>
      </c>
      <c r="E64" s="201"/>
      <c r="F64" s="2484"/>
      <c r="G64" s="2484"/>
      <c r="H64" s="2492"/>
      <c r="I64" s="138"/>
      <c r="J64" s="3192"/>
      <c r="K64" s="2494" t="s">
        <v>2235</v>
      </c>
      <c r="L64" s="1748">
        <f ca="1">IF(M49&gt;2000,M49*0.5%,IF(AND(M49&gt;1000,M49&lt;=2000),M49*0.6%,IF(AND(M49&gt;500,M49&lt;=1000),M49*0.7%,IF(AND(M49&gt;200,M49&lt;=500),M49*0.8%,IF(AND(M49&gt;100,M49&lt;=200),M49*0.9%,IF(AND(M49&gt;50,M49&lt;=100),M49*1%,IF(AND(M49&gt;20,M49&lt;=50),M49*1.5%,IF(AND(M49&gt;10,M49&lt;=20),M49*2%,IF(AND(M49&gt;1,M49&lt;=10),M49*2.5%)))))))))</f>
        <v>451.89</v>
      </c>
      <c r="M64" s="24">
        <f t="shared" ref="M64:M65" ca="1" si="1">ROUND(L64,1)</f>
        <v>451.9</v>
      </c>
      <c r="N64" s="138" t="s">
        <v>2236</v>
      </c>
      <c r="Z64" s="2418"/>
      <c r="AI64" s="2419"/>
    </row>
    <row r="65" spans="1:35" ht="14.25" customHeight="1">
      <c r="A65" s="197" t="s">
        <v>771</v>
      </c>
      <c r="B65" s="198" t="s">
        <v>2237</v>
      </c>
      <c r="C65" s="202"/>
      <c r="D65" s="200"/>
      <c r="E65" s="201"/>
      <c r="F65" s="2484"/>
      <c r="G65" s="2484"/>
      <c r="H65" s="2492"/>
      <c r="I65" s="138"/>
      <c r="J65" s="3192"/>
      <c r="K65" s="2494" t="s">
        <v>2238</v>
      </c>
      <c r="L65" s="1748">
        <f ca="1">IF(M49&gt;1000,M49*0.1%,IF(AND(M49&gt;500,M49&lt;=1000),M49*0.5%,IF(AND(M49&gt;50,M49&lt;=500),M49*1%,IF(AND(M49&gt;1,M49&lt;=50),M49*1.5%))))</f>
        <v>90.378</v>
      </c>
      <c r="M65" s="24">
        <f t="shared" ca="1" si="1"/>
        <v>90.4</v>
      </c>
      <c r="N65" s="138" t="s">
        <v>2236</v>
      </c>
      <c r="Z65" s="2418"/>
      <c r="AI65" s="2419"/>
    </row>
    <row r="66" spans="1:35" ht="14.25" customHeight="1">
      <c r="A66" s="203" t="s">
        <v>772</v>
      </c>
      <c r="B66" s="204" t="s">
        <v>2239</v>
      </c>
      <c r="C66" s="205"/>
      <c r="D66" s="206" t="s">
        <v>32</v>
      </c>
      <c r="E66" s="1772" t="s">
        <v>1367</v>
      </c>
      <c r="F66" s="2484"/>
      <c r="G66" s="2484"/>
      <c r="H66" s="2492"/>
      <c r="I66" s="138"/>
      <c r="J66" s="3192"/>
      <c r="K66" s="2494" t="s">
        <v>2240</v>
      </c>
      <c r="L66" s="1748">
        <f ca="1">M49*0.5%</f>
        <v>451.89</v>
      </c>
      <c r="M66" s="24">
        <f ca="1">IF(L66&gt;0.5,0.5,ROUND(L66,0))</f>
        <v>0.5</v>
      </c>
      <c r="N66" s="138" t="s">
        <v>2241</v>
      </c>
      <c r="Z66" s="2418"/>
      <c r="AI66" s="2419"/>
    </row>
    <row r="67" spans="1:35" ht="14.25" customHeight="1">
      <c r="A67" s="203" t="s">
        <v>773</v>
      </c>
      <c r="B67" s="204" t="s">
        <v>2242</v>
      </c>
      <c r="C67" s="207">
        <f ca="1">C63-C66</f>
        <v>86074</v>
      </c>
      <c r="D67" s="200" t="s">
        <v>32</v>
      </c>
      <c r="E67" s="201"/>
      <c r="F67" s="2484"/>
      <c r="G67" s="2484"/>
      <c r="H67" s="2492"/>
      <c r="I67" s="138"/>
      <c r="J67" s="3192"/>
      <c r="K67" s="2494" t="s">
        <v>2243</v>
      </c>
      <c r="L67" s="1748">
        <f ca="1">IF(M49&gt;=10000,(8.25+(M49-10000)*0.01%),IF(AND(M49&gt;=8000,M49&lt;10000),(7.85+(M49-8000)*0.02%),IF(AND(M49&gt;=5000,M49&lt;8000),(6.65+(M49-5000)*0.04%),IF(AND(M49&gt;=2000,M49&lt;5000),(4.25+(PM49-2000)*0.08%),IF(AND(M49&gt;=1000,M49&lt;2000),(2.75+(M49-1000)*0.15%),IF(AND(M49&gt;=100,M49&lt;1000),(0.5+(M49-100)*0.25%),IF(AND(M49&gt;0,M49&lt;100),M49*0.5%)))))))</f>
        <v>16.287800000000001</v>
      </c>
      <c r="M67" s="24">
        <f ca="1">ROUND(L67*0.9,1)</f>
        <v>14.7</v>
      </c>
      <c r="Z67" s="2418"/>
      <c r="AI67" s="2419"/>
    </row>
    <row r="68" spans="1:35" ht="14.25" customHeight="1" thickBot="1">
      <c r="A68" s="208" t="s">
        <v>774</v>
      </c>
      <c r="B68" s="209" t="s">
        <v>2244</v>
      </c>
      <c r="C68" s="210">
        <f ca="1">IF(C67&lt;=0,0,ROUND(C67*D68,0))</f>
        <v>4820</v>
      </c>
      <c r="D68" s="211">
        <f>'数据-取费表'!B41</f>
        <v>5.6000000000000001E-2</v>
      </c>
      <c r="E68" s="212"/>
      <c r="F68" s="2484"/>
      <c r="G68" s="2484"/>
      <c r="H68" s="2492"/>
      <c r="I68" s="138"/>
      <c r="J68" s="3192"/>
      <c r="K68" s="2494" t="s">
        <v>2245</v>
      </c>
      <c r="L68" s="1748">
        <f ca="1">IF(M49&gt;10000,M49*0.5%,IF(AND(M49&gt;5000,M49&lt;=10000),M49*1%,IF(AND(M49&gt;1000,M49&lt;=5000),M49*2%,IF(AND(M49&gt;200,M49&lt;=1000),M49*3%,M49*5%))))</f>
        <v>451.89</v>
      </c>
      <c r="M68" s="24">
        <f ca="1">ROUND(L68,1)</f>
        <v>451.9</v>
      </c>
      <c r="Z68" s="2418"/>
      <c r="AI68" s="2419"/>
    </row>
    <row r="69" spans="1:35" s="2441" customFormat="1" ht="16.5" customHeight="1">
      <c r="A69" s="2495"/>
      <c r="B69" s="2496"/>
      <c r="C69" s="2497"/>
      <c r="D69" s="2498"/>
      <c r="E69" s="2499"/>
      <c r="F69" s="2160"/>
      <c r="G69" s="2160"/>
      <c r="H69" s="2159"/>
      <c r="I69" s="2413"/>
      <c r="J69" s="3192"/>
      <c r="K69" s="2494" t="s">
        <v>2246</v>
      </c>
      <c r="L69" s="2500"/>
      <c r="M69" s="24">
        <f ca="1">ROUND(SUM(M63:M68),0)</f>
        <v>1461</v>
      </c>
      <c r="N69" s="1749">
        <f ca="1">M69/M49</f>
        <v>1.6165438491668325E-2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236" t="s">
        <v>2247</v>
      </c>
      <c r="B70" s="3237"/>
      <c r="C70" s="3237"/>
      <c r="D70" s="3237"/>
      <c r="E70" s="3237"/>
      <c r="F70" s="3237"/>
      <c r="G70" s="3237"/>
      <c r="H70" s="323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27" t="s">
        <v>2228</v>
      </c>
      <c r="B71" s="3228"/>
      <c r="C71" s="1800"/>
      <c r="D71" s="1800"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2248</v>
      </c>
      <c r="C72" s="207">
        <f ca="1">ROUND(D45/(1+'数据-取费表'!C42),0)</f>
        <v>86074</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2249</v>
      </c>
      <c r="C73" s="207">
        <f ca="1">C74+C78</f>
        <v>516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2250</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2255</v>
      </c>
      <c r="C76" s="200">
        <f>IF(F75="购房发票",ROUND(C75*H75*D76,0),0)</f>
        <v>0</v>
      </c>
      <c r="D76" s="222">
        <v>0.05</v>
      </c>
      <c r="E76" s="3233" t="s">
        <v>2256</v>
      </c>
      <c r="F76" s="3232"/>
      <c r="G76" s="3232"/>
      <c r="H76" s="323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2260</v>
      </c>
      <c r="C78" s="225">
        <f ca="1">ROUND(D45*D78/(1+'数据-取费表'!C42),0)</f>
        <v>516</v>
      </c>
      <c r="D78" s="226">
        <f>'数据-取费表'!B43</f>
        <v>6.000000000000001E-3</v>
      </c>
      <c r="E78" s="3224" t="s">
        <v>2261</v>
      </c>
      <c r="F78" s="3225"/>
      <c r="G78" s="3225"/>
      <c r="H78" s="322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2262</v>
      </c>
      <c r="C79" s="207">
        <f ca="1">C72-C73</f>
        <v>85558</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2263</v>
      </c>
      <c r="C80" s="227">
        <f ca="1">IF(C79&lt;=0,0,C79/C73)</f>
        <v>165.81007751937983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2264</v>
      </c>
      <c r="C81" s="228">
        <f ca="1">ROUND(IF(C79&lt;=0,0,IF(C80&gt;=200%,C79*60%-C73*35%,IF(C80&gt;=100%,C79*50%-C73*15%,IF(C80&gt;=50%,C79*40%-C73*5%,IF(C80&lt;50%,C79*30%,0))))),0)</f>
        <v>51154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6" t="s">
        <v>2265</v>
      </c>
      <c r="B83" s="3237"/>
      <c r="C83" s="3237"/>
      <c r="D83" s="3237"/>
      <c r="E83" s="3237"/>
      <c r="F83" s="3237"/>
      <c r="G83" s="3237"/>
      <c r="H83" s="323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27" t="s">
        <v>2228</v>
      </c>
      <c r="B84" s="3228"/>
      <c r="C84" s="1800"/>
      <c r="D84" s="1800"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2248</v>
      </c>
      <c r="C85" s="207">
        <f ca="1">ROUND(D45/(1+'数据-取费表'!C42),0)</f>
        <v>86074</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2249</v>
      </c>
      <c r="C86" s="207">
        <f ca="1">IF(H88="仅含出让金",C87+C90+C91+C92+C93+C94,C87+C91+C92+C93+C94)</f>
        <v>516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2266</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2267</v>
      </c>
      <c r="C88" s="236"/>
      <c r="D88" s="226"/>
      <c r="E88" s="237" t="s">
        <v>2268</v>
      </c>
      <c r="F88" s="1796"/>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2257</v>
      </c>
      <c r="C89" s="225">
        <f>ROUND(C88*D89,0)</f>
        <v>0</v>
      </c>
      <c r="D89" s="226">
        <f>'数据-取费表'!B48+'数据-取费表'!B49</f>
        <v>3.0499999999999999E-2</v>
      </c>
      <c r="E89" s="237" t="s">
        <v>2270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2271</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IF(H91="——",'成本法-车库'!C33,I91)</f>
        <v>0</v>
      </c>
      <c r="D91" s="226"/>
      <c r="E91" s="3224" t="s">
        <v>2274</v>
      </c>
      <c r="F91" s="3225"/>
      <c r="G91" s="3225"/>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224" t="s">
        <v>2278</v>
      </c>
      <c r="F92" s="3225"/>
      <c r="G92" s="3225"/>
      <c r="H92" s="322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f ca="1">ROUND(D45*D93/(1+'数据-取费表'!C42),0)</f>
        <v>516</v>
      </c>
      <c r="D93" s="226">
        <f>'数据-取费表'!B43</f>
        <v>6.000000000000001E-3</v>
      </c>
      <c r="E93" s="3224" t="s">
        <v>2261</v>
      </c>
      <c r="F93" s="3225"/>
      <c r="G93" s="3225"/>
      <c r="H93" s="322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272" t="s">
        <v>2282</v>
      </c>
      <c r="F94" s="3273"/>
      <c r="G94" s="3273"/>
      <c r="H94" s="32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2262</v>
      </c>
      <c r="C95" s="207">
        <f ca="1">ROUND(C85-C86,0)</f>
        <v>85558</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2263</v>
      </c>
      <c r="C96" s="227">
        <f ca="1">IF(C95&lt;=0,0,C95/C86)</f>
        <v>165.81007751937983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2264</v>
      </c>
      <c r="C97" s="228">
        <f ca="1">ROUND(IF(C95&lt;=0,0,IF(C96&gt;=200%,C95*60%-C86*35%,IF(C96&gt;=100%,C95*50%-C86*15%,IF(C96&gt;=50%,C95*40%-C86*5%,IF(C96&lt;50%,C95*30%,0))))),0)</f>
        <v>51154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1" t="s">
        <v>2284</v>
      </c>
      <c r="B100" s="3102"/>
      <c r="C100" s="3102"/>
      <c r="D100" s="3208"/>
      <c r="E100" s="3102" t="s">
        <v>2285</v>
      </c>
      <c r="F100" s="3102"/>
      <c r="G100" s="3102"/>
      <c r="H100" s="3208"/>
      <c r="I100" s="138"/>
    </row>
    <row r="101" spans="1:35" ht="18.75" customHeight="1">
      <c r="A101" s="3216" t="s">
        <v>2286</v>
      </c>
      <c r="B101" s="3217"/>
      <c r="C101" s="735" t="str">
        <f>C4</f>
        <v>收益法-办公</v>
      </c>
      <c r="D101" s="736" t="str">
        <f>D4</f>
        <v>成本法</v>
      </c>
      <c r="E101" s="3188" t="s">
        <v>2287</v>
      </c>
      <c r="F101" s="3189"/>
      <c r="G101" s="2515" t="s">
        <v>2288</v>
      </c>
      <c r="H101" s="1044">
        <f ca="1">H118</f>
        <v>90378</v>
      </c>
      <c r="I101" s="138"/>
    </row>
    <row r="102" spans="1:35" ht="18.75" customHeight="1">
      <c r="A102" s="3218" t="s">
        <v>2289</v>
      </c>
      <c r="B102" s="2515" t="s">
        <v>2288</v>
      </c>
      <c r="C102" s="735">
        <f ca="1">C19</f>
        <v>76993</v>
      </c>
      <c r="D102" s="736">
        <f ca="1">D19</f>
        <v>101329</v>
      </c>
      <c r="E102" s="3188"/>
      <c r="F102" s="3189"/>
      <c r="G102" s="2515" t="s">
        <v>2290</v>
      </c>
      <c r="H102" s="371">
        <f ca="1">I118</f>
        <v>39873</v>
      </c>
      <c r="I102" s="138"/>
    </row>
    <row r="103" spans="1:35" ht="42.75" customHeight="1">
      <c r="A103" s="3218"/>
      <c r="B103" s="2515" t="s">
        <v>2290</v>
      </c>
      <c r="C103" s="737">
        <f ca="1">C20</f>
        <v>34091</v>
      </c>
      <c r="D103" s="738">
        <f ca="1">D20</f>
        <v>44704</v>
      </c>
      <c r="E103" s="3182" t="s">
        <v>2291</v>
      </c>
      <c r="F103" s="3183"/>
      <c r="G103" s="2516" t="s">
        <v>2292</v>
      </c>
      <c r="H103" s="1044">
        <f>IF(D36="正常操作",H104+H105+H106,H105+H106)</f>
        <v>0</v>
      </c>
      <c r="I103" s="138"/>
    </row>
    <row r="104" spans="1:35" ht="18.75" customHeight="1">
      <c r="A104" s="3218" t="s">
        <v>2293</v>
      </c>
      <c r="B104" s="2517" t="s">
        <v>2288</v>
      </c>
      <c r="C104" s="739">
        <f ca="1">H118</f>
        <v>90378</v>
      </c>
      <c r="D104" s="740"/>
      <c r="E104" s="2261" t="s">
        <v>2294</v>
      </c>
      <c r="F104" s="2252"/>
      <c r="G104" s="2516" t="s">
        <v>2292</v>
      </c>
      <c r="H104" s="1045">
        <f>IF(D36="同一抵押权人同一抵押物续贷",C36&amp;"（未扣减，详见特别提示）",C36)</f>
        <v>0</v>
      </c>
      <c r="I104" s="138"/>
    </row>
    <row r="105" spans="1:35" ht="18.75" customHeight="1" thickBot="1">
      <c r="A105" s="3230"/>
      <c r="B105" s="2518" t="s">
        <v>2290</v>
      </c>
      <c r="C105" s="741">
        <f ca="1">I118</f>
        <v>39873</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19" t="str">
        <f>IF(项目基本情况!E8="已注销","——","3.房地产抵押价值")</f>
        <v>3.房地产抵押价值</v>
      </c>
      <c r="F107" s="3189"/>
      <c r="G107" s="2515" t="s">
        <v>2288</v>
      </c>
      <c r="H107" s="1044">
        <f ca="1">IF(E107="——","——",H101-H103)</f>
        <v>90378</v>
      </c>
      <c r="I107" s="138"/>
    </row>
    <row r="108" spans="1:35" ht="18.75" customHeight="1">
      <c r="A108" s="138"/>
      <c r="B108" s="138"/>
      <c r="C108" s="138"/>
      <c r="D108" s="138"/>
      <c r="E108" s="3219"/>
      <c r="F108" s="3189"/>
      <c r="G108" s="2515" t="s">
        <v>2290</v>
      </c>
      <c r="H108" s="371">
        <f ca="1">ROUND(H107*10000/'数据-汇总表'!E3,0)</f>
        <v>39873</v>
      </c>
      <c r="I108" s="138"/>
    </row>
    <row r="109" spans="1:35" ht="18.75" customHeight="1">
      <c r="A109" s="138"/>
      <c r="B109" s="138"/>
      <c r="C109" s="138"/>
      <c r="D109" s="138"/>
      <c r="E109" s="3219" t="str">
        <f>IF(项目基本情况!E8="已注销及未注销","4.抵押担保权已注销时的房地产抵押价值",IF(项目基本情况!E8="已注销","3.抵押担保权已注销时的房地产抵押价值","——"))</f>
        <v>——</v>
      </c>
      <c r="F109" s="3189"/>
      <c r="G109" s="2515" t="s">
        <v>2288</v>
      </c>
      <c r="H109" s="348" t="str">
        <f>IF(E109="——","——",H101-H105-H106)</f>
        <v>——</v>
      </c>
      <c r="I109" s="138"/>
    </row>
    <row r="110" spans="1:35" ht="18.75" customHeight="1">
      <c r="A110" s="138"/>
      <c r="B110" s="138"/>
      <c r="C110" s="138"/>
      <c r="D110" s="138"/>
      <c r="E110" s="3219"/>
      <c r="F110" s="3189"/>
      <c r="G110" s="2515" t="s">
        <v>2290</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2288</v>
      </c>
      <c r="H111" s="1044" t="str">
        <f>IF(E111="——","——",N59)</f>
        <v>——</v>
      </c>
      <c r="I111" s="138"/>
    </row>
    <row r="112" spans="1:35" ht="18.75" customHeight="1" thickBot="1">
      <c r="A112" s="138"/>
      <c r="B112" s="138"/>
      <c r="C112" s="138"/>
      <c r="D112" s="138"/>
      <c r="E112" s="3222"/>
      <c r="F112" s="3223"/>
      <c r="G112" s="2520" t="s">
        <v>2290</v>
      </c>
      <c r="H112" s="789" t="str">
        <f>IF(E111="——","——",N61)</f>
        <v>——</v>
      </c>
      <c r="I112" s="138"/>
    </row>
    <row r="113" spans="1:11" ht="18.75" customHeight="1">
      <c r="A113" s="138"/>
      <c r="B113" s="138"/>
      <c r="C113" s="138"/>
      <c r="D113" s="138"/>
      <c r="E113" s="3231" t="s">
        <v>2296</v>
      </c>
      <c r="F113" s="3231"/>
      <c r="G113" s="3231"/>
      <c r="H113" s="3231"/>
      <c r="I113" s="138"/>
    </row>
    <row r="114" spans="1:11" ht="3.75" customHeight="1">
      <c r="A114" s="2413"/>
      <c r="B114" s="2413"/>
      <c r="C114" s="2413"/>
      <c r="D114" s="2413"/>
      <c r="E114" s="2491"/>
      <c r="F114" s="2491"/>
      <c r="G114" s="2491"/>
      <c r="H114" s="2491"/>
      <c r="I114" s="2413"/>
    </row>
    <row r="115" spans="1:11" ht="18.75" customHeight="1">
      <c r="A115" s="3244" t="s">
        <v>2298</v>
      </c>
      <c r="B115" s="3245"/>
      <c r="C115" s="3245"/>
      <c r="D115" s="3245"/>
      <c r="E115" s="3245"/>
      <c r="F115" s="3245"/>
      <c r="G115" s="3245"/>
      <c r="H115" s="3245"/>
      <c r="I115" s="3246"/>
    </row>
    <row r="116" spans="1:11" ht="27" customHeight="1">
      <c r="A116" s="3080" t="s">
        <v>2299</v>
      </c>
      <c r="B116" s="3198" t="s">
        <v>2300</v>
      </c>
      <c r="C116" s="3198" t="s">
        <v>2301</v>
      </c>
      <c r="D116" s="3204" t="s">
        <v>2302</v>
      </c>
      <c r="E116" s="3205"/>
      <c r="F116" s="3240" t="s">
        <v>2303</v>
      </c>
      <c r="G116" s="3240"/>
      <c r="H116" s="3080" t="s">
        <v>2304</v>
      </c>
      <c r="I116" s="3080"/>
    </row>
    <row r="117" spans="1:11" ht="18.75" customHeight="1">
      <c r="A117" s="3080"/>
      <c r="B117" s="3199"/>
      <c r="C117" s="3199"/>
      <c r="D117" s="1794" t="s">
        <v>2305</v>
      </c>
      <c r="E117" s="1794" t="s">
        <v>2306</v>
      </c>
      <c r="F117" s="1794" t="s">
        <v>2305</v>
      </c>
      <c r="G117" s="1794" t="s">
        <v>2307</v>
      </c>
      <c r="H117" s="1794" t="s">
        <v>2305</v>
      </c>
      <c r="I117" s="1794" t="s">
        <v>2307</v>
      </c>
    </row>
    <row r="118" spans="1:11" ht="24.75" customHeight="1">
      <c r="A118" s="2521" t="str">
        <f>项目基本情况!S2</f>
        <v>北京市海淀区东北旺西路8号19号楼房地产</v>
      </c>
      <c r="B118" s="1794">
        <f>M18</f>
        <v>22666.709999999995</v>
      </c>
      <c r="C118" s="1794">
        <f>M19</f>
        <v>26823.14</v>
      </c>
      <c r="D118" s="1794">
        <f ca="1">ROUND(IF(D32="总价",C34,E118*B118/10000),0)</f>
        <v>82154</v>
      </c>
      <c r="E118" s="1794">
        <f ca="1">ROUND(IF(C33="自定义",IF(D32="楼面单价",C34,D118*10000/B118),I118-G118),0)</f>
        <v>36245</v>
      </c>
      <c r="F118" s="1794">
        <f ca="1">ROUND(IF(D32="总价",C35,G118*B118/10000),0)</f>
        <v>8224</v>
      </c>
      <c r="G118" s="1794">
        <f ca="1">ROUND(IF(D32="楼面单价",C35,F118*10000/B118),0)</f>
        <v>3628</v>
      </c>
      <c r="H118" s="1794">
        <f ca="1">ROUND(IF(D32="总价",C32,I118*B118/10000),0)</f>
        <v>90378</v>
      </c>
      <c r="I118" s="1794">
        <f ca="1">ROUND(IF(D32="楼面单价",C32,H118*10000/B118),0)</f>
        <v>39873</v>
      </c>
    </row>
    <row r="119" spans="1:11" ht="18.75" customHeight="1">
      <c r="A119" s="3080" t="s">
        <v>2308</v>
      </c>
      <c r="B119" s="3080"/>
      <c r="C119" s="3080"/>
      <c r="D119" s="3200" t="str">
        <f ca="1">NUMBERSTRING(INT(D118*10000),2)&amp;"元整"</f>
        <v>捌亿贰仟壹佰伍拾肆万元整</v>
      </c>
      <c r="E119" s="3201"/>
      <c r="F119" s="3200" t="str">
        <f ca="1">NUMBERSTRING(INT(F118*10000),2)&amp;"元整"</f>
        <v>捌仟贰佰贰拾肆万元整</v>
      </c>
      <c r="G119" s="3201"/>
      <c r="H119" s="3200" t="str">
        <f ca="1">NUMBERSTRING(INT(H118*10000),2)&amp;"元整"</f>
        <v>玖亿零叁佰柒拾捌万元整</v>
      </c>
      <c r="I119" s="3201"/>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8" t="str">
        <f>IF(D120=0,"故，本次评估不存在"&amp;A120,"故，本次评估"&amp;A120&amp;"为人民币"&amp;D120&amp;"万元整。")</f>
        <v>故，本次评估不存在估价师知悉的法定优先受偿款</v>
      </c>
    </row>
    <row r="121" spans="1:11" ht="18.75" customHeight="1">
      <c r="A121" s="3241" t="s">
        <v>2308</v>
      </c>
      <c r="B121" s="3242"/>
      <c r="C121" s="3243"/>
      <c r="D121" s="3200" t="str">
        <f>IF(D120=0,"零元整",NUMBERSTRING(INT(D120*10000),2)&amp;"元整")</f>
        <v>零元整</v>
      </c>
      <c r="E121" s="3202"/>
      <c r="F121" s="3202"/>
      <c r="G121" s="3202"/>
      <c r="H121" s="3202"/>
      <c r="I121" s="3201"/>
    </row>
    <row r="122" spans="1:11" ht="18.75" customHeight="1">
      <c r="A122" s="3206" t="str">
        <f>IF(项目基本情况!B9="房地产市场价值","",MID(E107,3,LEN(E107)-2))</f>
        <v>房地产抵押价值</v>
      </c>
      <c r="B122" s="3206"/>
      <c r="C122" s="3206"/>
      <c r="D122" s="3195">
        <f ca="1">H107</f>
        <v>90378</v>
      </c>
      <c r="E122" s="3196"/>
      <c r="F122" s="3196"/>
      <c r="G122" s="3196"/>
      <c r="H122" s="3196"/>
      <c r="I122" s="3197"/>
    </row>
    <row r="123" spans="1:11" ht="18.75" customHeight="1">
      <c r="A123" s="3080" t="s">
        <v>2308</v>
      </c>
      <c r="B123" s="3080"/>
      <c r="C123" s="3080"/>
      <c r="D123" s="3200" t="str">
        <f ca="1">NUMBERSTRING(INT(D122*10000),2)&amp;"元整"</f>
        <v>玖亿零叁佰柒拾捌万元整</v>
      </c>
      <c r="E123" s="3202"/>
      <c r="F123" s="3202"/>
      <c r="G123" s="3202"/>
      <c r="H123" s="3202"/>
      <c r="I123" s="3201"/>
    </row>
    <row r="124" spans="1:11" ht="18.75" customHeight="1">
      <c r="A124" s="3206" t="str">
        <f>IF(项目基本情况!B9="房地产市场价值","",MID(E109,3,LEN(E109)-2))</f>
        <v/>
      </c>
      <c r="B124" s="3206"/>
      <c r="C124" s="3206"/>
      <c r="D124" s="3195" t="str">
        <f>H109</f>
        <v>——</v>
      </c>
      <c r="E124" s="3196"/>
      <c r="F124" s="3196"/>
      <c r="G124" s="3196"/>
      <c r="H124" s="3196"/>
      <c r="I124" s="3197"/>
    </row>
    <row r="125" spans="1:11" ht="18.75" customHeight="1">
      <c r="A125" s="3080" t="s">
        <v>2308</v>
      </c>
      <c r="B125" s="3080"/>
      <c r="C125" s="3080"/>
      <c r="D125" s="3200" t="e">
        <f>NUMBERSTRING(INT(D124*10000),2)&amp;"元整"</f>
        <v>#VALUE!</v>
      </c>
      <c r="E125" s="3202"/>
      <c r="F125" s="3202"/>
      <c r="G125" s="3202"/>
      <c r="H125" s="3202"/>
      <c r="I125" s="3201"/>
    </row>
    <row r="126" spans="1:11" ht="18.75" customHeight="1">
      <c r="A126" s="3206" t="str">
        <f>IF(项目基本情况!B9="房地产市场价值","",MID(E111,3,LEN(E111)-2))</f>
        <v/>
      </c>
      <c r="B126" s="3206"/>
      <c r="C126" s="3206"/>
      <c r="D126" s="3195" t="str">
        <f>H111</f>
        <v>——</v>
      </c>
      <c r="E126" s="3196"/>
      <c r="F126" s="3196"/>
      <c r="G126" s="3196"/>
      <c r="H126" s="3196"/>
      <c r="I126" s="3197"/>
    </row>
    <row r="127" spans="1:11" ht="18.75" customHeight="1">
      <c r="A127" s="3080" t="s">
        <v>2308</v>
      </c>
      <c r="B127" s="3080"/>
      <c r="C127" s="3080"/>
      <c r="D127" s="3200" t="e">
        <f>NUMBERSTRING(INT(D126*10000),2)&amp;"元整"</f>
        <v>#VALUE!</v>
      </c>
      <c r="E127" s="3202"/>
      <c r="F127" s="3202"/>
      <c r="G127" s="3202"/>
      <c r="H127" s="3202"/>
      <c r="I127" s="3201"/>
    </row>
    <row r="128" spans="1:11" ht="21.75" customHeight="1">
      <c r="A128" s="3203" t="s">
        <v>2309</v>
      </c>
      <c r="B128" s="3203"/>
      <c r="C128" s="3203"/>
      <c r="D128" s="3203"/>
      <c r="E128" s="3203"/>
      <c r="F128" s="3203"/>
      <c r="G128" s="3203"/>
      <c r="H128" s="3203"/>
      <c r="I128" s="3203"/>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7" priority="21" stopIfTrue="1" operator="equal">
      <formula>25</formula>
    </cfRule>
  </conditionalFormatting>
  <conditionalFormatting sqref="C8:C9">
    <cfRule type="cellIs" dxfId="136" priority="19" stopIfTrue="1" operator="equal">
      <formula>15</formula>
    </cfRule>
  </conditionalFormatting>
  <conditionalFormatting sqref="C14:C16">
    <cfRule type="cellIs" dxfId="135" priority="13" stopIfTrue="1" operator="equal">
      <formula>30</formula>
    </cfRule>
  </conditionalFormatting>
  <conditionalFormatting sqref="D5:D7">
    <cfRule type="cellIs" dxfId="134" priority="10" stopIfTrue="1" operator="equal">
      <formula>25</formula>
    </cfRule>
  </conditionalFormatting>
  <conditionalFormatting sqref="D8:D9">
    <cfRule type="cellIs" dxfId="133" priority="9" stopIfTrue="1" operator="equal">
      <formula>15</formula>
    </cfRule>
  </conditionalFormatting>
  <conditionalFormatting sqref="C10:D13">
    <cfRule type="cellIs" dxfId="132" priority="8" stopIfTrue="1" operator="equal">
      <formula>15</formula>
    </cfRule>
  </conditionalFormatting>
  <conditionalFormatting sqref="D14:D16">
    <cfRule type="cellIs" dxfId="131" priority="6"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21" sqref="E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76993</v>
      </c>
      <c r="C2" s="1844" t="s">
        <v>1511</v>
      </c>
      <c r="D2" s="1844"/>
      <c r="E2" s="1845"/>
      <c r="F2" s="1846"/>
      <c r="G2" s="1847"/>
      <c r="H2" s="1839"/>
      <c r="I2" s="1839"/>
      <c r="J2" s="1839"/>
      <c r="K2" s="1840"/>
      <c r="L2" s="1839"/>
      <c r="M2" s="1839"/>
    </row>
    <row r="3" spans="1:37" ht="18" customHeight="1" thickBot="1">
      <c r="A3" s="1848" t="s">
        <v>1512</v>
      </c>
      <c r="B3" s="1849">
        <f ca="1">IF(ISERROR(B2*10000/F43),0,ROUND(B2*10000/F43,0))</f>
        <v>34091</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4715</v>
      </c>
      <c r="D5" s="1821" t="s">
        <v>1397</v>
      </c>
      <c r="E5" s="1292"/>
      <c r="F5" s="1293"/>
      <c r="G5" s="1850"/>
      <c r="H5" s="344">
        <v>1</v>
      </c>
      <c r="I5" s="345" t="s">
        <v>1396</v>
      </c>
      <c r="J5" s="1291">
        <f ca="1">J6+J10+J12</f>
        <v>4457</v>
      </c>
      <c r="K5" s="1821" t="s">
        <v>1397</v>
      </c>
      <c r="L5" s="1292"/>
      <c r="M5" s="1293"/>
    </row>
    <row r="6" spans="1:37" ht="18" customHeight="1">
      <c r="A6" s="1290" t="s">
        <v>1032</v>
      </c>
      <c r="B6" s="3110" t="s">
        <v>1398</v>
      </c>
      <c r="C6" s="1295">
        <f ca="1">ROUND(F6*F8*F7*(1-F9)/10000,0)</f>
        <v>4702</v>
      </c>
      <c r="D6" s="164" t="s">
        <v>3021</v>
      </c>
      <c r="E6" s="347" t="s">
        <v>1400</v>
      </c>
      <c r="F6" s="348">
        <f ca="1">INDIRECT("'数据-取费表'!u"&amp;$G$1)</f>
        <v>5.7042999999999999</v>
      </c>
      <c r="G6" s="1850"/>
      <c r="H6" s="1290" t="s">
        <v>1032</v>
      </c>
      <c r="I6" s="3110" t="s">
        <v>1398</v>
      </c>
      <c r="J6" s="346">
        <f ca="1">ROUND(M6*M8*M7*(1-M9)/10000,0)</f>
        <v>4451</v>
      </c>
      <c r="K6" s="164" t="s">
        <v>3020</v>
      </c>
      <c r="L6" s="347" t="s">
        <v>1400</v>
      </c>
      <c r="M6" s="348">
        <f ca="1">INDIRECT("'数据-取费表'!z"&amp;$G$1)</f>
        <v>6</v>
      </c>
    </row>
    <row r="7" spans="1:37" ht="18" customHeight="1">
      <c r="A7" s="1294"/>
      <c r="B7" s="3111"/>
      <c r="C7" s="1296"/>
      <c r="D7" s="352"/>
      <c r="E7" s="1297" t="s">
        <v>1401</v>
      </c>
      <c r="F7" s="348">
        <f ca="1">IF(INDIRECT("'数据-取费表'!ah"&amp;$G$1)="",INDIRECT("'数据-取费表'!k"&amp;$G$1),INDIRECT("'数据-取费表'!ah"&amp;$G$1))</f>
        <v>22584.659999999996</v>
      </c>
      <c r="G7" s="1850"/>
      <c r="H7" s="349"/>
      <c r="I7" s="3111"/>
      <c r="J7" s="351"/>
      <c r="K7" s="352"/>
      <c r="L7" s="347" t="s">
        <v>1401</v>
      </c>
      <c r="M7" s="348">
        <f ca="1">F7</f>
        <v>22584.659999999996</v>
      </c>
    </row>
    <row r="8" spans="1:37" ht="18" customHeight="1">
      <c r="A8" s="349"/>
      <c r="B8" s="3111"/>
      <c r="C8" s="351"/>
      <c r="D8" s="352"/>
      <c r="E8" s="347" t="s">
        <v>1402</v>
      </c>
      <c r="F8" s="348">
        <f ca="1">INDIRECT("'数据-取费表'!ai"&amp;$G$1)</f>
        <v>365</v>
      </c>
      <c r="G8" s="1850"/>
      <c r="H8" s="349"/>
      <c r="I8" s="3111"/>
      <c r="J8" s="351"/>
      <c r="K8" s="352"/>
      <c r="L8" s="347" t="s">
        <v>1402</v>
      </c>
      <c r="M8" s="348">
        <f ca="1">INDIRECT("'数据-取费表'!ai"&amp;$G$1)</f>
        <v>365</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0.1</v>
      </c>
    </row>
    <row r="10" spans="1:37" ht="18" customHeight="1">
      <c r="A10" s="1290" t="s">
        <v>1036</v>
      </c>
      <c r="B10" s="1822" t="s">
        <v>1404</v>
      </c>
      <c r="C10" s="361">
        <f ca="1">ROUND(IF(F10="押一",C6/12*F11,IF(F10="押二",C6/12*2*F11,IF(F10="押三",C6/12*3*F11,C11*F11))),0)</f>
        <v>13</v>
      </c>
      <c r="D10" s="1823" t="s">
        <v>3030</v>
      </c>
      <c r="E10" s="358" t="s">
        <v>1405</v>
      </c>
      <c r="F10" s="3007" t="s">
        <v>3136</v>
      </c>
      <c r="G10" s="1850"/>
      <c r="H10" s="1290" t="s">
        <v>1036</v>
      </c>
      <c r="I10" s="1822" t="s">
        <v>1404</v>
      </c>
      <c r="J10" s="346">
        <f ca="1">ROUND(IF(M10="押一",J6/12*M11,IF(M10="押二",J6/12*2*M11,IF(M10="押三",J6/12*3*M11,J11*M11))),0)</f>
        <v>6</v>
      </c>
      <c r="K10" s="1823" t="s">
        <v>3029</v>
      </c>
      <c r="L10" s="358" t="s">
        <v>1405</v>
      </c>
      <c r="M10" s="1365" t="s">
        <v>3076</v>
      </c>
    </row>
    <row r="11" spans="1:37" ht="18" customHeight="1">
      <c r="A11" s="353"/>
      <c r="B11" s="1824" t="s">
        <v>1383</v>
      </c>
      <c r="C11" s="3011">
        <f>租约!L29</f>
        <v>888</v>
      </c>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9237</v>
      </c>
      <c r="D13" s="1330" t="s">
        <v>1410</v>
      </c>
      <c r="E13" s="1330" t="s">
        <v>1411</v>
      </c>
      <c r="F13" s="1331">
        <f ca="1">INDIRECT("'数据-取费表'!y"&amp;$G$1)</f>
        <v>0.83</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1799" t="s">
        <v>1413</v>
      </c>
      <c r="E14" s="1793"/>
      <c r="F14" s="364"/>
      <c r="G14" s="1850"/>
      <c r="H14" s="1200" t="s">
        <v>1032</v>
      </c>
      <c r="I14" s="347" t="s">
        <v>1414</v>
      </c>
      <c r="J14" s="24">
        <f ca="1">C29</f>
        <v>11129</v>
      </c>
      <c r="K14" s="15"/>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979</v>
      </c>
      <c r="K16" s="1336" t="s">
        <v>1420</v>
      </c>
      <c r="L16" s="1337"/>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754.1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237.39</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1817"/>
      <c r="F19" s="26"/>
      <c r="G19" s="1850"/>
      <c r="H19" s="1200" t="s">
        <v>1033</v>
      </c>
      <c r="I19" s="347" t="s">
        <v>1432</v>
      </c>
      <c r="J19" s="24">
        <f ca="1">IF(K19="按租金收入计税",ROUND(J6*M19/(1+'数据-取费表'!C42),2),ROUND(C29*M19*0.7,2))</f>
        <v>508.69</v>
      </c>
      <c r="K19" s="1827" t="s">
        <v>3077</v>
      </c>
      <c r="L19" s="347" t="s">
        <v>1417</v>
      </c>
      <c r="M19" s="367">
        <f>IF(K19="按租金收入计税",'数据-取费表'!B51,'数据-取费表'!B50)</f>
        <v>0.12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ROUND(J14*M22,1)</f>
        <v>166.9</v>
      </c>
      <c r="K22" s="1797" t="s">
        <v>1445</v>
      </c>
      <c r="L22" s="347" t="s">
        <v>1417</v>
      </c>
      <c r="M22" s="374">
        <f ca="1">INDIRECT("'数据-取费表'!Ak"&amp;$G$1)</f>
        <v>1.4999999999999999E-2</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44.6</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1817"/>
      <c r="F25" s="26"/>
      <c r="G25" s="1850"/>
      <c r="H25" s="1328" t="s">
        <v>1028</v>
      </c>
      <c r="I25" s="1343" t="s">
        <v>1458</v>
      </c>
      <c r="J25" s="355">
        <f ca="1">J5-J16</f>
        <v>3478</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77946</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71089</v>
      </c>
      <c r="K29" s="383" t="s">
        <v>1475</v>
      </c>
      <c r="L29" s="384"/>
      <c r="M29" s="385">
        <f ca="1">INDIRECT("'数据-取费表'!k"&amp;$G$1)</f>
        <v>22584.659999999996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1024</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166.9</v>
      </c>
      <c r="D36" s="1797" t="s">
        <v>1477</v>
      </c>
      <c r="E36" s="347" t="s">
        <v>1417</v>
      </c>
      <c r="F36" s="374">
        <f ca="1">INDIRECT("'数据-取费表'!Ak"&amp;$G$1)</f>
        <v>1.4999999999999999E-2</v>
      </c>
      <c r="G36" s="1850"/>
      <c r="H36" s="1858"/>
      <c r="I36" s="1859"/>
      <c r="J36" s="1860"/>
      <c r="K36" s="750"/>
      <c r="L36" s="1858"/>
      <c r="M36" s="1858"/>
    </row>
    <row r="37" spans="1:18" ht="18" customHeight="1">
      <c r="A37" s="1200" t="s">
        <v>1072</v>
      </c>
      <c r="B37" s="347" t="s">
        <v>1448</v>
      </c>
      <c r="C37" s="24">
        <f ca="1">ROUND(C13*F37,1)</f>
        <v>13.9</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47.2</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3691</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5904</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2614</v>
      </c>
      <c r="D43" s="383" t="s">
        <v>1483</v>
      </c>
      <c r="E43" s="384" t="s">
        <v>1484</v>
      </c>
      <c r="F43" s="385">
        <f ca="1">INDIRECT("'数据-取费表'!k"&amp;$G$1)</f>
        <v>22584.659999999996</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-620</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3078</v>
      </c>
      <c r="K47" s="1881" t="s">
        <v>1522</v>
      </c>
      <c r="L47" s="1882">
        <f ca="1">INDIRECT("'数据-取费表'!d"&amp;$G$1)</f>
        <v>50</v>
      </c>
      <c r="M47" s="1837" t="str">
        <f>IF(ISNUMBER(FIND("住宅",C1)),"住宅","非住宅")</f>
        <v>非住宅</v>
      </c>
      <c r="O47" s="1883" t="s">
        <v>1037</v>
      </c>
      <c r="P47" s="1884" t="s">
        <v>1523</v>
      </c>
      <c r="Q47" s="1885">
        <f ca="1">C40+J29</f>
        <v>76993</v>
      </c>
      <c r="R47" s="1885" t="s">
        <v>1524</v>
      </c>
    </row>
    <row r="48" spans="1:18" s="1841" customFormat="1" ht="28.5" thickBot="1">
      <c r="A48" s="1359" t="s">
        <v>1132</v>
      </c>
      <c r="B48" s="345" t="s">
        <v>1396</v>
      </c>
      <c r="C48" s="1816">
        <f ca="1">C49+C53+C55</f>
        <v>4234</v>
      </c>
      <c r="D48" s="1361"/>
      <c r="E48" s="1362"/>
      <c r="F48" s="1180"/>
      <c r="G48" s="791"/>
      <c r="H48" s="792"/>
      <c r="I48" s="1886" t="s">
        <v>1525</v>
      </c>
      <c r="J48" s="1887" t="s">
        <v>3079</v>
      </c>
      <c r="K48" s="1888" t="s">
        <v>1526</v>
      </c>
      <c r="L48" s="1889">
        <f ca="1">INDIRECT("'数据-取费表'!f"&amp;$G$1)</f>
        <v>35.979999999999997</v>
      </c>
      <c r="O48" s="1883" t="s">
        <v>1038</v>
      </c>
      <c r="P48" s="1884" t="s">
        <v>1527</v>
      </c>
      <c r="Q48" s="1885" t="str">
        <f ca="1">J60</f>
        <v>0</v>
      </c>
      <c r="R48" s="1885" t="s">
        <v>1528</v>
      </c>
    </row>
    <row r="49" spans="1:18" s="1841" customFormat="1" ht="13.5" thickBot="1">
      <c r="A49" s="1193" t="s">
        <v>1133</v>
      </c>
      <c r="B49" s="1828" t="s">
        <v>1485</v>
      </c>
      <c r="C49" s="1363">
        <f ca="1">ROUND(F49*F51*F50*(1-F52)/10000,0)</f>
        <v>4229</v>
      </c>
      <c r="D49" s="1275" t="s">
        <v>3022</v>
      </c>
      <c r="E49" s="1829" t="s">
        <v>1486</v>
      </c>
      <c r="F49" s="1280">
        <f>租约!J32</f>
        <v>5.7</v>
      </c>
      <c r="G49" s="1890"/>
      <c r="H49" s="792"/>
      <c r="I49" s="1886" t="s">
        <v>1529</v>
      </c>
      <c r="J49" s="1891">
        <v>2007</v>
      </c>
      <c r="K49" s="1888" t="s">
        <v>1530</v>
      </c>
      <c r="L49" s="1892"/>
      <c r="O49" s="1893" t="s">
        <v>1039</v>
      </c>
      <c r="P49" s="1884" t="s">
        <v>1531</v>
      </c>
      <c r="Q49" s="1885">
        <f ca="1">C29</f>
        <v>11129</v>
      </c>
      <c r="R49" s="1885" t="s">
        <v>1524</v>
      </c>
    </row>
    <row r="50" spans="1:18" s="1841" customFormat="1" ht="13.5" thickBot="1">
      <c r="A50" s="1194"/>
      <c r="B50" s="1197"/>
      <c r="C50" s="1367"/>
      <c r="D50" s="1171"/>
      <c r="E50" s="1276" t="s">
        <v>1401</v>
      </c>
      <c r="F50" s="1277">
        <f ca="1">F7</f>
        <v>22584.659999999996</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8">
        <f ca="1">F8</f>
        <v>365</v>
      </c>
      <c r="I51" s="1897" t="s">
        <v>1535</v>
      </c>
      <c r="J51" s="1898">
        <f>IF(J49="",J50,J49+J50-YEAR('数据-取费表'!B2))</f>
        <v>48</v>
      </c>
      <c r="K51" s="1899" t="s">
        <v>1536</v>
      </c>
      <c r="L51" s="1900">
        <f ca="1">ROUND(-PV(INDIRECT("'数据-取费表'!h"&amp;$G$1),L48,(C39-C13*C76),0),0)</f>
        <v>46863</v>
      </c>
      <c r="M51" s="1901"/>
      <c r="O51" s="1893" t="s">
        <v>1041</v>
      </c>
      <c r="P51" s="1884" t="s">
        <v>1537</v>
      </c>
      <c r="Q51" s="1896">
        <f>J52</f>
        <v>8.5000000000000006E-2</v>
      </c>
      <c r="R51" s="1885"/>
    </row>
    <row r="52" spans="1:18" s="1841" customFormat="1" ht="13.5" thickBot="1">
      <c r="A52" s="1195"/>
      <c r="B52" s="1197"/>
      <c r="C52" s="1198"/>
      <c r="D52" s="1171"/>
      <c r="E52" s="1199" t="s">
        <v>1403</v>
      </c>
      <c r="F52" s="1274">
        <v>0.1</v>
      </c>
      <c r="I52" s="1902" t="s">
        <v>1538</v>
      </c>
      <c r="J52" s="1903">
        <v>8.5000000000000006E-2</v>
      </c>
      <c r="K52" s="1902" t="s">
        <v>1539</v>
      </c>
      <c r="L52" s="1903"/>
      <c r="O52" s="1893" t="s">
        <v>1042</v>
      </c>
      <c r="P52" s="1884" t="s">
        <v>1540</v>
      </c>
      <c r="Q52" s="1885">
        <f ca="1">J53</f>
        <v>35.979999999999997</v>
      </c>
      <c r="R52" s="1885" t="s">
        <v>1541</v>
      </c>
    </row>
    <row r="53" spans="1:18" s="1841" customFormat="1" ht="24.75" thickBot="1">
      <c r="A53" s="1404" t="s">
        <v>1134</v>
      </c>
      <c r="B53" s="1830" t="s">
        <v>1404</v>
      </c>
      <c r="C53" s="361">
        <f ca="1">ROUND(IF(F53="押一",C49/12*F11,IF(F53="押二",C49/12*2*F11,IF(F53="押三",C49/12*3*F11,C54*F11))),0)</f>
        <v>5</v>
      </c>
      <c r="D53" s="1823" t="s">
        <v>3029</v>
      </c>
      <c r="E53" s="358" t="s">
        <v>1405</v>
      </c>
      <c r="F53" s="1365" t="s">
        <v>3076</v>
      </c>
      <c r="I53" s="1904" t="s">
        <v>1542</v>
      </c>
      <c r="J53" s="2947">
        <f ca="1">IF(M47="住宅",IF(D1="——",MAX(J51,L48),MAX(J51,L48-'数据-取费表'!B24)),IF(D1="——",MIN(J51,L48),MIN(J51,L48-'数据-取费表'!B24)))</f>
        <v>35.979999999999997</v>
      </c>
      <c r="K53" s="3113" t="s">
        <v>1543</v>
      </c>
      <c r="L53" s="3114"/>
      <c r="O53" s="1883" t="s">
        <v>1043</v>
      </c>
      <c r="P53" s="1884" t="s">
        <v>1544</v>
      </c>
      <c r="Q53" s="1885">
        <f ca="1">Q47+Q48</f>
        <v>76993</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9237</v>
      </c>
      <c r="D56" s="1912"/>
      <c r="E56" s="1913"/>
      <c r="F56" s="1905"/>
      <c r="I56" s="1914" t="s">
        <v>1549</v>
      </c>
      <c r="J56" s="1915" t="s">
        <v>3068</v>
      </c>
      <c r="K56" s="1886" t="s">
        <v>1550</v>
      </c>
      <c r="L56" s="1889" t="str">
        <f ca="1">IF(L48&lt;J51,"——",L48-J53)</f>
        <v>——</v>
      </c>
      <c r="O56" s="1883" t="s">
        <v>1037</v>
      </c>
      <c r="P56" s="1884" t="s">
        <v>1523</v>
      </c>
      <c r="Q56" s="1885">
        <f ca="1">C40+J29</f>
        <v>76993</v>
      </c>
      <c r="R56" s="1885" t="s">
        <v>1524</v>
      </c>
    </row>
    <row r="57" spans="1:18" s="1841" customFormat="1" ht="24.75" thickBot="1">
      <c r="A57" s="1916"/>
      <c r="B57" s="1168" t="s">
        <v>1473</v>
      </c>
      <c r="C57" s="282">
        <f ca="1">C29</f>
        <v>11129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965</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741.9</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225.81</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508.08</v>
      </c>
      <c r="D61" s="1827" t="s">
        <v>3077</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8.0500000000000007</v>
      </c>
      <c r="D62" s="1183" t="s">
        <v>1492</v>
      </c>
      <c r="E62" s="1168" t="s">
        <v>1493</v>
      </c>
      <c r="F62" s="371">
        <f t="shared" si="0"/>
        <v>3</v>
      </c>
      <c r="I62" s="1927" t="s">
        <v>1565</v>
      </c>
      <c r="J62" s="1928" t="s">
        <v>1566</v>
      </c>
      <c r="K62" s="1928" t="s">
        <v>1567</v>
      </c>
      <c r="L62" s="1928" t="s">
        <v>1568</v>
      </c>
      <c r="M62" s="1929" t="s">
        <v>1569</v>
      </c>
      <c r="O62" s="1883" t="s">
        <v>1043</v>
      </c>
      <c r="P62" s="1884" t="s">
        <v>1570</v>
      </c>
      <c r="Q62" s="1885">
        <f ca="1">Q56+Q57</f>
        <v>76993</v>
      </c>
      <c r="R62" s="1885" t="s">
        <v>1044</v>
      </c>
    </row>
    <row r="63" spans="1:18" s="1841" customFormat="1" ht="13.5" thickBot="1">
      <c r="A63" s="372"/>
      <c r="B63" s="1174"/>
      <c r="C63" s="29"/>
      <c r="D63" s="1184"/>
      <c r="E63" s="1168" t="s">
        <v>1494</v>
      </c>
      <c r="F63" s="348">
        <f t="shared" ca="1" si="0"/>
        <v>26823.14</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166.9</v>
      </c>
      <c r="D64" s="1182" t="s">
        <v>1497</v>
      </c>
      <c r="E64" s="1168"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13.9</v>
      </c>
      <c r="D65" s="1182" t="s">
        <v>1449</v>
      </c>
      <c r="E65" s="1168" t="s">
        <v>1450</v>
      </c>
      <c r="F65" s="376">
        <f t="shared" ca="1" si="0"/>
        <v>1.5E-3</v>
      </c>
      <c r="I65" s="1927" t="s">
        <v>1574</v>
      </c>
      <c r="J65" s="1928">
        <v>40</v>
      </c>
      <c r="K65" s="1928">
        <v>30</v>
      </c>
      <c r="L65" s="1928">
        <v>50</v>
      </c>
      <c r="M65" s="1930">
        <v>0.02</v>
      </c>
      <c r="O65" s="1883" t="s">
        <v>1037</v>
      </c>
      <c r="P65" s="1884" t="s">
        <v>1575</v>
      </c>
      <c r="Q65" s="1885">
        <f ca="1">C40+J29</f>
        <v>76993</v>
      </c>
      <c r="R65" s="1885" t="s">
        <v>1524</v>
      </c>
    </row>
    <row r="66" spans="1:18" s="1841" customFormat="1" ht="16.5" thickBot="1">
      <c r="A66" s="1200" t="s">
        <v>1499</v>
      </c>
      <c r="B66" s="1168" t="s">
        <v>1434</v>
      </c>
      <c r="C66" s="24">
        <f ca="1">ROUND(C48*F66,1)</f>
        <v>42.3</v>
      </c>
      <c r="D66" s="1182" t="s">
        <v>1500</v>
      </c>
      <c r="E66" s="1168" t="s">
        <v>1417</v>
      </c>
      <c r="F66" s="357">
        <f t="shared" ca="1" si="0"/>
        <v>0.01</v>
      </c>
      <c r="O66" s="1883" t="s">
        <v>1038</v>
      </c>
      <c r="P66" s="1884" t="s">
        <v>1553</v>
      </c>
      <c r="Q66" s="1885">
        <f ca="1">L60</f>
        <v>0</v>
      </c>
      <c r="R66" s="1885" t="s">
        <v>1576</v>
      </c>
    </row>
    <row r="67" spans="1:18" s="1841" customFormat="1" ht="16.5" thickBot="1">
      <c r="A67" s="1175" t="s">
        <v>1028</v>
      </c>
      <c r="B67" s="1185" t="s">
        <v>1458</v>
      </c>
      <c r="C67" s="361">
        <f ca="1">C48-C58</f>
        <v>3269</v>
      </c>
      <c r="D67" s="1181" t="s">
        <v>1459</v>
      </c>
      <c r="E67" s="1186"/>
      <c r="F67" s="1187"/>
      <c r="O67" s="1893" t="s">
        <v>1039</v>
      </c>
      <c r="P67" s="1884" t="s">
        <v>1557</v>
      </c>
      <c r="Q67" s="1931">
        <f ca="1">L51</f>
        <v>46863</v>
      </c>
      <c r="R67" s="1885" t="s">
        <v>1577</v>
      </c>
    </row>
    <row r="68" spans="1:18" s="1841" customFormat="1" ht="16.5" thickBot="1">
      <c r="A68" s="1165" t="s">
        <v>1029</v>
      </c>
      <c r="B68" s="1166" t="s">
        <v>1480</v>
      </c>
      <c r="C68" s="346">
        <f ca="1">ROUND(C67*(1-((1+F70)/(1+F68))^F69)/(F68-F70),0)</f>
        <v>5284</v>
      </c>
      <c r="D68" s="1183" t="s">
        <v>1464</v>
      </c>
      <c r="E68" s="1168" t="s">
        <v>1465</v>
      </c>
      <c r="F68" s="357">
        <f ca="1">F40</f>
        <v>5.5E-2</v>
      </c>
      <c r="O68" s="1893" t="s">
        <v>1040</v>
      </c>
      <c r="P68" s="1932" t="s">
        <v>1578</v>
      </c>
      <c r="Q68" s="1885">
        <f ca="1">ROUND(Q69-Q70*Q71,0)</f>
        <v>2906</v>
      </c>
      <c r="R68" s="1885" t="s">
        <v>1048</v>
      </c>
    </row>
    <row r="69" spans="1:18" s="1841" customFormat="1" ht="13.5" thickBot="1">
      <c r="A69" s="1169"/>
      <c r="B69" s="1170"/>
      <c r="C69" s="351"/>
      <c r="D69" s="1188" t="s">
        <v>1468</v>
      </c>
      <c r="E69" s="1168" t="s">
        <v>1469</v>
      </c>
      <c r="F69" s="379">
        <f ca="1">F41</f>
        <v>1.72</v>
      </c>
      <c r="O69" s="1893" t="s">
        <v>1045</v>
      </c>
      <c r="P69" s="1932" t="s">
        <v>1579</v>
      </c>
      <c r="Q69" s="1885">
        <f ca="1">C39</f>
        <v>3691</v>
      </c>
      <c r="R69" s="1885" t="s">
        <v>1524</v>
      </c>
    </row>
    <row r="70" spans="1:18" s="1841" customFormat="1" ht="13.5" thickBot="1">
      <c r="A70" s="1172"/>
      <c r="B70" s="1173"/>
      <c r="C70" s="355"/>
      <c r="D70" s="1184"/>
      <c r="E70" s="1168" t="s">
        <v>1472</v>
      </c>
      <c r="F70" s="1274">
        <v>0.03</v>
      </c>
      <c r="O70" s="1893" t="s">
        <v>1046</v>
      </c>
      <c r="P70" s="1932" t="s">
        <v>1580</v>
      </c>
      <c r="Q70" s="1885">
        <f ca="1">C13</f>
        <v>9237</v>
      </c>
      <c r="R70" s="1885" t="s">
        <v>1524</v>
      </c>
    </row>
    <row r="71" spans="1:18" s="1841" customFormat="1" ht="13.5" thickBot="1">
      <c r="A71" s="1189" t="s">
        <v>1030</v>
      </c>
      <c r="B71" s="1190" t="s">
        <v>1482</v>
      </c>
      <c r="C71" s="382">
        <f ca="1">ROUND(C68*10000/F71,0)</f>
        <v>2340</v>
      </c>
      <c r="D71" s="1191" t="s">
        <v>1483</v>
      </c>
      <c r="E71" s="1192" t="s">
        <v>1484</v>
      </c>
      <c r="F71" s="385">
        <f ca="1">F43</f>
        <v>22584.659999999996</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785</v>
      </c>
      <c r="D75" s="1841"/>
      <c r="E75" s="1841"/>
      <c r="F75" s="1841"/>
      <c r="K75" s="1867"/>
      <c r="L75" s="1841"/>
      <c r="O75" s="1883" t="s">
        <v>1043</v>
      </c>
      <c r="P75" s="1884" t="s">
        <v>1544</v>
      </c>
      <c r="Q75" s="1885">
        <f ca="1">Q65+Q66</f>
        <v>76993</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0.78700000000000003</v>
      </c>
    </row>
    <row r="80" spans="1:18">
      <c r="B80" s="386" t="s">
        <v>1506</v>
      </c>
      <c r="C80" s="318">
        <f ca="1">ROUND(C75/C39,3)</f>
        <v>0.21299999999999999</v>
      </c>
    </row>
    <row r="81" spans="2:3">
      <c r="B81" s="314" t="s">
        <v>1507</v>
      </c>
      <c r="C81" s="282"/>
    </row>
    <row r="82" spans="2:3">
      <c r="B82" s="317" t="s">
        <v>1508</v>
      </c>
      <c r="C82" s="319">
        <f ca="1">1-C83</f>
        <v>-0.56499999999999995</v>
      </c>
    </row>
    <row r="83" spans="2:3">
      <c r="B83" s="317" t="s">
        <v>1509</v>
      </c>
      <c r="C83" s="318">
        <f ca="1">ROUND(C13/C40,3)</f>
        <v>1.5649999999999999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3147</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0" t="s">
        <v>1398</v>
      </c>
      <c r="C6" s="1295" t="e">
        <f ca="1">ROUND(F6*F8*F7*(1-F9)/10000,0)</f>
        <v>#N/A</v>
      </c>
      <c r="D6" s="164" t="s">
        <v>3021</v>
      </c>
      <c r="E6" s="347" t="s">
        <v>1400</v>
      </c>
      <c r="F6" s="348" t="e">
        <f ca="1">INDIRECT("'数据-取费表'!u"&amp;$G$1)</f>
        <v>#N/A</v>
      </c>
      <c r="G6" s="1850"/>
      <c r="H6" s="1290" t="s">
        <v>1032</v>
      </c>
      <c r="I6" s="3110" t="s">
        <v>1398</v>
      </c>
      <c r="J6" s="346" t="e">
        <f ca="1">ROUND(M6*M8*M7*(1-M9)/10000,0)</f>
        <v>#N/A</v>
      </c>
      <c r="K6" s="164" t="s">
        <v>3020</v>
      </c>
      <c r="L6" s="347" t="s">
        <v>1400</v>
      </c>
      <c r="M6" s="348" t="e">
        <f ca="1">INDIRECT("'数据-取费表'!z"&amp;$G$1)</f>
        <v>#N/A</v>
      </c>
    </row>
    <row r="7" spans="1:37" ht="18" customHeight="1">
      <c r="A7" s="1294"/>
      <c r="B7" s="3111"/>
      <c r="C7" s="1296"/>
      <c r="D7" s="352"/>
      <c r="E7" s="2970" t="s">
        <v>1401</v>
      </c>
      <c r="F7" s="348" t="e">
        <f ca="1">IF(INDIRECT("'数据-取费表'!ah"&amp;$G$1)="",INDIRECT("'数据-取费表'!k"&amp;$G$1),INDIRECT("'数据-取费表'!ah"&amp;$G$1))</f>
        <v>#N/A</v>
      </c>
      <c r="G7" s="1850"/>
      <c r="H7" s="349"/>
      <c r="I7" s="3111"/>
      <c r="J7" s="351"/>
      <c r="K7" s="352"/>
      <c r="L7" s="347" t="s">
        <v>1401</v>
      </c>
      <c r="M7" s="348" t="e">
        <f ca="1">F7</f>
        <v>#N/A</v>
      </c>
    </row>
    <row r="8" spans="1:37" ht="18" customHeight="1">
      <c r="A8" s="349"/>
      <c r="B8" s="3111"/>
      <c r="C8" s="351"/>
      <c r="D8" s="352"/>
      <c r="E8" s="347" t="s">
        <v>1402</v>
      </c>
      <c r="F8" s="348" t="e">
        <f ca="1">INDIRECT("'数据-取费表'!ai"&amp;$G$1)</f>
        <v>#N/A</v>
      </c>
      <c r="G8" s="1850"/>
      <c r="H8" s="349"/>
      <c r="I8" s="3111"/>
      <c r="J8" s="351"/>
      <c r="K8" s="352"/>
      <c r="L8" s="347" t="s">
        <v>1402</v>
      </c>
      <c r="M8" s="348" t="e">
        <f ca="1">INDIRECT("'数据-取费表'!ai"&amp;$G$1)</f>
        <v>#N/A</v>
      </c>
    </row>
    <row r="9" spans="1:37" ht="18" customHeight="1">
      <c r="A9" s="349"/>
      <c r="B9" s="3112"/>
      <c r="C9" s="351"/>
      <c r="D9" s="352"/>
      <c r="E9" s="347" t="s">
        <v>1403</v>
      </c>
      <c r="F9" s="357" t="e">
        <f ca="1">INDIRECT("'数据-取费表'!w"&amp;$G$1)</f>
        <v>#N/A</v>
      </c>
      <c r="G9" s="1850"/>
      <c r="H9" s="349"/>
      <c r="I9" s="3112"/>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3136</v>
      </c>
      <c r="G10" s="1850"/>
      <c r="H10" s="1290" t="s">
        <v>1036</v>
      </c>
      <c r="I10" s="1822" t="s">
        <v>1404</v>
      </c>
      <c r="J10" s="346">
        <f ca="1">ROUND(IF(M10="押一",J6/12*M11,IF(M10="押二",J6/12*2*M11,IF(M10="押三",J6/12*3*M11,J11*M11))),0)</f>
        <v>0</v>
      </c>
      <c r="K10" s="1823" t="s">
        <v>3029</v>
      </c>
      <c r="L10" s="358" t="s">
        <v>1405</v>
      </c>
      <c r="M10" s="1365" t="s">
        <v>3136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3077</v>
      </c>
      <c r="L19" s="347" t="s">
        <v>1417</v>
      </c>
      <c r="M19" s="367">
        <f>IF(K19="按租金收入计税",'数据-取费表'!B51,'数据-取费表'!B50)</f>
        <v>0.12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3078</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59" t="s">
        <v>1132</v>
      </c>
      <c r="B48" s="345" t="s">
        <v>1396</v>
      </c>
      <c r="C48" s="2966" t="e">
        <f ca="1">C49+C53+C55</f>
        <v>#N/A</v>
      </c>
      <c r="D48" s="1361"/>
      <c r="E48" s="1362"/>
      <c r="F48" s="1180"/>
      <c r="G48" s="791"/>
      <c r="H48" s="792"/>
      <c r="I48" s="1886" t="s">
        <v>1525</v>
      </c>
      <c r="J48" s="1887" t="s">
        <v>3079</v>
      </c>
      <c r="K48" s="1888" t="s">
        <v>1526</v>
      </c>
      <c r="L48" s="1889" t="e">
        <f ca="1">INDIRECT("'数据-取费表'!f"&amp;$G$1)</f>
        <v>#N/A</v>
      </c>
      <c r="O48" s="1883" t="s">
        <v>1038</v>
      </c>
      <c r="P48" s="1884" t="s">
        <v>1527</v>
      </c>
      <c r="Q48" s="1885" t="e">
        <f ca="1">J60</f>
        <v>#N/A</v>
      </c>
      <c r="R48" s="1885" t="s">
        <v>1528</v>
      </c>
    </row>
    <row r="49" spans="1:18" s="1841" customFormat="1" ht="13.5" thickBot="1">
      <c r="A49" s="1193" t="s">
        <v>1133</v>
      </c>
      <c r="B49" s="1828" t="s">
        <v>1485</v>
      </c>
      <c r="C49" s="1363" t="e">
        <f ca="1">ROUND(F49*F51*F50*(1-F52)/10000,0)</f>
        <v>#N/A</v>
      </c>
      <c r="D49" s="1275" t="s">
        <v>3020</v>
      </c>
      <c r="E49" s="1829" t="s">
        <v>1486</v>
      </c>
      <c r="F49" s="1280">
        <v>4</v>
      </c>
      <c r="G49" s="1890"/>
      <c r="H49" s="792"/>
      <c r="I49" s="1886" t="s">
        <v>1529</v>
      </c>
      <c r="J49" s="1891">
        <v>2007</v>
      </c>
      <c r="K49" s="1888" t="s">
        <v>1530</v>
      </c>
      <c r="L49" s="1892"/>
      <c r="O49" s="1893" t="s">
        <v>1039</v>
      </c>
      <c r="P49" s="1884" t="s">
        <v>1531</v>
      </c>
      <c r="Q49" s="1885" t="e">
        <f ca="1">C29</f>
        <v>#N/A</v>
      </c>
      <c r="R49" s="1885" t="s">
        <v>1524</v>
      </c>
    </row>
    <row r="50" spans="1:18" s="1841" customFormat="1" ht="13.5"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5"/>
      <c r="B51" s="1197"/>
      <c r="C51" s="1198"/>
      <c r="D51" s="1171"/>
      <c r="E51" s="1199" t="s">
        <v>1402</v>
      </c>
      <c r="F51" s="348" t="e">
        <f ca="1">F8</f>
        <v>#N/A</v>
      </c>
      <c r="I51" s="1897" t="s">
        <v>1535</v>
      </c>
      <c r="J51" s="1898">
        <f>IF(J49="",J50,J49+J50-YEAR('数据-取费表'!B2))</f>
        <v>48</v>
      </c>
      <c r="K51" s="1899" t="s">
        <v>1536</v>
      </c>
      <c r="L51" s="1900" t="e">
        <f ca="1">ROUND(-PV(INDIRECT("'数据-取费表'!h"&amp;$G$1),L48,(C39-C13*C76),0),0)</f>
        <v>#N/A</v>
      </c>
      <c r="M51" s="1901"/>
      <c r="O51" s="1893" t="s">
        <v>1041</v>
      </c>
      <c r="P51" s="1884" t="s">
        <v>1537</v>
      </c>
      <c r="Q51" s="1896">
        <f>J52</f>
        <v>8.5000000000000006E-2</v>
      </c>
      <c r="R51" s="1885"/>
    </row>
    <row r="52" spans="1:18" s="1841" customFormat="1" ht="13.5" thickBot="1">
      <c r="A52" s="1195"/>
      <c r="B52" s="1197"/>
      <c r="C52" s="1198"/>
      <c r="D52" s="1171"/>
      <c r="E52" s="1199" t="s">
        <v>1403</v>
      </c>
      <c r="F52" s="1274">
        <v>0.1</v>
      </c>
      <c r="I52" s="1902" t="s">
        <v>1538</v>
      </c>
      <c r="J52" s="1903">
        <v>8.5000000000000006E-2</v>
      </c>
      <c r="K52" s="1902" t="s">
        <v>1539</v>
      </c>
      <c r="L52" s="1903"/>
      <c r="O52" s="1893" t="s">
        <v>1042</v>
      </c>
      <c r="P52" s="1884" t="s">
        <v>1540</v>
      </c>
      <c r="Q52" s="1885" t="e">
        <f ca="1">J53</f>
        <v>#N/A</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t="s">
        <v>3136</v>
      </c>
      <c r="I53" s="1904" t="s">
        <v>1542</v>
      </c>
      <c r="J53" s="2947" t="e">
        <f ca="1">IF(M47="住宅",IF(D1="——",MAX(J51,L48),MAX(J51,L48-'数据-取费表'!B24)),IF(D1="——",MIN(J51,L48),MIN(J51,L48-'数据-取费表'!B24)))</f>
        <v>#N/A</v>
      </c>
      <c r="K53" s="3113" t="s">
        <v>1543</v>
      </c>
      <c r="L53" s="3114"/>
      <c r="O53" s="1883" t="s">
        <v>1043</v>
      </c>
      <c r="P53" s="1884" t="s">
        <v>1544</v>
      </c>
      <c r="Q53" s="1885" t="e">
        <f ca="1">Q47+Q48</f>
        <v>#N/A</v>
      </c>
      <c r="R53" s="1885" t="s">
        <v>1044</v>
      </c>
    </row>
    <row r="54" spans="1:18" s="1841" customFormat="1" ht="13.5"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5">
        <v>2</v>
      </c>
      <c r="B56" s="1176" t="s">
        <v>1409</v>
      </c>
      <c r="C56" s="276" t="e">
        <f ca="1">C13</f>
        <v>#N/A</v>
      </c>
      <c r="D56" s="1912"/>
      <c r="E56" s="1913"/>
      <c r="F56" s="1905"/>
      <c r="I56" s="1914" t="s">
        <v>1549</v>
      </c>
      <c r="J56" s="1915" t="s">
        <v>3068</v>
      </c>
      <c r="K56" s="1886" t="s">
        <v>1550</v>
      </c>
      <c r="L56" s="1889" t="e">
        <f ca="1">IF(L48&lt;J51,"——",L48-J53)</f>
        <v>#N/A</v>
      </c>
      <c r="O56" s="1883" t="s">
        <v>1037</v>
      </c>
      <c r="P56" s="1884" t="s">
        <v>1523</v>
      </c>
      <c r="Q56" s="1885" t="e">
        <f ca="1">C40+J29</f>
        <v>#N/A</v>
      </c>
      <c r="R56" s="1885" t="s">
        <v>1524</v>
      </c>
    </row>
    <row r="57" spans="1:18" s="1841" customFormat="1" ht="24.75"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0" t="s">
        <v>1487</v>
      </c>
      <c r="B61" s="1168" t="s">
        <v>1432</v>
      </c>
      <c r="C61" s="24" t="e">
        <f ca="1">IF(项目基本情况!B11="自然人","——",IF(D61="按租金收入计税",ROUND(C48*F61,2),IF(D61="按房产原值计税",ROUND(C57*F61*0.7,2),INDIRECT("'数据-取费表'!Aj"&amp;$G$1))))</f>
        <v>#N/A</v>
      </c>
      <c r="D61" s="1827" t="s">
        <v>3077</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16.5"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5"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5"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5" thickBot="1">
      <c r="A70" s="1172"/>
      <c r="B70" s="1173"/>
      <c r="C70" s="355"/>
      <c r="D70" s="1184"/>
      <c r="E70" s="1168" t="s">
        <v>1472</v>
      </c>
      <c r="F70" s="1274">
        <v>2.5000000000000001E-2</v>
      </c>
      <c r="O70" s="1893" t="s">
        <v>1046</v>
      </c>
      <c r="P70" s="1932" t="s">
        <v>1580</v>
      </c>
      <c r="Q70" s="1885" t="e">
        <f ca="1">C13</f>
        <v>#N/A</v>
      </c>
      <c r="R70" s="1885" t="s">
        <v>1524</v>
      </c>
    </row>
    <row r="71" spans="1:18" s="1841" customFormat="1" ht="13.5"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7" sqref="G1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2517</v>
      </c>
      <c r="B1" s="2559"/>
      <c r="C1" s="2559"/>
      <c r="D1" s="2559"/>
      <c r="E1" s="2560"/>
    </row>
    <row r="2" spans="1:6" ht="15.75">
      <c r="A2" s="2561" t="s">
        <v>2318</v>
      </c>
      <c r="B2" s="2562">
        <f ca="1">SUMIF(B6:B13,"&lt;&gt;#ref!",B6:B13)</f>
        <v>76993</v>
      </c>
      <c r="C2" s="2563" t="s">
        <v>2510</v>
      </c>
      <c r="D2" s="2564" t="s">
        <v>2511</v>
      </c>
      <c r="E2" s="2565">
        <f>SUM(E6:E13)</f>
        <v>22666.709999999995</v>
      </c>
    </row>
    <row r="3" spans="1:6" ht="15.75">
      <c r="A3" s="2561" t="s">
        <v>1390</v>
      </c>
      <c r="B3" s="2562">
        <f ca="1">ROUND(B2*10000/E2,0)</f>
        <v>33967</v>
      </c>
      <c r="C3" s="2563" t="s">
        <v>2518</v>
      </c>
      <c r="D3" s="2566"/>
      <c r="E3" s="2567"/>
    </row>
    <row r="4" spans="1:6" ht="15.75">
      <c r="A4" s="2568"/>
      <c r="B4" s="2566"/>
      <c r="C4" s="2566"/>
      <c r="D4" s="2566"/>
      <c r="E4" s="2567"/>
    </row>
    <row r="5" spans="1:6" ht="15">
      <c r="A5" s="2569" t="s">
        <v>2512</v>
      </c>
      <c r="B5" s="3275" t="s">
        <v>2513</v>
      </c>
      <c r="C5" s="3275"/>
      <c r="D5" s="2570"/>
      <c r="E5" s="2571" t="s">
        <v>2514</v>
      </c>
      <c r="F5" s="2572" t="s">
        <v>2515</v>
      </c>
    </row>
    <row r="6" spans="1:6">
      <c r="A6" s="2573" t="str">
        <f>'数据-取费表'!AN6</f>
        <v>收益法-办公</v>
      </c>
      <c r="B6" s="2572">
        <f ca="1">IF(F6="是",'数据-取费表'!AO6,0)</f>
        <v>76993</v>
      </c>
      <c r="C6" s="2563" t="s">
        <v>2510</v>
      </c>
      <c r="D6" s="2566"/>
      <c r="E6" s="2574">
        <f>IF(OR(A6=0,F6="否"),0,'数据-取费表'!K6+'数据-取费表'!S6)</f>
        <v>22666.709999999995</v>
      </c>
      <c r="F6" s="2575" t="s">
        <v>2516</v>
      </c>
    </row>
    <row r="7" spans="1:6">
      <c r="A7" s="2573">
        <f>'数据-取费表'!AN7</f>
        <v>0</v>
      </c>
      <c r="B7" s="2572">
        <f>IF(F7="是",'数据-取费表'!AO7,0)</f>
        <v>0</v>
      </c>
      <c r="C7" s="2563" t="s">
        <v>2510</v>
      </c>
      <c r="D7" s="2566"/>
      <c r="E7" s="2574">
        <f>IF(OR(A7=0,F7="否"),0,'数据-取费表'!K7+'数据-取费表'!S7)</f>
        <v>0</v>
      </c>
      <c r="F7" s="2575" t="s">
        <v>3058</v>
      </c>
    </row>
    <row r="8" spans="1:6">
      <c r="A8" s="2573">
        <f>'数据-取费表'!AN8</f>
        <v>0</v>
      </c>
      <c r="B8" s="2572" t="e">
        <f ca="1">IF(F8="是",'数据-取费表'!AO8,0)</f>
        <v>#REF!</v>
      </c>
      <c r="C8" s="2563" t="s">
        <v>2510</v>
      </c>
      <c r="D8" s="2566"/>
      <c r="E8" s="2574">
        <f>IF(OR(A8=0,F8="否"),0,'数据-取费表'!K8+'数据-取费表'!S8)</f>
        <v>0</v>
      </c>
      <c r="F8" s="2575" t="s">
        <v>2516</v>
      </c>
    </row>
    <row r="9" spans="1:6">
      <c r="A9" s="2573">
        <f>'数据-取费表'!AN9</f>
        <v>0</v>
      </c>
      <c r="B9" s="2572" t="e">
        <f ca="1">IF(F9="是",'数据-取费表'!AO9,0)</f>
        <v>#REF!</v>
      </c>
      <c r="C9" s="2563" t="s">
        <v>2510</v>
      </c>
      <c r="D9" s="2566"/>
      <c r="E9" s="2574">
        <f>IF(OR(A9=0,F9="否"),0,'数据-取费表'!K9+'数据-取费表'!S9)</f>
        <v>0</v>
      </c>
      <c r="F9" s="2575" t="s">
        <v>2516</v>
      </c>
    </row>
    <row r="10" spans="1:6">
      <c r="A10" s="2573">
        <f>'数据-取费表'!AN10</f>
        <v>0</v>
      </c>
      <c r="B10" s="2572" t="e">
        <f ca="1">IF(F10="是",'数据-取费表'!AO10,0)</f>
        <v>#REF!</v>
      </c>
      <c r="C10" s="2563" t="s">
        <v>2510</v>
      </c>
      <c r="D10" s="2566"/>
      <c r="E10" s="2574">
        <f>IF(OR(A10=0,F10="否"),0,'数据-取费表'!K10+'数据-取费表'!S10)</f>
        <v>0</v>
      </c>
      <c r="F10" s="2575" t="s">
        <v>2516</v>
      </c>
    </row>
    <row r="11" spans="1:6">
      <c r="A11" s="2573">
        <f>'数据-取费表'!AN11</f>
        <v>0</v>
      </c>
      <c r="B11" s="2572" t="e">
        <f ca="1">IF(F11="是",'数据-取费表'!AO11,0)</f>
        <v>#REF!</v>
      </c>
      <c r="C11" s="2563" t="s">
        <v>2510</v>
      </c>
      <c r="D11" s="2566"/>
      <c r="E11" s="2574">
        <f>IF(OR(A11=0,F11="否"),0,'数据-取费表'!K11+'数据-取费表'!S11)</f>
        <v>0</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34" sqref="C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6" t="s">
        <v>2677</v>
      </c>
      <c r="C1" s="1619" t="s">
        <v>2521</v>
      </c>
      <c r="D1" s="1620" t="s">
        <v>27</v>
      </c>
      <c r="E1" s="1629"/>
      <c r="F1" s="2581" t="s">
        <v>3087</v>
      </c>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f>IF(C2="——",ROUND(C50*D3/10000,0),ROUND(C50*D3/10000,0)-D2)</f>
        <v>98607</v>
      </c>
      <c r="C2" s="2583" t="s">
        <v>70</v>
      </c>
      <c r="D2" s="1364"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f>IF(C2="——",C50,ROUND(B2*10000/D3,0))</f>
        <v>43661</v>
      </c>
      <c r="C3" s="400" t="s">
        <v>2635</v>
      </c>
      <c r="D3" s="399">
        <f>IF(D1="",'数据-汇总表'!E3,SUMIF('数据-汇总表'!$C19:$C33,D1,'数据-汇总表'!$E19:$E33))</f>
        <v>22584.659999999996</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284" t="s">
        <v>2642</v>
      </c>
      <c r="Q4" s="3285"/>
      <c r="R4" s="3277" t="s">
        <v>2638</v>
      </c>
      <c r="S4" s="3278"/>
      <c r="T4" s="3277" t="s">
        <v>2639</v>
      </c>
      <c r="U4" s="3278"/>
      <c r="V4" s="3288" t="s">
        <v>2640</v>
      </c>
      <c r="W4" s="3288"/>
      <c r="X4" s="2667"/>
      <c r="Y4" s="3277" t="s">
        <v>2642</v>
      </c>
      <c r="Z4" s="3278"/>
      <c r="AA4" s="3276" t="s">
        <v>2638</v>
      </c>
      <c r="AB4" s="3276" t="s">
        <v>2639</v>
      </c>
      <c r="AC4" s="3281" t="s">
        <v>2640</v>
      </c>
    </row>
    <row r="5" spans="1:29" ht="15">
      <c r="A5" s="404"/>
      <c r="B5" s="405"/>
      <c r="C5" s="3147" t="s">
        <v>2533</v>
      </c>
      <c r="D5" s="3148"/>
      <c r="E5" s="3279" t="s">
        <v>3177</v>
      </c>
      <c r="F5" s="3146"/>
      <c r="G5" s="3280" t="s">
        <v>3176</v>
      </c>
      <c r="H5" s="3148"/>
      <c r="I5" s="3280" t="s">
        <v>3178</v>
      </c>
      <c r="J5" s="3148"/>
      <c r="K5" s="610"/>
      <c r="L5" s="1129"/>
      <c r="M5" s="1130"/>
      <c r="N5" s="1130"/>
      <c r="O5" s="1130"/>
      <c r="P5" s="3286"/>
      <c r="Q5" s="3161"/>
      <c r="R5" s="3143"/>
      <c r="S5" s="3144"/>
      <c r="T5" s="3143"/>
      <c r="U5" s="3144"/>
      <c r="V5" s="3166"/>
      <c r="W5" s="3166"/>
      <c r="X5" s="1812"/>
      <c r="Y5" s="3143"/>
      <c r="Z5" s="3144"/>
      <c r="AA5" s="3137"/>
      <c r="AB5" s="3137"/>
      <c r="AC5" s="3282"/>
    </row>
    <row r="6" spans="1:29" ht="15.75" thickBot="1">
      <c r="A6" s="406"/>
      <c r="B6" s="407"/>
      <c r="C6" s="3149" t="s">
        <v>2537</v>
      </c>
      <c r="D6" s="3150"/>
      <c r="E6" s="3151" t="s">
        <v>3086</v>
      </c>
      <c r="F6" s="3152"/>
      <c r="G6" s="3149" t="s">
        <v>3086</v>
      </c>
      <c r="H6" s="3150"/>
      <c r="I6" s="3149" t="s">
        <v>3086</v>
      </c>
      <c r="J6" s="3150"/>
      <c r="K6" s="610" t="s">
        <v>2538</v>
      </c>
      <c r="L6" s="1129"/>
      <c r="M6" s="1130"/>
      <c r="N6" s="1130"/>
      <c r="O6" s="1130"/>
      <c r="P6" s="3287"/>
      <c r="Q6" s="3163"/>
      <c r="R6" s="3143"/>
      <c r="S6" s="3144"/>
      <c r="T6" s="3164"/>
      <c r="U6" s="3165"/>
      <c r="V6" s="3166"/>
      <c r="W6" s="3166"/>
      <c r="X6" s="1812"/>
      <c r="Y6" s="3164"/>
      <c r="Z6" s="3165"/>
      <c r="AA6" s="3138"/>
      <c r="AB6" s="3138"/>
      <c r="AC6" s="3283"/>
    </row>
    <row r="7" spans="1:29" s="117" customFormat="1" ht="15.75" thickBot="1">
      <c r="A7" s="408" t="s">
        <v>2539</v>
      </c>
      <c r="B7" s="409"/>
      <c r="C7" s="410">
        <f>'数据-取费表'!B2</f>
        <v>43763</v>
      </c>
      <c r="D7" s="411">
        <v>100</v>
      </c>
      <c r="E7" s="412">
        <f>C7</f>
        <v>43763</v>
      </c>
      <c r="F7" s="413">
        <f>SUMIF(59:59,YEAR(E7)&amp;"-"&amp;MONTH(E7),60:60)</f>
        <v>100</v>
      </c>
      <c r="G7" s="412">
        <f>E7</f>
        <v>43763</v>
      </c>
      <c r="H7" s="411">
        <f>SUMIF(59:59,YEAR(G7)&amp;"-"&amp;MONTH(G7),60:60)</f>
        <v>100</v>
      </c>
      <c r="I7" s="412">
        <f>G7</f>
        <v>43763</v>
      </c>
      <c r="J7" s="411">
        <f>SUMIF(59:59,YEAR(I7)&amp;"-"&amp;MONTH(I7),60:60)</f>
        <v>100</v>
      </c>
      <c r="K7" s="611"/>
      <c r="L7" s="1131"/>
      <c r="M7" s="1132"/>
      <c r="N7" s="1132"/>
      <c r="O7" s="1132"/>
      <c r="P7" s="3289" t="s">
        <v>2540</v>
      </c>
      <c r="Q7" s="3167"/>
      <c r="R7" s="769" t="s">
        <v>17</v>
      </c>
      <c r="S7" s="770">
        <f t="shared" ref="S7:S15" si="0">F7</f>
        <v>100</v>
      </c>
      <c r="T7" s="769" t="s">
        <v>17</v>
      </c>
      <c r="U7" s="770">
        <f t="shared" ref="U7:U15" si="1">H7</f>
        <v>100</v>
      </c>
      <c r="V7" s="769" t="s">
        <v>17</v>
      </c>
      <c r="W7" s="770">
        <f t="shared" ref="W7:W15" si="2">J7</f>
        <v>100</v>
      </c>
      <c r="X7" s="771"/>
      <c r="Y7" s="3139" t="s">
        <v>2540</v>
      </c>
      <c r="Z7" s="3140"/>
      <c r="AA7" s="772">
        <f>D7/F7</f>
        <v>1</v>
      </c>
      <c r="AB7" s="772">
        <f>D7/H7</f>
        <v>1</v>
      </c>
      <c r="AC7" s="2668">
        <f>D7/J7</f>
        <v>1</v>
      </c>
    </row>
    <row r="8" spans="1:29" s="117" customFormat="1" ht="15.75" thickBot="1">
      <c r="A8" s="408" t="s">
        <v>2541</v>
      </c>
      <c r="B8" s="409"/>
      <c r="C8" s="414" t="s">
        <v>2643</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89" t="s">
        <v>2543</v>
      </c>
      <c r="Q8" s="3140"/>
      <c r="R8" s="769" t="s">
        <v>17</v>
      </c>
      <c r="S8" s="770">
        <f t="shared" si="0"/>
        <v>100</v>
      </c>
      <c r="T8" s="769" t="s">
        <v>17</v>
      </c>
      <c r="U8" s="770">
        <f t="shared" si="1"/>
        <v>100</v>
      </c>
      <c r="V8" s="769" t="s">
        <v>17</v>
      </c>
      <c r="W8" s="770">
        <f t="shared" si="2"/>
        <v>100</v>
      </c>
      <c r="X8" s="771"/>
      <c r="Y8" s="3139" t="s">
        <v>2543</v>
      </c>
      <c r="Z8" s="3140"/>
      <c r="AA8" s="772">
        <f t="shared" ref="AA8:AA47" si="3">D8/F8</f>
        <v>1</v>
      </c>
      <c r="AB8" s="772">
        <f t="shared" ref="AB8:AB47" si="4">D8/H8</f>
        <v>1</v>
      </c>
      <c r="AC8" s="2668">
        <f t="shared" ref="AC8:AC47" si="5">D8/J8</f>
        <v>1</v>
      </c>
    </row>
    <row r="9" spans="1:29" s="117" customFormat="1">
      <c r="A9" s="415" t="s">
        <v>2544</v>
      </c>
      <c r="B9" s="71" t="s">
        <v>2545</v>
      </c>
      <c r="C9" s="2986"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53"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2668">
        <f t="shared" si="5"/>
        <v>1</v>
      </c>
    </row>
    <row r="10" spans="1:29" s="427" customFormat="1" ht="27">
      <c r="A10" s="421"/>
      <c r="B10" s="422" t="s">
        <v>2548</v>
      </c>
      <c r="C10" s="423" t="s">
        <v>3090</v>
      </c>
      <c r="D10" s="136">
        <v>100</v>
      </c>
      <c r="E10" s="423" t="s">
        <v>3091</v>
      </c>
      <c r="F10" s="136">
        <f>SUMIF(66:66,E10,67:67)-SUMIF(66:66,C10,67:67)+100</f>
        <v>101</v>
      </c>
      <c r="G10" s="423" t="s">
        <v>3091</v>
      </c>
      <c r="H10" s="136">
        <f>SUMIF(66:66,G10,67:67)-SUMIF(66:66,C10,67:67)+100</f>
        <v>101</v>
      </c>
      <c r="I10" s="423" t="s">
        <v>3091</v>
      </c>
      <c r="J10" s="136">
        <f>SUMIF(66:66,I10,67:67)-SUMIF(66:66,C10,67:67)+100</f>
        <v>101</v>
      </c>
      <c r="K10" s="612">
        <v>1</v>
      </c>
      <c r="L10" s="1134"/>
      <c r="M10" s="1135"/>
      <c r="N10" s="1135"/>
      <c r="O10" s="1135"/>
      <c r="P10" s="3153"/>
      <c r="Q10" s="1794" t="str">
        <f t="shared" si="6"/>
        <v>土地使用年限（年）</v>
      </c>
      <c r="R10" s="769" t="s">
        <v>17</v>
      </c>
      <c r="S10" s="770">
        <f t="shared" si="0"/>
        <v>101</v>
      </c>
      <c r="T10" s="769" t="s">
        <v>17</v>
      </c>
      <c r="U10" s="770">
        <f t="shared" si="1"/>
        <v>101</v>
      </c>
      <c r="V10" s="769" t="s">
        <v>17</v>
      </c>
      <c r="W10" s="770">
        <f t="shared" si="2"/>
        <v>101</v>
      </c>
      <c r="X10" s="771"/>
      <c r="Y10" s="3080"/>
      <c r="Z10" s="55" t="str">
        <f t="shared" si="7"/>
        <v>土地使用年限（年）</v>
      </c>
      <c r="AA10" s="772">
        <f t="shared" si="3"/>
        <v>0.99009900990099009</v>
      </c>
      <c r="AB10" s="772">
        <f t="shared" si="4"/>
        <v>0.99009900990099009</v>
      </c>
      <c r="AC10" s="2668">
        <f t="shared" si="5"/>
        <v>0.99009900990099009</v>
      </c>
    </row>
    <row r="11" spans="1:29" ht="15">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7"/>
      <c r="M11" s="1130"/>
      <c r="N11" s="1130"/>
      <c r="O11" s="1130"/>
      <c r="P11" s="3153"/>
      <c r="Q11" s="1794" t="str">
        <f t="shared" si="6"/>
        <v>容积率</v>
      </c>
      <c r="R11" s="769" t="s">
        <v>17</v>
      </c>
      <c r="S11" s="770">
        <f t="shared" si="0"/>
        <v>100</v>
      </c>
      <c r="T11" s="769" t="s">
        <v>17</v>
      </c>
      <c r="U11" s="770">
        <f t="shared" si="1"/>
        <v>100</v>
      </c>
      <c r="V11" s="769" t="s">
        <v>17</v>
      </c>
      <c r="W11" s="770">
        <f t="shared" si="2"/>
        <v>100</v>
      </c>
      <c r="X11" s="771"/>
      <c r="Y11" s="3080"/>
      <c r="Z11" s="55" t="str">
        <f t="shared" si="7"/>
        <v>容积率</v>
      </c>
      <c r="AA11" s="772">
        <f t="shared" si="3"/>
        <v>1</v>
      </c>
      <c r="AB11" s="772">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53"/>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53"/>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153"/>
      <c r="Q14" s="1794">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2668">
        <f t="shared" si="5"/>
        <v>1</v>
      </c>
    </row>
    <row r="15" spans="1:29" ht="15">
      <c r="A15" s="440" t="s">
        <v>2550</v>
      </c>
      <c r="B15" s="629" t="s">
        <v>2678</v>
      </c>
      <c r="C15" s="2670"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80" t="s">
        <v>2551</v>
      </c>
      <c r="Q15" s="1809" t="str">
        <f t="shared" si="6"/>
        <v>办公集聚程度</v>
      </c>
      <c r="R15" s="773" t="s">
        <v>17</v>
      </c>
      <c r="S15" s="774">
        <f t="shared" si="0"/>
        <v>100</v>
      </c>
      <c r="T15" s="773" t="s">
        <v>17</v>
      </c>
      <c r="U15" s="774">
        <f t="shared" si="1"/>
        <v>100</v>
      </c>
      <c r="V15" s="773" t="s">
        <v>17</v>
      </c>
      <c r="W15" s="774">
        <f t="shared" si="2"/>
        <v>100</v>
      </c>
      <c r="X15" s="1812"/>
      <c r="Y15" s="3173" t="s">
        <v>2551</v>
      </c>
      <c r="Z15" s="1813" t="str">
        <f t="shared" si="7"/>
        <v>办公集聚程度</v>
      </c>
      <c r="AA15" s="1810">
        <f t="shared" si="3"/>
        <v>1</v>
      </c>
      <c r="AB15" s="1810">
        <f t="shared" si="4"/>
        <v>1</v>
      </c>
      <c r="AC15" s="2671">
        <f t="shared" si="5"/>
        <v>1</v>
      </c>
    </row>
    <row r="16" spans="1:29" ht="15">
      <c r="A16" s="428"/>
      <c r="B16" s="630"/>
      <c r="C16" s="2608" t="s">
        <v>3080</v>
      </c>
      <c r="D16" s="448"/>
      <c r="E16" s="2608" t="s">
        <v>3080</v>
      </c>
      <c r="F16" s="448"/>
      <c r="G16" s="2608" t="s">
        <v>3080</v>
      </c>
      <c r="H16" s="450"/>
      <c r="I16" s="2608" t="s">
        <v>3080</v>
      </c>
      <c r="J16" s="448"/>
      <c r="K16" s="615"/>
      <c r="L16" s="1139"/>
      <c r="M16" s="1130"/>
      <c r="N16" s="1130"/>
      <c r="O16" s="1130"/>
      <c r="P16" s="3181"/>
      <c r="Q16" s="1809"/>
      <c r="R16" s="773"/>
      <c r="S16" s="774"/>
      <c r="T16" s="773"/>
      <c r="U16" s="774"/>
      <c r="V16" s="773"/>
      <c r="W16" s="774"/>
      <c r="X16" s="1812"/>
      <c r="Y16" s="3174"/>
      <c r="Z16" s="1813"/>
      <c r="AA16" s="1810">
        <v>1</v>
      </c>
      <c r="AB16" s="1810">
        <v>1</v>
      </c>
      <c r="AC16" s="2671">
        <v>1</v>
      </c>
    </row>
    <row r="17" spans="1:29" ht="15">
      <c r="A17" s="428"/>
      <c r="B17" s="631" t="s">
        <v>2088</v>
      </c>
      <c r="C17" s="2672" t="str">
        <f>估价对象房地状况!C6</f>
        <v>较好</v>
      </c>
      <c r="D17" s="450">
        <v>100</v>
      </c>
      <c r="E17" s="454"/>
      <c r="F17" s="450">
        <f>SUMIF(79:79,E18,80:80)-SUMIF(79:79,C18,80:80)+100</f>
        <v>100</v>
      </c>
      <c r="G17" s="452"/>
      <c r="H17" s="455">
        <f>SUMIF(79:79,G18,80:80)-SUMIF(79:79,C18,80:80)+100</f>
        <v>100</v>
      </c>
      <c r="I17" s="452"/>
      <c r="J17" s="455">
        <f>SUMIF(79:79,I18,80:80)-SUMIF(79:79,C18,80:80)+100</f>
        <v>102</v>
      </c>
      <c r="K17" s="614">
        <v>2</v>
      </c>
      <c r="L17" s="1139"/>
      <c r="M17" s="1130"/>
      <c r="N17" s="1130"/>
      <c r="O17" s="1130"/>
      <c r="P17" s="3181"/>
      <c r="Q17" s="1809" t="str">
        <f>B17</f>
        <v>交通便捷度</v>
      </c>
      <c r="R17" s="773" t="s">
        <v>17</v>
      </c>
      <c r="S17" s="774">
        <f>F17</f>
        <v>100</v>
      </c>
      <c r="T17" s="773" t="s">
        <v>17</v>
      </c>
      <c r="U17" s="774">
        <f>H17</f>
        <v>100</v>
      </c>
      <c r="V17" s="773" t="s">
        <v>17</v>
      </c>
      <c r="W17" s="774">
        <f>J17</f>
        <v>102</v>
      </c>
      <c r="X17" s="1812"/>
      <c r="Y17" s="3174"/>
      <c r="Z17" s="1813" t="str">
        <f>Q17</f>
        <v>交通便捷度</v>
      </c>
      <c r="AA17" s="1810">
        <f t="shared" si="3"/>
        <v>1</v>
      </c>
      <c r="AB17" s="1810">
        <f t="shared" si="4"/>
        <v>1</v>
      </c>
      <c r="AC17" s="2671">
        <f t="shared" si="5"/>
        <v>0.98039215686274506</v>
      </c>
    </row>
    <row r="18" spans="1:29" ht="15">
      <c r="A18" s="428"/>
      <c r="B18" s="632"/>
      <c r="C18" s="2606" t="s">
        <v>3080</v>
      </c>
      <c r="D18" s="450"/>
      <c r="E18" s="2606" t="s">
        <v>3080</v>
      </c>
      <c r="F18" s="450"/>
      <c r="G18" s="2606" t="s">
        <v>3080</v>
      </c>
      <c r="H18" s="448"/>
      <c r="I18" s="2606" t="s">
        <v>3120</v>
      </c>
      <c r="J18" s="448"/>
      <c r="K18" s="615"/>
      <c r="L18" s="1139"/>
      <c r="M18" s="1130"/>
      <c r="N18" s="1130"/>
      <c r="O18" s="1130"/>
      <c r="P18" s="3181"/>
      <c r="Q18" s="1809"/>
      <c r="R18" s="773"/>
      <c r="S18" s="774"/>
      <c r="T18" s="773"/>
      <c r="U18" s="774"/>
      <c r="V18" s="773"/>
      <c r="W18" s="774"/>
      <c r="X18" s="1812"/>
      <c r="Y18" s="3174"/>
      <c r="Z18" s="1813"/>
      <c r="AA18" s="1810">
        <v>1</v>
      </c>
      <c r="AB18" s="1810">
        <v>1</v>
      </c>
      <c r="AC18" s="2671">
        <v>1</v>
      </c>
    </row>
    <row r="19" spans="1:29" ht="15">
      <c r="A19" s="428"/>
      <c r="B19" s="631" t="s">
        <v>2679</v>
      </c>
      <c r="C19" s="267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81"/>
      <c r="Q19" s="1809" t="str">
        <f>B19</f>
        <v>公共配套设施</v>
      </c>
      <c r="R19" s="773" t="s">
        <v>17</v>
      </c>
      <c r="S19" s="774">
        <f>F19</f>
        <v>100</v>
      </c>
      <c r="T19" s="773" t="s">
        <v>17</v>
      </c>
      <c r="U19" s="774">
        <f>H19</f>
        <v>100</v>
      </c>
      <c r="V19" s="773" t="s">
        <v>17</v>
      </c>
      <c r="W19" s="774">
        <f>J19</f>
        <v>100</v>
      </c>
      <c r="X19" s="1812"/>
      <c r="Y19" s="3174"/>
      <c r="Z19" s="1813" t="str">
        <f>Q19</f>
        <v>公共配套设施</v>
      </c>
      <c r="AA19" s="1810">
        <f t="shared" si="3"/>
        <v>1</v>
      </c>
      <c r="AB19" s="1810">
        <f t="shared" si="4"/>
        <v>1</v>
      </c>
      <c r="AC19" s="2671">
        <f t="shared" si="5"/>
        <v>1</v>
      </c>
    </row>
    <row r="20" spans="1:29" ht="15">
      <c r="A20" s="428"/>
      <c r="B20" s="632"/>
      <c r="C20" s="2606" t="s">
        <v>3080</v>
      </c>
      <c r="D20" s="448"/>
      <c r="E20" s="2606" t="s">
        <v>3080</v>
      </c>
      <c r="F20" s="448"/>
      <c r="G20" s="2606" t="s">
        <v>3080</v>
      </c>
      <c r="H20" s="448"/>
      <c r="I20" s="2606" t="s">
        <v>3080</v>
      </c>
      <c r="J20" s="448"/>
      <c r="K20" s="615"/>
      <c r="L20" s="1139"/>
      <c r="M20" s="1130"/>
      <c r="N20" s="1130"/>
      <c r="O20" s="1130"/>
      <c r="P20" s="3181"/>
      <c r="Q20" s="1809"/>
      <c r="R20" s="773"/>
      <c r="S20" s="774"/>
      <c r="T20" s="773"/>
      <c r="U20" s="774"/>
      <c r="V20" s="773"/>
      <c r="W20" s="774"/>
      <c r="X20" s="1812"/>
      <c r="Y20" s="3174"/>
      <c r="Z20" s="1813"/>
      <c r="AA20" s="1810">
        <v>1</v>
      </c>
      <c r="AB20" s="1810">
        <v>1</v>
      </c>
      <c r="AC20" s="2671">
        <v>1</v>
      </c>
    </row>
    <row r="21" spans="1:29" ht="15">
      <c r="A21" s="428"/>
      <c r="B21" s="633" t="s">
        <v>2680</v>
      </c>
      <c r="C21" s="267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181"/>
      <c r="Q21" s="1809" t="str">
        <f>B21</f>
        <v>基础设施水平</v>
      </c>
      <c r="R21" s="773" t="s">
        <v>17</v>
      </c>
      <c r="S21" s="774">
        <f>F21</f>
        <v>100</v>
      </c>
      <c r="T21" s="773" t="s">
        <v>17</v>
      </c>
      <c r="U21" s="774">
        <f>H21</f>
        <v>100</v>
      </c>
      <c r="V21" s="773" t="s">
        <v>17</v>
      </c>
      <c r="W21" s="774">
        <f>J21</f>
        <v>100</v>
      </c>
      <c r="X21" s="1812"/>
      <c r="Y21" s="3174"/>
      <c r="Z21" s="1813" t="str">
        <f>Q21</f>
        <v>基础设施水平</v>
      </c>
      <c r="AA21" s="1810">
        <f t="shared" ref="AA21" si="8">D21/F21</f>
        <v>1</v>
      </c>
      <c r="AB21" s="1810">
        <f t="shared" ref="AB21" si="9">D21/H21</f>
        <v>1</v>
      </c>
      <c r="AC21" s="2671">
        <f t="shared" ref="AC21" si="10">D21/J21</f>
        <v>1</v>
      </c>
    </row>
    <row r="22" spans="1:29" ht="15">
      <c r="A22" s="428"/>
      <c r="B22" s="633"/>
      <c r="C22" s="2673" t="s">
        <v>3083</v>
      </c>
      <c r="D22" s="448"/>
      <c r="E22" s="2673" t="s">
        <v>3083</v>
      </c>
      <c r="F22" s="448"/>
      <c r="G22" s="2673" t="s">
        <v>3083</v>
      </c>
      <c r="H22" s="448"/>
      <c r="I22" s="2673" t="s">
        <v>3083</v>
      </c>
      <c r="J22" s="448"/>
      <c r="K22" s="1382"/>
      <c r="L22" s="1139"/>
      <c r="M22" s="1130"/>
      <c r="N22" s="1130"/>
      <c r="O22" s="1130"/>
      <c r="P22" s="3181"/>
      <c r="Q22" s="1809"/>
      <c r="R22" s="773"/>
      <c r="S22" s="774"/>
      <c r="T22" s="773"/>
      <c r="U22" s="774"/>
      <c r="V22" s="773"/>
      <c r="W22" s="774"/>
      <c r="X22" s="1812"/>
      <c r="Y22" s="3174"/>
      <c r="Z22" s="1813"/>
      <c r="AA22" s="1810">
        <v>1</v>
      </c>
      <c r="AB22" s="1810">
        <v>1</v>
      </c>
      <c r="AC22" s="2671">
        <v>1</v>
      </c>
    </row>
    <row r="23" spans="1:29" ht="15">
      <c r="A23" s="428"/>
      <c r="B23" s="631" t="s">
        <v>2681</v>
      </c>
      <c r="C23" s="267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81"/>
      <c r="Q23" s="1809" t="str">
        <f>B23</f>
        <v>环境质量</v>
      </c>
      <c r="R23" s="773" t="s">
        <v>17</v>
      </c>
      <c r="S23" s="774">
        <f>F23</f>
        <v>100</v>
      </c>
      <c r="T23" s="773" t="s">
        <v>17</v>
      </c>
      <c r="U23" s="774">
        <f>H23</f>
        <v>100</v>
      </c>
      <c r="V23" s="773" t="s">
        <v>17</v>
      </c>
      <c r="W23" s="774">
        <f>J23</f>
        <v>100</v>
      </c>
      <c r="X23" s="1812"/>
      <c r="Y23" s="3174"/>
      <c r="Z23" s="1813" t="str">
        <f>Q23</f>
        <v>环境质量</v>
      </c>
      <c r="AA23" s="1810">
        <f t="shared" si="3"/>
        <v>1</v>
      </c>
      <c r="AB23" s="1810">
        <f t="shared" si="4"/>
        <v>1</v>
      </c>
      <c r="AC23" s="2671">
        <f t="shared" si="5"/>
        <v>1</v>
      </c>
    </row>
    <row r="24" spans="1:29" ht="15">
      <c r="A24" s="428"/>
      <c r="B24" s="633"/>
      <c r="C24" s="2606" t="s">
        <v>3080</v>
      </c>
      <c r="D24" s="448"/>
      <c r="E24" s="2606" t="s">
        <v>3080</v>
      </c>
      <c r="F24" s="448"/>
      <c r="G24" s="2606" t="s">
        <v>3080</v>
      </c>
      <c r="H24" s="448"/>
      <c r="I24" s="2606" t="s">
        <v>3080</v>
      </c>
      <c r="J24" s="448"/>
      <c r="K24" s="615"/>
      <c r="L24" s="1139"/>
      <c r="M24" s="1130"/>
      <c r="N24" s="1130"/>
      <c r="O24" s="1130"/>
      <c r="P24" s="3181"/>
      <c r="Q24" s="1809"/>
      <c r="R24" s="773"/>
      <c r="S24" s="774"/>
      <c r="T24" s="773"/>
      <c r="U24" s="774"/>
      <c r="V24" s="773"/>
      <c r="W24" s="774"/>
      <c r="X24" s="1812"/>
      <c r="Y24" s="3174"/>
      <c r="Z24" s="1813"/>
      <c r="AA24" s="1810">
        <v>1</v>
      </c>
      <c r="AB24" s="1810">
        <v>1</v>
      </c>
      <c r="AC24" s="2671">
        <v>1</v>
      </c>
    </row>
    <row r="25" spans="1:29" ht="27">
      <c r="A25" s="404"/>
      <c r="B25" s="631" t="s">
        <v>2682</v>
      </c>
      <c r="C25" s="2990" t="s">
        <v>3121</v>
      </c>
      <c r="D25" s="435">
        <v>100</v>
      </c>
      <c r="E25" s="2991" t="s">
        <v>3122</v>
      </c>
      <c r="F25" s="435">
        <f>SUMIF(87:87,E26,88:88)-SUMIF(87:87,C26,88:88)+100</f>
        <v>102</v>
      </c>
      <c r="G25" s="2991" t="s">
        <v>3123</v>
      </c>
      <c r="H25" s="435">
        <f>SUMIF(87:87,G26,88:88)-SUMIF(87:87,C26,88:88)+100</f>
        <v>102</v>
      </c>
      <c r="I25" s="2991" t="s">
        <v>3122</v>
      </c>
      <c r="J25" s="435">
        <f>SUMIF(87:87,I26,88:88)-SUMIF(87:87,C26,88:88)+100</f>
        <v>102</v>
      </c>
      <c r="K25" s="614">
        <v>2</v>
      </c>
      <c r="L25" s="1139"/>
      <c r="M25" s="1130"/>
      <c r="N25" s="1130"/>
      <c r="O25" s="1130"/>
      <c r="P25" s="3181"/>
      <c r="Q25" s="1809" t="str">
        <f>B25</f>
        <v>毗邻道路的类型与等级</v>
      </c>
      <c r="R25" s="773" t="s">
        <v>17</v>
      </c>
      <c r="S25" s="774">
        <f>F25</f>
        <v>102</v>
      </c>
      <c r="T25" s="773" t="s">
        <v>17</v>
      </c>
      <c r="U25" s="774">
        <f>H25</f>
        <v>102</v>
      </c>
      <c r="V25" s="773" t="s">
        <v>17</v>
      </c>
      <c r="W25" s="774">
        <f>J25</f>
        <v>102</v>
      </c>
      <c r="X25" s="1812"/>
      <c r="Y25" s="3174"/>
      <c r="Z25" s="1813" t="str">
        <f>Q25</f>
        <v>毗邻道路的类型与等级</v>
      </c>
      <c r="AA25" s="1810">
        <f t="shared" si="3"/>
        <v>0.98039215686274506</v>
      </c>
      <c r="AB25" s="1810">
        <f t="shared" si="4"/>
        <v>0.98039215686274506</v>
      </c>
      <c r="AC25" s="2671">
        <f t="shared" si="5"/>
        <v>0.98039215686274506</v>
      </c>
    </row>
    <row r="26" spans="1:29" ht="15">
      <c r="A26" s="404"/>
      <c r="B26" s="632"/>
      <c r="C26" s="634" t="s">
        <v>3124</v>
      </c>
      <c r="D26" s="435"/>
      <c r="E26" s="616" t="s">
        <v>3125</v>
      </c>
      <c r="F26" s="435"/>
      <c r="G26" s="616" t="s">
        <v>3125</v>
      </c>
      <c r="H26" s="435"/>
      <c r="I26" s="616" t="s">
        <v>3125</v>
      </c>
      <c r="J26" s="435"/>
      <c r="K26" s="615"/>
      <c r="L26" s="1139"/>
      <c r="M26" s="1130"/>
      <c r="N26" s="1130"/>
      <c r="O26" s="1130"/>
      <c r="P26" s="3181"/>
      <c r="Q26" s="1809"/>
      <c r="R26" s="773"/>
      <c r="S26" s="774"/>
      <c r="T26" s="773"/>
      <c r="U26" s="774"/>
      <c r="V26" s="773"/>
      <c r="W26" s="774"/>
      <c r="X26" s="1812"/>
      <c r="Y26" s="3174"/>
      <c r="Z26" s="1813"/>
      <c r="AA26" s="1810">
        <v>1</v>
      </c>
      <c r="AB26" s="1810">
        <v>1</v>
      </c>
      <c r="AC26" s="2671">
        <v>1</v>
      </c>
    </row>
    <row r="27" spans="1:29" ht="15">
      <c r="A27" s="428"/>
      <c r="B27" s="632" t="s">
        <v>2650</v>
      </c>
      <c r="C27" s="634" t="s">
        <v>3126</v>
      </c>
      <c r="D27" s="435">
        <v>100</v>
      </c>
      <c r="E27" s="634" t="s">
        <v>3126</v>
      </c>
      <c r="F27" s="435">
        <f>SUMIF(89:89,E27,90:90)-SUMIF(89:89,C27,90:90)+100</f>
        <v>100</v>
      </c>
      <c r="G27" s="634" t="s">
        <v>3126</v>
      </c>
      <c r="H27" s="435">
        <f>SUMIF(89:89,G27,90:90)-SUMIF(89:89,C27,90:90)+100</f>
        <v>100</v>
      </c>
      <c r="I27" s="634" t="s">
        <v>3126</v>
      </c>
      <c r="J27" s="435">
        <f>SUMIF(89:89,I27,90:90)-SUMIF(89:89,C27,90:90)+100</f>
        <v>100</v>
      </c>
      <c r="K27" s="612">
        <v>2</v>
      </c>
      <c r="L27" s="1139"/>
      <c r="M27" s="1130"/>
      <c r="N27" s="1130"/>
      <c r="O27" s="1130"/>
      <c r="P27" s="3181"/>
      <c r="Q27" s="1809" t="str">
        <f t="shared" ref="Q27:Q47" si="11">B27</f>
        <v>楼层</v>
      </c>
      <c r="R27" s="773" t="s">
        <v>17</v>
      </c>
      <c r="S27" s="774">
        <f>F27</f>
        <v>100</v>
      </c>
      <c r="T27" s="773" t="s">
        <v>17</v>
      </c>
      <c r="U27" s="774">
        <f>H27</f>
        <v>100</v>
      </c>
      <c r="V27" s="773" t="s">
        <v>17</v>
      </c>
      <c r="W27" s="774">
        <f>J27</f>
        <v>100</v>
      </c>
      <c r="X27" s="1812"/>
      <c r="Y27" s="3174"/>
      <c r="Z27" s="1813" t="str">
        <f>Q27</f>
        <v>楼层</v>
      </c>
      <c r="AA27" s="1810">
        <f t="shared" si="3"/>
        <v>1</v>
      </c>
      <c r="AB27" s="1810">
        <f t="shared" si="4"/>
        <v>1</v>
      </c>
      <c r="AC27" s="2671">
        <f t="shared" si="5"/>
        <v>1</v>
      </c>
    </row>
    <row r="28" spans="1:29" s="117" customFormat="1" ht="15">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v>2</v>
      </c>
      <c r="L28" s="1131"/>
      <c r="M28" s="1132"/>
      <c r="N28" s="1132"/>
      <c r="O28" s="1132"/>
      <c r="P28" s="3181"/>
      <c r="Q28" s="1794" t="str">
        <f t="shared" si="11"/>
        <v>朝向</v>
      </c>
      <c r="R28" s="769" t="s">
        <v>17</v>
      </c>
      <c r="S28" s="770">
        <f>F28</f>
        <v>100</v>
      </c>
      <c r="T28" s="769" t="s">
        <v>17</v>
      </c>
      <c r="U28" s="770">
        <f>H28</f>
        <v>100</v>
      </c>
      <c r="V28" s="769" t="s">
        <v>17</v>
      </c>
      <c r="W28" s="770">
        <f>J28</f>
        <v>100</v>
      </c>
      <c r="X28" s="771"/>
      <c r="Y28" s="3174"/>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181"/>
      <c r="Q29" s="1809">
        <f t="shared" si="11"/>
        <v>111</v>
      </c>
      <c r="R29" s="773" t="s">
        <v>17</v>
      </c>
      <c r="S29" s="774">
        <f t="shared" ref="S29:S47" si="12">F29</f>
        <v>100</v>
      </c>
      <c r="T29" s="773" t="s">
        <v>17</v>
      </c>
      <c r="U29" s="774">
        <f t="shared" ref="U29:U47" si="13">H29</f>
        <v>100</v>
      </c>
      <c r="V29" s="773" t="s">
        <v>17</v>
      </c>
      <c r="W29" s="774">
        <f t="shared" ref="W29:W47" si="14">J29</f>
        <v>100</v>
      </c>
      <c r="X29" s="1812"/>
      <c r="Y29" s="3174"/>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181"/>
      <c r="Q30" s="1809">
        <f t="shared" si="11"/>
        <v>111</v>
      </c>
      <c r="R30" s="773" t="s">
        <v>17</v>
      </c>
      <c r="S30" s="774">
        <f t="shared" si="12"/>
        <v>100</v>
      </c>
      <c r="T30" s="773" t="s">
        <v>17</v>
      </c>
      <c r="U30" s="774">
        <f t="shared" si="13"/>
        <v>100</v>
      </c>
      <c r="V30" s="773" t="s">
        <v>17</v>
      </c>
      <c r="W30" s="774">
        <f t="shared" si="14"/>
        <v>100</v>
      </c>
      <c r="X30" s="1812"/>
      <c r="Y30" s="3174"/>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181"/>
      <c r="Q31" s="1809">
        <f t="shared" si="11"/>
        <v>111</v>
      </c>
      <c r="R31" s="773" t="s">
        <v>17</v>
      </c>
      <c r="S31" s="774">
        <f t="shared" si="12"/>
        <v>100</v>
      </c>
      <c r="T31" s="773" t="s">
        <v>17</v>
      </c>
      <c r="U31" s="774">
        <f t="shared" si="13"/>
        <v>100</v>
      </c>
      <c r="V31" s="773" t="s">
        <v>17</v>
      </c>
      <c r="W31" s="774">
        <f t="shared" si="14"/>
        <v>100</v>
      </c>
      <c r="X31" s="1812"/>
      <c r="Y31" s="3174"/>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181"/>
      <c r="Q32" s="1809">
        <f t="shared" si="11"/>
        <v>111</v>
      </c>
      <c r="R32" s="773" t="s">
        <v>17</v>
      </c>
      <c r="S32" s="774">
        <f t="shared" si="12"/>
        <v>100</v>
      </c>
      <c r="T32" s="773" t="s">
        <v>17</v>
      </c>
      <c r="U32" s="774">
        <f t="shared" si="13"/>
        <v>100</v>
      </c>
      <c r="V32" s="773" t="s">
        <v>17</v>
      </c>
      <c r="W32" s="774">
        <f t="shared" si="14"/>
        <v>100</v>
      </c>
      <c r="X32" s="1812"/>
      <c r="Y32" s="3174"/>
      <c r="Z32" s="1813">
        <f t="shared" si="15"/>
        <v>111</v>
      </c>
      <c r="AA32" s="1810">
        <f t="shared" si="3"/>
        <v>1</v>
      </c>
      <c r="AB32" s="1810">
        <f t="shared" si="4"/>
        <v>1</v>
      </c>
      <c r="AC32" s="2671">
        <f t="shared" si="5"/>
        <v>1</v>
      </c>
    </row>
    <row r="33" spans="1:29" ht="15">
      <c r="A33" s="440" t="s">
        <v>2554</v>
      </c>
      <c r="B33" s="71" t="s">
        <v>2684</v>
      </c>
      <c r="C33" s="2676" t="s">
        <v>3100</v>
      </c>
      <c r="D33" s="467">
        <v>100</v>
      </c>
      <c r="E33" s="2676" t="s">
        <v>3100</v>
      </c>
      <c r="F33" s="461">
        <f>SUMIF(101:101,E33,102:102)-SUMIF(101:101,C33,102:102)+100</f>
        <v>100</v>
      </c>
      <c r="G33" s="2676" t="s">
        <v>3100</v>
      </c>
      <c r="H33" s="435">
        <f>SUMIF(101:101,G33,102:102)-SUMIF(101:101,C33,102:102)+100</f>
        <v>100</v>
      </c>
      <c r="I33" s="2676" t="s">
        <v>3100</v>
      </c>
      <c r="J33" s="467">
        <f>SUMIF(101:101,I33,102:102)-SUMIF(101:101,C33,102:102)+100</f>
        <v>100</v>
      </c>
      <c r="K33" s="612">
        <v>2</v>
      </c>
      <c r="L33" s="1139"/>
      <c r="M33" s="1130"/>
      <c r="N33" s="1130"/>
      <c r="O33" s="1130"/>
      <c r="P33" s="3175" t="s">
        <v>2556</v>
      </c>
      <c r="Q33" s="1809" t="str">
        <f t="shared" si="11"/>
        <v>建筑类型</v>
      </c>
      <c r="R33" s="773" t="s">
        <v>17</v>
      </c>
      <c r="S33" s="774">
        <f t="shared" si="12"/>
        <v>100</v>
      </c>
      <c r="T33" s="773" t="s">
        <v>17</v>
      </c>
      <c r="U33" s="774">
        <f t="shared" si="13"/>
        <v>100</v>
      </c>
      <c r="V33" s="773" t="s">
        <v>17</v>
      </c>
      <c r="W33" s="774">
        <f t="shared" si="14"/>
        <v>100</v>
      </c>
      <c r="X33" s="1812"/>
      <c r="Y33" s="3178" t="s">
        <v>2556</v>
      </c>
      <c r="Z33" s="1813" t="str">
        <f t="shared" si="15"/>
        <v>建筑类型</v>
      </c>
      <c r="AA33" s="1810">
        <f t="shared" si="3"/>
        <v>1</v>
      </c>
      <c r="AB33" s="1810">
        <f t="shared" si="4"/>
        <v>1</v>
      </c>
      <c r="AC33" s="2671">
        <f t="shared" si="5"/>
        <v>1</v>
      </c>
    </row>
    <row r="34" spans="1:29" s="471" customFormat="1" ht="15">
      <c r="A34" s="468"/>
      <c r="B34" s="422" t="s">
        <v>2557</v>
      </c>
      <c r="C34" s="469">
        <f>'数据-汇总表'!F19</f>
        <v>18053.419999999998</v>
      </c>
      <c r="D34" s="136">
        <v>100</v>
      </c>
      <c r="E34" s="430">
        <v>4641</v>
      </c>
      <c r="F34" s="425">
        <f>LOOKUP(E34,104:104,105:105)-LOOKUP(C34,104:104,105:105)+100</f>
        <v>104</v>
      </c>
      <c r="G34" s="429">
        <v>4000</v>
      </c>
      <c r="H34" s="136">
        <f>LOOKUP(G34,104:104,105:105)-LOOKUP(C34,104:104,105:105)+100</f>
        <v>104</v>
      </c>
      <c r="I34" s="429">
        <v>12000</v>
      </c>
      <c r="J34" s="136">
        <f>LOOKUP(I34,104:104,105:105)-LOOKUP(C34,104:104,105:105)+100</f>
        <v>100</v>
      </c>
      <c r="K34" s="613"/>
      <c r="L34" s="1137"/>
      <c r="M34" s="1140"/>
      <c r="N34" s="1140"/>
      <c r="O34" s="1140"/>
      <c r="P34" s="3176"/>
      <c r="Q34" s="775" t="str">
        <f t="shared" si="11"/>
        <v>项目建筑规模</v>
      </c>
      <c r="R34" s="776" t="s">
        <v>17</v>
      </c>
      <c r="S34" s="777">
        <f t="shared" si="12"/>
        <v>104</v>
      </c>
      <c r="T34" s="776" t="s">
        <v>17</v>
      </c>
      <c r="U34" s="777">
        <f t="shared" si="13"/>
        <v>104</v>
      </c>
      <c r="V34" s="776" t="s">
        <v>17</v>
      </c>
      <c r="W34" s="777">
        <f t="shared" si="14"/>
        <v>100</v>
      </c>
      <c r="X34" s="778"/>
      <c r="Y34" s="3178"/>
      <c r="Z34" s="779" t="str">
        <f t="shared" si="15"/>
        <v>项目建筑规模</v>
      </c>
      <c r="AA34" s="1810">
        <f t="shared" si="3"/>
        <v>0.96153846153846156</v>
      </c>
      <c r="AB34" s="1810">
        <f t="shared" si="4"/>
        <v>0.96153846153846156</v>
      </c>
      <c r="AC34" s="2671">
        <f t="shared" si="5"/>
        <v>1</v>
      </c>
    </row>
    <row r="35" spans="1:29" ht="15">
      <c r="A35" s="472"/>
      <c r="B35" s="422" t="s">
        <v>2558</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176"/>
      <c r="Q35" s="1809" t="str">
        <f t="shared" si="11"/>
        <v>建筑结构</v>
      </c>
      <c r="R35" s="773" t="s">
        <v>17</v>
      </c>
      <c r="S35" s="774">
        <f t="shared" si="12"/>
        <v>100</v>
      </c>
      <c r="T35" s="773" t="s">
        <v>17</v>
      </c>
      <c r="U35" s="774">
        <f t="shared" si="13"/>
        <v>100</v>
      </c>
      <c r="V35" s="773" t="s">
        <v>17</v>
      </c>
      <c r="W35" s="774">
        <f t="shared" si="14"/>
        <v>100</v>
      </c>
      <c r="X35" s="1812"/>
      <c r="Y35" s="3178"/>
      <c r="Z35" s="1813" t="str">
        <f t="shared" si="15"/>
        <v>建筑结构</v>
      </c>
      <c r="AA35" s="1810">
        <f t="shared" si="3"/>
        <v>1</v>
      </c>
      <c r="AB35" s="1810">
        <f t="shared" si="4"/>
        <v>1</v>
      </c>
      <c r="AC35" s="2671">
        <f t="shared" si="5"/>
        <v>1</v>
      </c>
    </row>
    <row r="36" spans="1:29" ht="15">
      <c r="A36" s="472"/>
      <c r="B36" s="422" t="s">
        <v>2652</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2</v>
      </c>
      <c r="L36" s="1139"/>
      <c r="M36" s="1130"/>
      <c r="N36" s="1130"/>
      <c r="O36" s="1130"/>
      <c r="P36" s="3176"/>
      <c r="Q36" s="1809" t="str">
        <f t="shared" si="11"/>
        <v>公共部分装修</v>
      </c>
      <c r="R36" s="773" t="s">
        <v>17</v>
      </c>
      <c r="S36" s="774">
        <f t="shared" si="12"/>
        <v>100</v>
      </c>
      <c r="T36" s="773" t="s">
        <v>17</v>
      </c>
      <c r="U36" s="774">
        <f t="shared" si="13"/>
        <v>100</v>
      </c>
      <c r="V36" s="773" t="s">
        <v>17</v>
      </c>
      <c r="W36" s="774">
        <f t="shared" si="14"/>
        <v>100</v>
      </c>
      <c r="X36" s="1812"/>
      <c r="Y36" s="3178"/>
      <c r="Z36" s="1813" t="str">
        <f t="shared" si="15"/>
        <v>公共部分装修</v>
      </c>
      <c r="AA36" s="1810">
        <f t="shared" si="3"/>
        <v>1</v>
      </c>
      <c r="AB36" s="1810">
        <f t="shared" si="4"/>
        <v>1</v>
      </c>
      <c r="AC36" s="2671">
        <f t="shared" si="5"/>
        <v>1</v>
      </c>
    </row>
    <row r="37" spans="1:29" ht="15">
      <c r="A37" s="472"/>
      <c r="B37" s="422" t="s">
        <v>2653</v>
      </c>
      <c r="C37" s="474">
        <f>'数据-取费表'!Y6</f>
        <v>0.83</v>
      </c>
      <c r="D37" s="435">
        <v>100</v>
      </c>
      <c r="E37" s="474">
        <v>0.88</v>
      </c>
      <c r="F37" s="461">
        <f>LOOKUP(E37,111:111,112:112)-LOOKUP(C37,111:111,112:112)+100</f>
        <v>100</v>
      </c>
      <c r="G37" s="474">
        <v>0.88</v>
      </c>
      <c r="H37" s="461">
        <f>LOOKUP(G37,111:111,112:112)-LOOKUP(C37,111:111,112:112)+100</f>
        <v>100</v>
      </c>
      <c r="I37" s="474">
        <v>0.93</v>
      </c>
      <c r="J37" s="435">
        <f>LOOKUP(I37,111:111,112:112)-LOOKUP(C37,111:111,112:112)+100</f>
        <v>102</v>
      </c>
      <c r="K37" s="612">
        <v>2</v>
      </c>
      <c r="L37" s="1139"/>
      <c r="M37" s="1130"/>
      <c r="N37" s="1130"/>
      <c r="O37" s="1130"/>
      <c r="P37" s="3176"/>
      <c r="Q37" s="1809" t="str">
        <f t="shared" si="11"/>
        <v>成新度</v>
      </c>
      <c r="R37" s="773" t="s">
        <v>17</v>
      </c>
      <c r="S37" s="774">
        <f t="shared" si="12"/>
        <v>100</v>
      </c>
      <c r="T37" s="773" t="s">
        <v>17</v>
      </c>
      <c r="U37" s="774">
        <f t="shared" si="13"/>
        <v>100</v>
      </c>
      <c r="V37" s="773" t="s">
        <v>17</v>
      </c>
      <c r="W37" s="774">
        <f t="shared" si="14"/>
        <v>102</v>
      </c>
      <c r="X37" s="1812"/>
      <c r="Y37" s="3178"/>
      <c r="Z37" s="1813" t="str">
        <f t="shared" si="15"/>
        <v>成新度</v>
      </c>
      <c r="AA37" s="1810">
        <f t="shared" si="3"/>
        <v>1</v>
      </c>
      <c r="AB37" s="1810">
        <f t="shared" si="4"/>
        <v>1</v>
      </c>
      <c r="AC37" s="2671">
        <f t="shared" si="5"/>
        <v>0.98039215686274506</v>
      </c>
    </row>
    <row r="38" spans="1:29" s="117" customFormat="1" ht="15">
      <c r="A38" s="473"/>
      <c r="B38" s="422" t="s">
        <v>2685</v>
      </c>
      <c r="C38" s="460" t="s">
        <v>3109</v>
      </c>
      <c r="D38" s="136">
        <v>100</v>
      </c>
      <c r="E38" s="460" t="s">
        <v>3109</v>
      </c>
      <c r="F38" s="461">
        <f>SUMIF(113:113,E38,114:114)-SUMIF(113:113,C38,114:114)+100</f>
        <v>100</v>
      </c>
      <c r="G38" s="460" t="s">
        <v>3109</v>
      </c>
      <c r="H38" s="435">
        <f>SUMIF(113:113,G38,114:114)-SUMIF(113:113,C38,114:114)+100</f>
        <v>100</v>
      </c>
      <c r="I38" s="460" t="s">
        <v>3109</v>
      </c>
      <c r="J38" s="435">
        <f>SUMIF(113:113,I38,114:114)-SUMIF(113:113,C38,114:114)+100</f>
        <v>100</v>
      </c>
      <c r="K38" s="612">
        <v>2</v>
      </c>
      <c r="L38" s="1131"/>
      <c r="M38" s="1132"/>
      <c r="N38" s="1132"/>
      <c r="O38" s="1132"/>
      <c r="P38" s="3176"/>
      <c r="Q38" s="1794" t="str">
        <f t="shared" si="11"/>
        <v>写字楼等级</v>
      </c>
      <c r="R38" s="769" t="s">
        <v>17</v>
      </c>
      <c r="S38" s="770">
        <f t="shared" si="12"/>
        <v>100</v>
      </c>
      <c r="T38" s="769" t="s">
        <v>17</v>
      </c>
      <c r="U38" s="770">
        <f t="shared" si="13"/>
        <v>100</v>
      </c>
      <c r="V38" s="769" t="s">
        <v>17</v>
      </c>
      <c r="W38" s="770">
        <f t="shared" si="14"/>
        <v>100</v>
      </c>
      <c r="X38" s="771"/>
      <c r="Y38" s="3178"/>
      <c r="Z38" s="55" t="str">
        <f t="shared" si="15"/>
        <v>写字楼等级</v>
      </c>
      <c r="AA38" s="772">
        <f t="shared" si="3"/>
        <v>1</v>
      </c>
      <c r="AB38" s="772">
        <f t="shared" si="4"/>
        <v>1</v>
      </c>
      <c r="AC38" s="2668">
        <f t="shared" si="5"/>
        <v>1</v>
      </c>
    </row>
    <row r="39" spans="1:29" ht="15">
      <c r="A39" s="472"/>
      <c r="B39" s="422" t="s">
        <v>2686</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176" t="s">
        <v>2556</v>
      </c>
      <c r="Q39" s="1809" t="str">
        <f t="shared" si="11"/>
        <v>物业管理</v>
      </c>
      <c r="R39" s="773" t="s">
        <v>17</v>
      </c>
      <c r="S39" s="774">
        <f t="shared" si="12"/>
        <v>100</v>
      </c>
      <c r="T39" s="773" t="s">
        <v>17</v>
      </c>
      <c r="U39" s="774">
        <f t="shared" si="13"/>
        <v>100</v>
      </c>
      <c r="V39" s="773" t="s">
        <v>17</v>
      </c>
      <c r="W39" s="774">
        <f t="shared" si="14"/>
        <v>100</v>
      </c>
      <c r="X39" s="1812"/>
      <c r="Y39" s="3178" t="s">
        <v>2556</v>
      </c>
      <c r="Z39" s="1813" t="str">
        <f t="shared" si="15"/>
        <v>物业管理</v>
      </c>
      <c r="AA39" s="1810">
        <f t="shared" si="3"/>
        <v>1</v>
      </c>
      <c r="AB39" s="1810">
        <f t="shared" si="4"/>
        <v>1</v>
      </c>
      <c r="AC39" s="2671">
        <f t="shared" si="5"/>
        <v>1</v>
      </c>
    </row>
    <row r="40" spans="1:29" ht="15">
      <c r="A40" s="472"/>
      <c r="B40" s="422" t="s">
        <v>2654</v>
      </c>
      <c r="C40" s="460" t="s">
        <v>3083</v>
      </c>
      <c r="D40" s="435">
        <v>100</v>
      </c>
      <c r="E40" s="460" t="s">
        <v>3117</v>
      </c>
      <c r="F40" s="461">
        <f>SUMIF(117:117,E40,118:118)-SUMIF(117:117,C40,118:118)+100</f>
        <v>96</v>
      </c>
      <c r="G40" s="460" t="s">
        <v>3117</v>
      </c>
      <c r="H40" s="435">
        <f>SUMIF(117:117,G40,118:118)-SUMIF(117:117,C40,118:118)+100</f>
        <v>96</v>
      </c>
      <c r="I40" s="460" t="s">
        <v>3117</v>
      </c>
      <c r="J40" s="435">
        <f>SUMIF(117:117,I40,118:118)-SUMIF(117:117,C40,118:118)+100</f>
        <v>96</v>
      </c>
      <c r="K40" s="612">
        <v>2</v>
      </c>
      <c r="L40" s="1139"/>
      <c r="M40" s="1130"/>
      <c r="N40" s="1130"/>
      <c r="O40" s="1130"/>
      <c r="P40" s="3176"/>
      <c r="Q40" s="1809" t="str">
        <f t="shared" si="11"/>
        <v>市政基础设施</v>
      </c>
      <c r="R40" s="773" t="s">
        <v>17</v>
      </c>
      <c r="S40" s="774">
        <f t="shared" si="12"/>
        <v>96</v>
      </c>
      <c r="T40" s="773" t="s">
        <v>17</v>
      </c>
      <c r="U40" s="774">
        <f t="shared" si="13"/>
        <v>96</v>
      </c>
      <c r="V40" s="773" t="s">
        <v>17</v>
      </c>
      <c r="W40" s="774">
        <f t="shared" si="14"/>
        <v>96</v>
      </c>
      <c r="X40" s="1812"/>
      <c r="Y40" s="3178"/>
      <c r="Z40" s="1813" t="str">
        <f t="shared" si="15"/>
        <v>市政基础设施</v>
      </c>
      <c r="AA40" s="1810">
        <f t="shared" si="3"/>
        <v>1.0416666666666667</v>
      </c>
      <c r="AB40" s="1810">
        <f t="shared" si="4"/>
        <v>1.0416666666666667</v>
      </c>
      <c r="AC40" s="2671">
        <f t="shared" si="5"/>
        <v>1.0416666666666667</v>
      </c>
    </row>
    <row r="41" spans="1:29" ht="15">
      <c r="A41" s="472"/>
      <c r="B41" s="422" t="s">
        <v>2656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76"/>
      <c r="Q41" s="1809" t="str">
        <f t="shared" si="11"/>
        <v>层高</v>
      </c>
      <c r="R41" s="773" t="s">
        <v>17</v>
      </c>
      <c r="S41" s="774">
        <f t="shared" si="12"/>
        <v>100</v>
      </c>
      <c r="T41" s="773" t="s">
        <v>17</v>
      </c>
      <c r="U41" s="774">
        <f t="shared" si="13"/>
        <v>100</v>
      </c>
      <c r="V41" s="773" t="s">
        <v>17</v>
      </c>
      <c r="W41" s="774">
        <f t="shared" si="14"/>
        <v>100</v>
      </c>
      <c r="X41" s="1812"/>
      <c r="Y41" s="3178"/>
      <c r="Z41" s="1813" t="str">
        <f t="shared" si="15"/>
        <v>层高</v>
      </c>
      <c r="AA41" s="1810">
        <f t="shared" si="3"/>
        <v>1</v>
      </c>
      <c r="AB41" s="1810">
        <f t="shared" si="4"/>
        <v>1</v>
      </c>
      <c r="AC41" s="2671">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6"/>
      <c r="Q42" s="775" t="str">
        <f t="shared" si="11"/>
        <v>单套建筑面积</v>
      </c>
      <c r="R42" s="776" t="s">
        <v>17</v>
      </c>
      <c r="S42" s="777">
        <f t="shared" si="12"/>
        <v>100</v>
      </c>
      <c r="T42" s="776" t="s">
        <v>17</v>
      </c>
      <c r="U42" s="777">
        <f t="shared" si="13"/>
        <v>100</v>
      </c>
      <c r="V42" s="776" t="s">
        <v>17</v>
      </c>
      <c r="W42" s="777">
        <f t="shared" si="14"/>
        <v>100</v>
      </c>
      <c r="X42" s="778"/>
      <c r="Y42" s="3178"/>
      <c r="Z42" s="779" t="str">
        <f t="shared" si="15"/>
        <v>单套建筑面积</v>
      </c>
      <c r="AA42" s="1810">
        <f t="shared" si="3"/>
        <v>1</v>
      </c>
      <c r="AB42" s="1810">
        <f t="shared" si="4"/>
        <v>1</v>
      </c>
      <c r="AC42" s="2671">
        <f t="shared" si="5"/>
        <v>1</v>
      </c>
    </row>
    <row r="43" spans="1:29" ht="15">
      <c r="A43" s="472"/>
      <c r="B43" s="422" t="s">
        <v>2659</v>
      </c>
      <c r="C43" s="460" t="s">
        <v>3104</v>
      </c>
      <c r="D43" s="435">
        <v>100</v>
      </c>
      <c r="E43" s="460" t="s">
        <v>3106</v>
      </c>
      <c r="F43" s="461">
        <f>SUMIF(123:123,E43,124:124)-SUMIF(123:123,C43,124:124)+100</f>
        <v>97</v>
      </c>
      <c r="G43" s="460" t="s">
        <v>3106</v>
      </c>
      <c r="H43" s="435">
        <f>SUMIF(123:123,G43,124:124)-SUMIF(123:123,C43,124:124)+100</f>
        <v>97</v>
      </c>
      <c r="I43" s="460" t="s">
        <v>3106</v>
      </c>
      <c r="J43" s="435">
        <f>SUMIF(123:123,I43,124:124)-SUMIF(123:123,C43,124:124)+100</f>
        <v>97</v>
      </c>
      <c r="K43" s="612">
        <v>3</v>
      </c>
      <c r="L43" s="1139"/>
      <c r="M43" s="1130"/>
      <c r="N43" s="1130"/>
      <c r="O43" s="1130"/>
      <c r="P43" s="3176"/>
      <c r="Q43" s="1809" t="str">
        <f t="shared" si="11"/>
        <v>内部装修</v>
      </c>
      <c r="R43" s="773" t="s">
        <v>17</v>
      </c>
      <c r="S43" s="774">
        <f t="shared" si="12"/>
        <v>97</v>
      </c>
      <c r="T43" s="773" t="s">
        <v>17</v>
      </c>
      <c r="U43" s="774">
        <f t="shared" si="13"/>
        <v>97</v>
      </c>
      <c r="V43" s="773" t="s">
        <v>17</v>
      </c>
      <c r="W43" s="774">
        <f t="shared" si="14"/>
        <v>97</v>
      </c>
      <c r="X43" s="1812"/>
      <c r="Y43" s="3178"/>
      <c r="Z43" s="1813" t="str">
        <f t="shared" si="15"/>
        <v>内部装修</v>
      </c>
      <c r="AA43" s="1810">
        <f t="shared" si="3"/>
        <v>1.0309278350515463</v>
      </c>
      <c r="AB43" s="1810">
        <f t="shared" si="4"/>
        <v>1.0309278350515463</v>
      </c>
      <c r="AC43" s="2671">
        <f t="shared" si="5"/>
        <v>1.0309278350515463</v>
      </c>
    </row>
    <row r="44" spans="1:29" ht="15">
      <c r="A44" s="472"/>
      <c r="B44" s="422" t="s">
        <v>2567</v>
      </c>
      <c r="C44" s="460" t="s">
        <v>3080</v>
      </c>
      <c r="D44" s="435">
        <v>100</v>
      </c>
      <c r="E44" s="460" t="s">
        <v>3080</v>
      </c>
      <c r="F44" s="461">
        <f>SUMIF(125:125,E44,126:126)-SUMIF(125:125,C44,126:126)+100</f>
        <v>100</v>
      </c>
      <c r="G44" s="460" t="s">
        <v>3080</v>
      </c>
      <c r="H44" s="435">
        <f>SUMIF(125:125,G44,126:126)-SUMIF(125:125,C44,126:126)+100</f>
        <v>100</v>
      </c>
      <c r="I44" s="460" t="s">
        <v>3080</v>
      </c>
      <c r="J44" s="435">
        <f>SUMIF(125:125,I44,126:126)-SUMIF(125:125,C44,126:126)+100</f>
        <v>100</v>
      </c>
      <c r="K44" s="612">
        <v>2</v>
      </c>
      <c r="L44" s="1139"/>
      <c r="M44" s="1130"/>
      <c r="N44" s="1130"/>
      <c r="O44" s="1130"/>
      <c r="P44" s="3176"/>
      <c r="Q44" s="1809" t="str">
        <f t="shared" si="11"/>
        <v>内部装修维护情况</v>
      </c>
      <c r="R44" s="773" t="s">
        <v>17</v>
      </c>
      <c r="S44" s="774">
        <f t="shared" si="12"/>
        <v>100</v>
      </c>
      <c r="T44" s="773" t="s">
        <v>17</v>
      </c>
      <c r="U44" s="774">
        <f t="shared" si="13"/>
        <v>100</v>
      </c>
      <c r="V44" s="773" t="s">
        <v>17</v>
      </c>
      <c r="W44" s="774">
        <f t="shared" si="14"/>
        <v>100</v>
      </c>
      <c r="X44" s="1812"/>
      <c r="Y44" s="3178"/>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6"/>
      <c r="Q45" s="1794">
        <f t="shared" si="11"/>
        <v>111</v>
      </c>
      <c r="R45" s="769" t="s">
        <v>17</v>
      </c>
      <c r="S45" s="770">
        <f t="shared" si="12"/>
        <v>100</v>
      </c>
      <c r="T45" s="769" t="s">
        <v>17</v>
      </c>
      <c r="U45" s="770">
        <f t="shared" si="13"/>
        <v>100</v>
      </c>
      <c r="V45" s="769" t="s">
        <v>17</v>
      </c>
      <c r="W45" s="770">
        <f t="shared" si="14"/>
        <v>100</v>
      </c>
      <c r="X45" s="771"/>
      <c r="Y45" s="3178"/>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6"/>
      <c r="Q46" s="1809">
        <f t="shared" si="11"/>
        <v>111</v>
      </c>
      <c r="R46" s="773" t="s">
        <v>17</v>
      </c>
      <c r="S46" s="774">
        <f t="shared" si="12"/>
        <v>100</v>
      </c>
      <c r="T46" s="773" t="s">
        <v>17</v>
      </c>
      <c r="U46" s="774">
        <f t="shared" si="13"/>
        <v>100</v>
      </c>
      <c r="V46" s="773" t="s">
        <v>17</v>
      </c>
      <c r="W46" s="774">
        <f t="shared" si="14"/>
        <v>100</v>
      </c>
      <c r="X46" s="1812"/>
      <c r="Y46" s="3178"/>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77"/>
      <c r="Q47" s="1809">
        <f t="shared" si="11"/>
        <v>111</v>
      </c>
      <c r="R47" s="773" t="s">
        <v>17</v>
      </c>
      <c r="S47" s="774">
        <f t="shared" si="12"/>
        <v>100</v>
      </c>
      <c r="T47" s="773" t="s">
        <v>17</v>
      </c>
      <c r="U47" s="774">
        <f t="shared" si="13"/>
        <v>100</v>
      </c>
      <c r="V47" s="773" t="s">
        <v>17</v>
      </c>
      <c r="W47" s="774">
        <f t="shared" si="14"/>
        <v>100</v>
      </c>
      <c r="X47" s="1812"/>
      <c r="Y47" s="3179"/>
      <c r="Z47" s="1813">
        <f t="shared" si="15"/>
        <v>111</v>
      </c>
      <c r="AA47" s="1810">
        <f t="shared" si="3"/>
        <v>1</v>
      </c>
      <c r="AB47" s="1810">
        <f t="shared" si="4"/>
        <v>1</v>
      </c>
      <c r="AC47" s="2671">
        <f t="shared" si="5"/>
        <v>1</v>
      </c>
    </row>
    <row r="48" spans="1:29" ht="15">
      <c r="A48" s="479" t="s">
        <v>2568</v>
      </c>
      <c r="B48" s="480"/>
      <c r="C48" s="1406" t="s">
        <v>1</v>
      </c>
      <c r="D48" s="1407"/>
      <c r="E48" s="1408">
        <v>42000</v>
      </c>
      <c r="F48" s="1409"/>
      <c r="G48" s="1410">
        <v>41500</v>
      </c>
      <c r="H48" s="1411"/>
      <c r="I48" s="1408">
        <v>47200</v>
      </c>
      <c r="J48" s="485"/>
      <c r="K48" s="782"/>
      <c r="L48" s="1142"/>
      <c r="M48" s="1130"/>
      <c r="N48" s="1130"/>
      <c r="O48" s="1130"/>
      <c r="P48" s="3153" t="str">
        <f>A48</f>
        <v>成交单价（元/平方米）</v>
      </c>
      <c r="Q48" s="3171"/>
      <c r="R48" s="3172">
        <f>E48</f>
        <v>42000</v>
      </c>
      <c r="S48" s="3172"/>
      <c r="T48" s="3172">
        <f>G48</f>
        <v>41500</v>
      </c>
      <c r="U48" s="3172"/>
      <c r="V48" s="3172">
        <f>I48</f>
        <v>47200</v>
      </c>
      <c r="W48" s="3172"/>
      <c r="X48" s="446"/>
      <c r="Y48" s="780"/>
      <c r="Z48" s="446"/>
      <c r="AA48" s="446"/>
      <c r="AB48" s="446"/>
      <c r="AC48" s="630"/>
    </row>
    <row r="49" spans="1:29" ht="15.75" thickBot="1">
      <c r="A49" s="486" t="s">
        <v>2660</v>
      </c>
      <c r="B49" s="487"/>
      <c r="C49" s="1412">
        <f>R50</f>
        <v>43661</v>
      </c>
      <c r="D49" s="1413"/>
      <c r="E49" s="1414">
        <f>R49</f>
        <v>42097</v>
      </c>
      <c r="F49" s="1414"/>
      <c r="G49" s="1412">
        <f>T49</f>
        <v>41596</v>
      </c>
      <c r="H49" s="1413"/>
      <c r="I49" s="1414">
        <f>V49</f>
        <v>47291</v>
      </c>
      <c r="J49" s="489"/>
      <c r="K49" s="783"/>
      <c r="L49" s="1142"/>
      <c r="M49" s="1130"/>
      <c r="N49" s="1130"/>
      <c r="O49" s="1130"/>
      <c r="P49" s="3153" t="str">
        <f>A49</f>
        <v>比较价值（元/平方米）</v>
      </c>
      <c r="Q49" s="3171"/>
      <c r="R49" s="3172">
        <f>IF(F1="售价",ROUND(PRODUCT(R48,AA7:AA47),0),ROUND(PRODUCT(R48,AA7:AA47),1))</f>
        <v>42097</v>
      </c>
      <c r="S49" s="3172"/>
      <c r="T49" s="3172">
        <f>IF(F1="售价",ROUND(PRODUCT(T48,AB7:AB47),0),ROUND(PRODUCT(T48,AB7:AB47),1))</f>
        <v>41596</v>
      </c>
      <c r="U49" s="3172"/>
      <c r="V49" s="3172">
        <f>IF(F1="售价",ROUND(PRODUCT(V48,AC7:AC47),0),ROUND(PRODUCT(V48,AC7:AC47),1))</f>
        <v>47291</v>
      </c>
      <c r="W49" s="3172"/>
      <c r="X49" s="446"/>
      <c r="Y49" s="446"/>
      <c r="Z49" s="446"/>
      <c r="AA49" s="446"/>
      <c r="AB49" s="446"/>
      <c r="AC49" s="630"/>
    </row>
    <row r="50" spans="1:29" ht="15.75" thickBot="1">
      <c r="A50" s="492" t="s">
        <v>2661</v>
      </c>
      <c r="B50" s="493"/>
      <c r="C50" s="1416">
        <f>R50</f>
        <v>43661</v>
      </c>
      <c r="D50" s="1416"/>
      <c r="E50" s="1416"/>
      <c r="F50" s="1416"/>
      <c r="G50" s="1416"/>
      <c r="H50" s="1416"/>
      <c r="I50" s="1416"/>
      <c r="J50" s="494"/>
      <c r="K50" s="784"/>
      <c r="L50" s="1142"/>
      <c r="M50" s="1130"/>
      <c r="N50" s="1130"/>
      <c r="O50" s="1130"/>
      <c r="P50" s="3290" t="str">
        <f>A50</f>
        <v>估价对象XX用房的比较价值（楼面单价，元/平方米）</v>
      </c>
      <c r="Q50" s="3291"/>
      <c r="R50" s="3292">
        <f>IF(F1="售价",ROUND(AVERAGE(R49:V49),0),ROUND(AVERAGE(R49:V49),1))</f>
        <v>43661</v>
      </c>
      <c r="S50" s="3292"/>
      <c r="T50" s="3292"/>
      <c r="U50" s="3292"/>
      <c r="V50" s="3292"/>
      <c r="W50" s="3292"/>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f>IF(E48&lt;E49,E49/E48-1,E48/E49-1)</f>
        <v>2.3095238095238724E-3</v>
      </c>
      <c r="F53" s="500" t="str">
        <f>IF(OR(E53&gt;=0.3,E53&lt;=-0.3),"超过30%","")</f>
        <v/>
      </c>
      <c r="G53" s="499">
        <f>IF(G48&lt;G49,G49/G48-1,G48/G49-1)</f>
        <v>2.3132530120482109E-3</v>
      </c>
      <c r="H53" s="500" t="str">
        <f>IF(OR(G53&gt;=0.3,G53&lt;=-0.3),"超过30%","")</f>
        <v/>
      </c>
      <c r="I53" s="499">
        <f>IF(I48&lt;I49,I49/I48-1,I48/I49-1)</f>
        <v>1.9279661016948779E-3</v>
      </c>
      <c r="J53" s="500" t="str">
        <f>IF(OR(I53&gt;=0.3,I53&lt;=-0.3),"超过30%","")</f>
        <v/>
      </c>
      <c r="K53" s="1104"/>
      <c r="L53" s="1105"/>
      <c r="M53" s="1143"/>
      <c r="N53" s="1143"/>
      <c r="O53" s="1143"/>
    </row>
    <row r="54" spans="1:29" ht="13.5" customHeight="1">
      <c r="A54" s="1143"/>
      <c r="B54" s="1143"/>
      <c r="C54" s="497" t="s">
        <v>2663</v>
      </c>
      <c r="D54" s="501"/>
      <c r="E54" s="499">
        <f>IF(E49&lt;G49,G49/E49-1,E49/G49-1)</f>
        <v>1.2044427348783637E-2</v>
      </c>
      <c r="F54" s="500" t="str">
        <f>IF(OR(E54&gt;=0.2,E54&lt;=-0.2),"超过20%","")</f>
        <v/>
      </c>
      <c r="G54" s="499">
        <f>IF(G49&lt;I49,I49/G49-1,G49/I49-1)</f>
        <v>0.13691220309645158</v>
      </c>
      <c r="H54" s="500" t="str">
        <f>IF(OR(G54&gt;=0.2,G54&lt;=-0.2),"超过20%","")</f>
        <v/>
      </c>
      <c r="I54" s="499">
        <f>IF(I49&lt;E49,E49/I49-1,I49/E49-1)</f>
        <v>0.12338171366130601</v>
      </c>
      <c r="J54" s="500" t="str">
        <f>IF(OR(I54&gt;=0.2,I54&lt;=-0.2),"超过20%","")</f>
        <v/>
      </c>
      <c r="K54" s="1104"/>
      <c r="L54" s="1105"/>
      <c r="M54" s="1143"/>
      <c r="N54" s="1143"/>
      <c r="O54" s="1143"/>
    </row>
    <row r="55" spans="1:29" s="502" customFormat="1" ht="13.5" customHeight="1">
      <c r="A55" s="1144"/>
      <c r="B55" s="1144"/>
      <c r="C55" s="497" t="s">
        <v>2664</v>
      </c>
      <c r="D55" s="501"/>
      <c r="E55" s="499">
        <f>IF(E48&lt;G48,G48/E48-1,E48/G48-1)</f>
        <v>1.2048192771084265E-2</v>
      </c>
      <c r="F55" s="500" t="str">
        <f>IF(OR(E55&gt;=0.3,E55&lt;=-0.3),"超过30%","")</f>
        <v/>
      </c>
      <c r="G55" s="499">
        <f>IF(G48&lt;I48,I48/G48-1,G48/I48-1)</f>
        <v>0.13734939759036147</v>
      </c>
      <c r="H55" s="500" t="str">
        <f>IF(OR(G55&gt;=0.3,G55&lt;=-0.3),"超过30%","")</f>
        <v/>
      </c>
      <c r="I55" s="499">
        <f>IF(I48&lt;E48,E48/I48-1,I48/E48-1)</f>
        <v>0.12380952380952381</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8"/>
      <c r="Q58" s="504"/>
    </row>
    <row r="59" spans="1:29" s="508" customFormat="1" ht="15">
      <c r="A59" s="505" t="s">
        <v>2539</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2579</v>
      </c>
      <c r="B64" s="528" t="s">
        <v>2545</v>
      </c>
      <c r="C64" s="529" t="str">
        <f>C9</f>
        <v>办公</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1"/>
      <c r="Q67" s="504"/>
    </row>
    <row r="68" spans="1:17" ht="15.75" thickTop="1">
      <c r="A68" s="534"/>
      <c r="B68" s="546" t="s">
        <v>2549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v>3</v>
      </c>
      <c r="G69" s="549">
        <v>4</v>
      </c>
      <c r="H69" s="549">
        <v>5</v>
      </c>
      <c r="I69" s="549"/>
      <c r="J69" s="549"/>
      <c r="K69" s="550"/>
      <c r="L69" s="551"/>
      <c r="M69" s="552"/>
      <c r="N69" s="1151"/>
      <c r="O69" s="1151"/>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2690</v>
      </c>
      <c r="C87" s="2987" t="s">
        <v>3098</v>
      </c>
      <c r="D87" s="2987" t="s">
        <v>3092</v>
      </c>
      <c r="E87" s="2987" t="s">
        <v>3093</v>
      </c>
      <c r="F87" s="2987" t="s">
        <v>3094</v>
      </c>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2987" t="s">
        <v>3095</v>
      </c>
      <c r="D89" s="2987" t="s">
        <v>3096</v>
      </c>
      <c r="E89" s="2987" t="s">
        <v>3097</v>
      </c>
      <c r="F89" s="2632"/>
      <c r="G89" s="554"/>
      <c r="H89" s="554"/>
      <c r="I89" s="554"/>
      <c r="J89" s="554"/>
      <c r="K89" s="554"/>
      <c r="L89" s="554"/>
      <c r="M89" s="581"/>
      <c r="N89" s="1150"/>
      <c r="O89" s="1150"/>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2554</v>
      </c>
      <c r="B101" s="528" t="s">
        <v>2603</v>
      </c>
      <c r="C101" s="2988" t="s">
        <v>3101</v>
      </c>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29.25" thickTop="1">
      <c r="A103" s="534"/>
      <c r="B103" s="538" t="s">
        <v>2604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10000(含)-20000</v>
      </c>
      <c r="I103" s="578" t="str">
        <f t="shared" si="23"/>
        <v>20000(含)-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v>500</v>
      </c>
      <c r="E104" s="595">
        <v>1000</v>
      </c>
      <c r="F104" s="595">
        <v>2000</v>
      </c>
      <c r="G104" s="595">
        <v>5000</v>
      </c>
      <c r="H104" s="595">
        <v>10000</v>
      </c>
      <c r="I104" s="595">
        <v>20000</v>
      </c>
      <c r="J104" s="596"/>
      <c r="K104" s="596"/>
      <c r="L104" s="597"/>
      <c r="M104" s="598"/>
      <c r="N104" s="1153"/>
      <c r="O104" s="1153"/>
      <c r="P104" s="2682"/>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2"/>
      <c r="O105" s="1152"/>
      <c r="P105" s="2682"/>
      <c r="Q105" s="559"/>
    </row>
    <row r="106" spans="1:17" ht="15" thickTop="1">
      <c r="A106" s="599"/>
      <c r="B106" s="538" t="s">
        <v>2605</v>
      </c>
      <c r="C106" s="2987" t="s">
        <v>3102</v>
      </c>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1"/>
      <c r="Q107" s="504"/>
    </row>
    <row r="108" spans="1:17" ht="15" thickTop="1">
      <c r="A108" s="599"/>
      <c r="B108" s="538" t="s">
        <v>2607</v>
      </c>
      <c r="C108" s="2987" t="s">
        <v>3103</v>
      </c>
      <c r="D108" s="2987" t="s">
        <v>3105</v>
      </c>
      <c r="E108" s="2987" t="s">
        <v>3107</v>
      </c>
      <c r="F108" s="2989" t="s">
        <v>3108</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1"/>
      <c r="Q112" s="504"/>
    </row>
    <row r="113" spans="1:17" s="471" customFormat="1" ht="15" thickTop="1">
      <c r="A113" s="593"/>
      <c r="B113" s="538" t="s">
        <v>2691</v>
      </c>
      <c r="C113" s="2987" t="s">
        <v>3110</v>
      </c>
      <c r="D113" s="2987" t="s">
        <v>3111</v>
      </c>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2"/>
      <c r="Q114" s="559"/>
    </row>
    <row r="115" spans="1:17" ht="15" thickTop="1">
      <c r="A115" s="599"/>
      <c r="B115" s="538" t="s">
        <v>2608</v>
      </c>
      <c r="C115" s="2987" t="s">
        <v>3113</v>
      </c>
      <c r="D115" s="2987" t="s">
        <v>3114</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2609</v>
      </c>
      <c r="C117" s="2987" t="s">
        <v>3115</v>
      </c>
      <c r="D117" s="2987" t="s">
        <v>3116</v>
      </c>
      <c r="E117" s="2987" t="s">
        <v>3118</v>
      </c>
      <c r="F117" s="554"/>
      <c r="G117" s="554"/>
      <c r="H117" s="583"/>
      <c r="I117" s="583"/>
      <c r="J117" s="583"/>
      <c r="K117" s="584"/>
      <c r="L117" s="585"/>
      <c r="M117" s="586"/>
      <c r="N117" s="1151"/>
      <c r="O117" s="1151"/>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1"/>
      <c r="Q118" s="504"/>
    </row>
    <row r="119" spans="1:17" ht="15" thickTop="1">
      <c r="A119" s="599"/>
      <c r="B119" s="636" t="s">
        <v>2692</v>
      </c>
      <c r="C119" s="2989" t="s">
        <v>3119</v>
      </c>
      <c r="D119" s="583"/>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2611</v>
      </c>
      <c r="C123" s="2987" t="s">
        <v>3103</v>
      </c>
      <c r="D123" s="2987" t="s">
        <v>3105</v>
      </c>
      <c r="E123" s="2987" t="s">
        <v>3107</v>
      </c>
      <c r="F123" s="2989" t="s">
        <v>3108</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6" t="s">
        <v>2693</v>
      </c>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3"/>
      <c r="D2" s="1123"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22666.709999999995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37" t="s">
        <v>2639</v>
      </c>
      <c r="AC4" s="3136" t="s">
        <v>2640</v>
      </c>
    </row>
    <row r="5" spans="1:29"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37"/>
      <c r="AC5" s="3137"/>
    </row>
    <row r="6" spans="1:29" ht="15.75" thickBot="1">
      <c r="A6" s="406"/>
      <c r="B6" s="407"/>
      <c r="C6" s="3149" t="s">
        <v>2537</v>
      </c>
      <c r="D6" s="3150"/>
      <c r="E6" s="3151" t="s">
        <v>2537</v>
      </c>
      <c r="F6" s="3152"/>
      <c r="G6" s="3149" t="s">
        <v>2537</v>
      </c>
      <c r="H6" s="3150"/>
      <c r="I6" s="3149" t="s">
        <v>2537</v>
      </c>
      <c r="J6" s="3150"/>
      <c r="K6" s="610" t="s">
        <v>2538</v>
      </c>
      <c r="L6" s="1129"/>
      <c r="M6" s="1130"/>
      <c r="N6" s="1130"/>
      <c r="O6" s="1130"/>
      <c r="P6" s="3162"/>
      <c r="Q6" s="3163"/>
      <c r="R6" s="3143"/>
      <c r="S6" s="3144"/>
      <c r="T6" s="3164"/>
      <c r="U6" s="3165"/>
      <c r="V6" s="3166"/>
      <c r="W6" s="3166"/>
      <c r="X6" s="1812"/>
      <c r="Y6" s="3164"/>
      <c r="Z6" s="3165"/>
      <c r="AA6" s="3138"/>
      <c r="AB6" s="3138"/>
      <c r="AC6" s="3138"/>
    </row>
    <row r="7" spans="1:29" s="117" customFormat="1" ht="15.75" thickBot="1">
      <c r="A7" s="408" t="s">
        <v>2539</v>
      </c>
      <c r="B7" s="409"/>
      <c r="C7" s="410">
        <f>'数据-取费表'!B2</f>
        <v>43763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39" t="s">
        <v>2540</v>
      </c>
      <c r="Q7" s="3167"/>
      <c r="R7" s="769" t="s">
        <v>17</v>
      </c>
      <c r="S7" s="770">
        <f t="shared" ref="S7:S15" si="0">F7</f>
        <v>0</v>
      </c>
      <c r="T7" s="769" t="s">
        <v>17</v>
      </c>
      <c r="U7" s="770">
        <f t="shared" ref="U7:U15" si="1">H7</f>
        <v>0</v>
      </c>
      <c r="V7" s="769" t="s">
        <v>17</v>
      </c>
      <c r="W7" s="770">
        <f t="shared" ref="W7:W15" si="2">J7</f>
        <v>0</v>
      </c>
      <c r="X7" s="771"/>
      <c r="Y7" s="3139" t="s">
        <v>2540</v>
      </c>
      <c r="Z7" s="3140"/>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1"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1"/>
      <c r="Q10" s="1794"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1"/>
      <c r="Q11" s="1794"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71"/>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71"/>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71"/>
      <c r="Q14" s="1794">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3" t="s">
        <v>2551</v>
      </c>
      <c r="Q15" s="1809" t="str">
        <f t="shared" si="6"/>
        <v>产业集聚程度</v>
      </c>
      <c r="R15" s="773" t="s">
        <v>17</v>
      </c>
      <c r="S15" s="774">
        <f t="shared" si="0"/>
        <v>100</v>
      </c>
      <c r="T15" s="773" t="s">
        <v>17</v>
      </c>
      <c r="U15" s="774">
        <f t="shared" si="1"/>
        <v>100</v>
      </c>
      <c r="V15" s="773" t="s">
        <v>17</v>
      </c>
      <c r="W15" s="774">
        <f t="shared" si="2"/>
        <v>100</v>
      </c>
      <c r="X15" s="1812"/>
      <c r="Y15" s="3173"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4"/>
      <c r="Q16" s="1809"/>
      <c r="R16" s="773"/>
      <c r="S16" s="774"/>
      <c r="T16" s="773"/>
      <c r="U16" s="774"/>
      <c r="V16" s="773"/>
      <c r="W16" s="774"/>
      <c r="X16" s="1812"/>
      <c r="Y16" s="3174"/>
      <c r="Z16" s="1813"/>
      <c r="AA16" s="1810">
        <v>1</v>
      </c>
      <c r="AB16" s="1810">
        <v>1</v>
      </c>
      <c r="AC16" s="1810">
        <v>1</v>
      </c>
    </row>
    <row r="17" spans="1:29" ht="85.5">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4"/>
      <c r="Q17" s="1809" t="str">
        <f>B17</f>
        <v>交通便捷度</v>
      </c>
      <c r="R17" s="773" t="s">
        <v>17</v>
      </c>
      <c r="S17" s="774">
        <f>F17</f>
        <v>100</v>
      </c>
      <c r="T17" s="773" t="s">
        <v>17</v>
      </c>
      <c r="U17" s="774">
        <f>H17</f>
        <v>100</v>
      </c>
      <c r="V17" s="773" t="s">
        <v>17</v>
      </c>
      <c r="W17" s="774">
        <f>J17</f>
        <v>100</v>
      </c>
      <c r="X17" s="1812"/>
      <c r="Y17" s="3174"/>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74"/>
      <c r="Q18" s="1809"/>
      <c r="R18" s="773"/>
      <c r="S18" s="774"/>
      <c r="T18" s="773"/>
      <c r="U18" s="774"/>
      <c r="V18" s="773"/>
      <c r="W18" s="774"/>
      <c r="X18" s="1812"/>
      <c r="Y18" s="3174"/>
      <c r="Z18" s="1813"/>
      <c r="AA18" s="1810">
        <v>1</v>
      </c>
      <c r="AB18" s="1810">
        <v>1</v>
      </c>
      <c r="AC18" s="1810">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4"/>
      <c r="Q19" s="1809" t="str">
        <f>B19</f>
        <v>公共配套设施</v>
      </c>
      <c r="R19" s="773" t="s">
        <v>17</v>
      </c>
      <c r="S19" s="774">
        <f>F19</f>
        <v>100</v>
      </c>
      <c r="T19" s="773" t="s">
        <v>17</v>
      </c>
      <c r="U19" s="774">
        <f>H19</f>
        <v>100</v>
      </c>
      <c r="V19" s="773" t="s">
        <v>17</v>
      </c>
      <c r="W19" s="774">
        <f>J19</f>
        <v>100</v>
      </c>
      <c r="X19" s="1812"/>
      <c r="Y19" s="3174"/>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74"/>
      <c r="Q20" s="1809"/>
      <c r="R20" s="773"/>
      <c r="S20" s="774"/>
      <c r="T20" s="773"/>
      <c r="U20" s="774"/>
      <c r="V20" s="773"/>
      <c r="W20" s="774"/>
      <c r="X20" s="1812"/>
      <c r="Y20" s="3174"/>
      <c r="Z20" s="1813"/>
      <c r="AA20" s="1810">
        <v>1</v>
      </c>
      <c r="AB20" s="1810">
        <v>1</v>
      </c>
      <c r="AC20" s="1810">
        <v>1</v>
      </c>
    </row>
    <row r="21" spans="1:29" ht="28.5">
      <c r="A21" s="428"/>
      <c r="B21" s="1383"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4"/>
      <c r="Q21" s="1809" t="str">
        <f>B21</f>
        <v>基础设施水平</v>
      </c>
      <c r="R21" s="773" t="s">
        <v>17</v>
      </c>
      <c r="S21" s="774">
        <f>F21</f>
        <v>100</v>
      </c>
      <c r="T21" s="773" t="s">
        <v>17</v>
      </c>
      <c r="U21" s="774">
        <f>H21</f>
        <v>100</v>
      </c>
      <c r="V21" s="773" t="s">
        <v>17</v>
      </c>
      <c r="W21" s="774">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74"/>
      <c r="Q22" s="1809"/>
      <c r="R22" s="773"/>
      <c r="S22" s="774"/>
      <c r="T22" s="773"/>
      <c r="U22" s="774"/>
      <c r="V22" s="773"/>
      <c r="W22" s="774"/>
      <c r="X22" s="1812"/>
      <c r="Y22" s="3174"/>
      <c r="Z22" s="1813"/>
      <c r="AA22" s="1810">
        <v>1</v>
      </c>
      <c r="AB22" s="1810">
        <v>1</v>
      </c>
      <c r="AC22" s="1810">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4"/>
      <c r="Q23" s="1809" t="str">
        <f>B23</f>
        <v>环境质量</v>
      </c>
      <c r="R23" s="773" t="s">
        <v>17</v>
      </c>
      <c r="S23" s="774">
        <f>F23</f>
        <v>100</v>
      </c>
      <c r="T23" s="773" t="s">
        <v>17</v>
      </c>
      <c r="U23" s="774">
        <f>H23</f>
        <v>100</v>
      </c>
      <c r="V23" s="773" t="s">
        <v>17</v>
      </c>
      <c r="W23" s="774">
        <f>J23</f>
        <v>100</v>
      </c>
      <c r="X23" s="1812"/>
      <c r="Y23" s="3174"/>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74"/>
      <c r="Q24" s="1809"/>
      <c r="R24" s="773"/>
      <c r="S24" s="774"/>
      <c r="T24" s="773"/>
      <c r="U24" s="774"/>
      <c r="V24" s="773"/>
      <c r="W24" s="774"/>
      <c r="X24" s="1812"/>
      <c r="Y24" s="317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4"/>
      <c r="Q25" s="1809">
        <f>B25</f>
        <v>111</v>
      </c>
      <c r="R25" s="773" t="s">
        <v>17</v>
      </c>
      <c r="S25" s="774">
        <f>F25</f>
        <v>100</v>
      </c>
      <c r="T25" s="773" t="s">
        <v>17</v>
      </c>
      <c r="U25" s="774">
        <f>H25</f>
        <v>100</v>
      </c>
      <c r="V25" s="773" t="s">
        <v>17</v>
      </c>
      <c r="W25" s="774">
        <f>J25</f>
        <v>100</v>
      </c>
      <c r="X25" s="1812"/>
      <c r="Y25" s="317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4"/>
      <c r="Q26" s="1809">
        <f t="shared" ref="Q26:Q40" si="11">B26</f>
        <v>111</v>
      </c>
      <c r="R26" s="773" t="s">
        <v>17</v>
      </c>
      <c r="S26" s="774">
        <f>F26</f>
        <v>100</v>
      </c>
      <c r="T26" s="773" t="s">
        <v>17</v>
      </c>
      <c r="U26" s="774">
        <f>H26</f>
        <v>100</v>
      </c>
      <c r="V26" s="773" t="s">
        <v>17</v>
      </c>
      <c r="W26" s="774">
        <f>J26</f>
        <v>100</v>
      </c>
      <c r="X26" s="1812"/>
      <c r="Y26" s="317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4"/>
      <c r="Q27" s="1794">
        <f t="shared" si="11"/>
        <v>111</v>
      </c>
      <c r="R27" s="769" t="s">
        <v>17</v>
      </c>
      <c r="S27" s="770">
        <f>F27</f>
        <v>100</v>
      </c>
      <c r="T27" s="769" t="s">
        <v>17</v>
      </c>
      <c r="U27" s="770">
        <f>H27</f>
        <v>100</v>
      </c>
      <c r="V27" s="769" t="s">
        <v>17</v>
      </c>
      <c r="W27" s="770">
        <f>J27</f>
        <v>100</v>
      </c>
      <c r="X27" s="771"/>
      <c r="Y27" s="317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4"/>
      <c r="Q28" s="1809">
        <f t="shared" si="11"/>
        <v>111</v>
      </c>
      <c r="R28" s="773" t="s">
        <v>17</v>
      </c>
      <c r="S28" s="774">
        <f t="shared" ref="S28:S40" si="12">F28</f>
        <v>100</v>
      </c>
      <c r="T28" s="773" t="s">
        <v>17</v>
      </c>
      <c r="U28" s="774">
        <f t="shared" ref="U28:U40" si="13">H28</f>
        <v>100</v>
      </c>
      <c r="V28" s="773" t="s">
        <v>17</v>
      </c>
      <c r="W28" s="774">
        <f t="shared" ref="W28:W40" si="14">J28</f>
        <v>100</v>
      </c>
      <c r="X28" s="1812"/>
      <c r="Y28" s="3174"/>
      <c r="Z28" s="1813">
        <f t="shared" ref="Z28:Z40" si="15">Q28</f>
        <v>111</v>
      </c>
      <c r="AA28" s="1810">
        <f t="shared" si="3"/>
        <v>1</v>
      </c>
      <c r="AB28" s="1810">
        <f t="shared" si="4"/>
        <v>1</v>
      </c>
      <c r="AC28" s="1810">
        <f t="shared" si="5"/>
        <v>1</v>
      </c>
    </row>
    <row r="29" spans="1:29" ht="28.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93" t="s">
        <v>2556</v>
      </c>
      <c r="Q29" s="1809" t="str">
        <f t="shared" si="11"/>
        <v>建筑类型</v>
      </c>
      <c r="R29" s="773" t="s">
        <v>17</v>
      </c>
      <c r="S29" s="774">
        <f t="shared" si="12"/>
        <v>100</v>
      </c>
      <c r="T29" s="773" t="s">
        <v>17</v>
      </c>
      <c r="U29" s="774">
        <f t="shared" si="13"/>
        <v>100</v>
      </c>
      <c r="V29" s="773" t="s">
        <v>17</v>
      </c>
      <c r="W29" s="774">
        <f t="shared" si="14"/>
        <v>100</v>
      </c>
      <c r="X29" s="1812"/>
      <c r="Y29" s="3178"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8"/>
      <c r="Q30" s="775" t="str">
        <f t="shared" si="11"/>
        <v>项目建筑规模</v>
      </c>
      <c r="R30" s="776" t="s">
        <v>17</v>
      </c>
      <c r="S30" s="777" t="e">
        <f t="shared" si="12"/>
        <v>#N/A</v>
      </c>
      <c r="T30" s="776" t="s">
        <v>17</v>
      </c>
      <c r="U30" s="777" t="e">
        <f t="shared" si="13"/>
        <v>#N/A</v>
      </c>
      <c r="V30" s="776" t="s">
        <v>17</v>
      </c>
      <c r="W30" s="777" t="e">
        <f t="shared" si="14"/>
        <v>#N/A</v>
      </c>
      <c r="X30" s="778"/>
      <c r="Y30" s="3178"/>
      <c r="Z30" s="779"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8"/>
      <c r="Q31" s="1809" t="str">
        <f t="shared" si="11"/>
        <v>建筑结构</v>
      </c>
      <c r="R31" s="773" t="s">
        <v>17</v>
      </c>
      <c r="S31" s="774">
        <f t="shared" si="12"/>
        <v>100</v>
      </c>
      <c r="T31" s="773" t="s">
        <v>17</v>
      </c>
      <c r="U31" s="774">
        <f t="shared" si="13"/>
        <v>100</v>
      </c>
      <c r="V31" s="773" t="s">
        <v>17</v>
      </c>
      <c r="W31" s="774">
        <f t="shared" si="14"/>
        <v>100</v>
      </c>
      <c r="X31" s="1812"/>
      <c r="Y31" s="3178"/>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8"/>
      <c r="Q32" s="1809" t="str">
        <f t="shared" si="11"/>
        <v>公共部分装修</v>
      </c>
      <c r="R32" s="773" t="s">
        <v>17</v>
      </c>
      <c r="S32" s="774">
        <f t="shared" si="12"/>
        <v>100</v>
      </c>
      <c r="T32" s="773" t="s">
        <v>17</v>
      </c>
      <c r="U32" s="774">
        <f t="shared" si="13"/>
        <v>100</v>
      </c>
      <c r="V32" s="773" t="s">
        <v>17</v>
      </c>
      <c r="W32" s="774">
        <f t="shared" si="14"/>
        <v>100</v>
      </c>
      <c r="X32" s="1812"/>
      <c r="Y32" s="3178"/>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8"/>
      <c r="Q33" s="1809" t="str">
        <f t="shared" si="11"/>
        <v>成新度</v>
      </c>
      <c r="R33" s="773" t="s">
        <v>17</v>
      </c>
      <c r="S33" s="774" t="e">
        <f t="shared" si="12"/>
        <v>#N/A</v>
      </c>
      <c r="T33" s="773" t="s">
        <v>17</v>
      </c>
      <c r="U33" s="774" t="e">
        <f t="shared" si="13"/>
        <v>#N/A</v>
      </c>
      <c r="V33" s="773" t="s">
        <v>17</v>
      </c>
      <c r="W33" s="774" t="e">
        <f t="shared" si="14"/>
        <v>#N/A</v>
      </c>
      <c r="X33" s="1812"/>
      <c r="Y33" s="3178"/>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8"/>
      <c r="Q34" s="1794" t="str">
        <f t="shared" si="11"/>
        <v>物业管理</v>
      </c>
      <c r="R34" s="769" t="s">
        <v>17</v>
      </c>
      <c r="S34" s="770">
        <f t="shared" si="12"/>
        <v>100</v>
      </c>
      <c r="T34" s="769" t="s">
        <v>17</v>
      </c>
      <c r="U34" s="770">
        <f t="shared" si="13"/>
        <v>100</v>
      </c>
      <c r="V34" s="769" t="s">
        <v>17</v>
      </c>
      <c r="W34" s="770">
        <f t="shared" si="14"/>
        <v>100</v>
      </c>
      <c r="X34" s="771"/>
      <c r="Y34" s="3178"/>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8" t="s">
        <v>2556</v>
      </c>
      <c r="Q35" s="1809" t="str">
        <f t="shared" si="11"/>
        <v>市政基础设施</v>
      </c>
      <c r="R35" s="773" t="s">
        <v>17</v>
      </c>
      <c r="S35" s="774">
        <f t="shared" si="12"/>
        <v>100</v>
      </c>
      <c r="T35" s="773" t="s">
        <v>17</v>
      </c>
      <c r="U35" s="774">
        <f t="shared" si="13"/>
        <v>100</v>
      </c>
      <c r="V35" s="773" t="s">
        <v>17</v>
      </c>
      <c r="W35" s="774">
        <f t="shared" si="14"/>
        <v>100</v>
      </c>
      <c r="X35" s="1812"/>
      <c r="Y35" s="3178"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8"/>
      <c r="Q36" s="1809" t="str">
        <f t="shared" si="11"/>
        <v>内部装修</v>
      </c>
      <c r="R36" s="773" t="s">
        <v>17</v>
      </c>
      <c r="S36" s="774">
        <f t="shared" si="12"/>
        <v>100</v>
      </c>
      <c r="T36" s="773" t="s">
        <v>17</v>
      </c>
      <c r="U36" s="774">
        <f t="shared" si="13"/>
        <v>100</v>
      </c>
      <c r="V36" s="773" t="s">
        <v>17</v>
      </c>
      <c r="W36" s="774">
        <f t="shared" si="14"/>
        <v>100</v>
      </c>
      <c r="X36" s="1812"/>
      <c r="Y36" s="3178"/>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8"/>
      <c r="Q37" s="1809" t="str">
        <f t="shared" si="11"/>
        <v>内部装修状况</v>
      </c>
      <c r="R37" s="773" t="s">
        <v>17</v>
      </c>
      <c r="S37" s="774">
        <f t="shared" si="12"/>
        <v>100</v>
      </c>
      <c r="T37" s="773" t="s">
        <v>17</v>
      </c>
      <c r="U37" s="774">
        <f t="shared" si="13"/>
        <v>100</v>
      </c>
      <c r="V37" s="773" t="s">
        <v>17</v>
      </c>
      <c r="W37" s="774">
        <f t="shared" si="14"/>
        <v>100</v>
      </c>
      <c r="X37" s="1812"/>
      <c r="Y37" s="317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8"/>
      <c r="Q38" s="775">
        <f t="shared" si="11"/>
        <v>111</v>
      </c>
      <c r="R38" s="776" t="s">
        <v>17</v>
      </c>
      <c r="S38" s="777">
        <f t="shared" si="12"/>
        <v>100</v>
      </c>
      <c r="T38" s="776" t="s">
        <v>17</v>
      </c>
      <c r="U38" s="777">
        <f t="shared" si="13"/>
        <v>100</v>
      </c>
      <c r="V38" s="776" t="s">
        <v>17</v>
      </c>
      <c r="W38" s="777">
        <f t="shared" si="14"/>
        <v>100</v>
      </c>
      <c r="X38" s="778"/>
      <c r="Y38" s="3178"/>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8"/>
      <c r="Q39" s="1809">
        <f t="shared" si="11"/>
        <v>111</v>
      </c>
      <c r="R39" s="773" t="s">
        <v>17</v>
      </c>
      <c r="S39" s="774">
        <f t="shared" si="12"/>
        <v>100</v>
      </c>
      <c r="T39" s="773" t="s">
        <v>17</v>
      </c>
      <c r="U39" s="774">
        <f t="shared" si="13"/>
        <v>100</v>
      </c>
      <c r="V39" s="773" t="s">
        <v>17</v>
      </c>
      <c r="W39" s="774">
        <f t="shared" si="14"/>
        <v>100</v>
      </c>
      <c r="X39" s="1812"/>
      <c r="Y39" s="3178"/>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79"/>
      <c r="Q40" s="1809">
        <f t="shared" si="11"/>
        <v>111</v>
      </c>
      <c r="R40" s="773" t="s">
        <v>17</v>
      </c>
      <c r="S40" s="774">
        <f t="shared" si="12"/>
        <v>100</v>
      </c>
      <c r="T40" s="773" t="s">
        <v>17</v>
      </c>
      <c r="U40" s="774">
        <f t="shared" si="13"/>
        <v>100</v>
      </c>
      <c r="V40" s="773" t="s">
        <v>17</v>
      </c>
      <c r="W40" s="774">
        <f t="shared" si="14"/>
        <v>100</v>
      </c>
      <c r="X40" s="1812"/>
      <c r="Y40" s="3179"/>
      <c r="Z40" s="1813">
        <f t="shared" si="15"/>
        <v>111</v>
      </c>
      <c r="AA40" s="1810">
        <f t="shared" si="3"/>
        <v>1</v>
      </c>
      <c r="AB40" s="1810">
        <f t="shared" si="4"/>
        <v>1</v>
      </c>
      <c r="AC40" s="1810">
        <f t="shared" si="5"/>
        <v>1</v>
      </c>
    </row>
    <row r="41" spans="1:29" ht="15">
      <c r="A41" s="479" t="s">
        <v>2568</v>
      </c>
      <c r="B41" s="480"/>
      <c r="C41" s="1406" t="s">
        <v>1</v>
      </c>
      <c r="D41" s="1407"/>
      <c r="E41" s="1408"/>
      <c r="F41" s="1409"/>
      <c r="G41" s="1410"/>
      <c r="H41" s="1411"/>
      <c r="I41" s="1408"/>
      <c r="J41" s="1411"/>
      <c r="K41" s="782"/>
      <c r="L41" s="1142"/>
      <c r="M41" s="1143"/>
      <c r="N41" s="1130"/>
      <c r="O41" s="1143"/>
      <c r="P41" s="3171" t="str">
        <f>A41</f>
        <v>成交单价（元/平方米）</v>
      </c>
      <c r="Q41" s="3171"/>
      <c r="R41" s="3172">
        <f>E41</f>
        <v>0</v>
      </c>
      <c r="S41" s="3172"/>
      <c r="T41" s="3172">
        <f>G41</f>
        <v>0</v>
      </c>
      <c r="U41" s="3172"/>
      <c r="V41" s="3172">
        <f>I41</f>
        <v>0</v>
      </c>
      <c r="W41" s="3172"/>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168" t="str">
        <f>A43</f>
        <v>估价对象XX用房的比较价值（楼面单价，元/平方米）</v>
      </c>
      <c r="Q43" s="3169"/>
      <c r="R43" s="3170" t="e">
        <f>IF(F1="售价",ROUND(AVERAGE(R42:V42),0),ROUND(AVERAGE(R42:V42),1))</f>
        <v>#DIV/0!</v>
      </c>
      <c r="S43" s="3170"/>
      <c r="T43" s="3170"/>
      <c r="U43" s="3170"/>
      <c r="V43" s="3170"/>
      <c r="W43" s="317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北京红钻科技发展有限公司：</v>
      </c>
    </row>
    <row r="4" spans="1:1" ht="36">
      <c r="A4" s="1946" t="str">
        <f>"受贵公司委托，我公司对"&amp;项目基本情况!S1&amp;"进行了预评估。"</f>
        <v>受贵公司委托，我公司对北京市海淀区东北旺西路8号19号楼房地产抵押价值进行了预评估。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为估价委托人在向上海浦东发展银行股份有限公司北京西直门支行办理贷款手续过程中，确定房地产抵押贷款额度提供参考依据而评估房地产抵押价值。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2019年10月25日（评估专业人员实地查勘之日）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本次评估采用的主估价方法为收益法和成本法。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9" sqref="H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7</v>
      </c>
    </row>
    <row r="2" spans="1:9" s="244" customFormat="1" ht="18" customHeight="1">
      <c r="A2" s="245" t="s">
        <v>2318</v>
      </c>
      <c r="B2" s="246">
        <f ca="1">IF(D2="——",C52,C52-E2)</f>
        <v>101329</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44704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60310</v>
      </c>
      <c r="D5" s="255" t="s">
        <v>2325</v>
      </c>
      <c r="E5" s="256" t="s">
        <v>2326</v>
      </c>
      <c r="F5" s="256" t="s">
        <v>2327</v>
      </c>
      <c r="G5" s="257"/>
    </row>
    <row r="6" spans="1:9" s="258" customFormat="1" ht="13.5" customHeight="1">
      <c r="A6" s="948" t="s">
        <v>2328</v>
      </c>
      <c r="B6" s="259" t="s">
        <v>2329</v>
      </c>
      <c r="C6" s="260">
        <f ca="1">'基准地价修正-办公'!B2</f>
        <v>58085</v>
      </c>
      <c r="D6" s="261"/>
      <c r="E6" s="262"/>
      <c r="F6" s="262"/>
      <c r="G6" s="263"/>
    </row>
    <row r="7" spans="1:9" s="258" customFormat="1" ht="13.5" customHeight="1">
      <c r="A7" s="948" t="s">
        <v>2330</v>
      </c>
      <c r="B7" s="259" t="s">
        <v>2331</v>
      </c>
      <c r="C7" s="264">
        <f ca="1">ROUND(C6*F7,0)</f>
        <v>1772</v>
      </c>
      <c r="D7" s="264"/>
      <c r="E7" s="262"/>
      <c r="F7" s="265">
        <f>IF(项目基本情况!B8="出让",0,'数据-取费表'!B48+'数据-取费表'!B49)</f>
        <v>3.0499999999999999E-2</v>
      </c>
      <c r="G7" s="263"/>
    </row>
    <row r="8" spans="1:9" s="267" customFormat="1">
      <c r="A8" s="948" t="s">
        <v>2332</v>
      </c>
      <c r="B8" s="259" t="s">
        <v>2333</v>
      </c>
      <c r="C8" s="3009">
        <f ca="1">IF(G8="已包含在土地购买价格中","0",IF(B1="",'数据-取费表'!B29,IF(G9="全部缴纳",C9+C10,H9)))</f>
        <v>453</v>
      </c>
      <c r="D8" s="266"/>
      <c r="E8" s="264"/>
      <c r="F8" s="265"/>
      <c r="G8" s="2547" t="s">
        <v>3134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8" t="s">
        <v>3139</v>
      </c>
      <c r="H9" s="1389"/>
      <c r="I9" s="2549" t="s">
        <v>2335</v>
      </c>
    </row>
    <row r="10" spans="1:9" s="258" customFormat="1" ht="13.5" customHeight="1">
      <c r="A10" s="949" t="s">
        <v>801</v>
      </c>
      <c r="B10" s="268" t="s">
        <v>2336</v>
      </c>
      <c r="C10" s="269">
        <f ca="1">ROUND(D10*E10/10000,0)</f>
        <v>453</v>
      </c>
      <c r="D10" s="1031">
        <f ca="1">IF(B1="",'数据-汇总表'!E6,IF(INDIRECT("'数据-取费表'!c"&amp;$G$1)="住宅",INDIRECT("'数据-取费表'!s"&amp;$G$1),INDIRECT("'数据-取费表'!k"&amp;$G$1)+INDIRECT("'数据-取费表'!s"&amp;$G$1)))</f>
        <v>22666.709999999995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22666.709999999995</v>
      </c>
      <c r="E19" s="255">
        <f>'数据-取费表'!B31</f>
        <v>200</v>
      </c>
      <c r="F19" s="275"/>
      <c r="G19" s="2547" t="s">
        <v>3135</v>
      </c>
    </row>
    <row r="20" spans="1:7" s="258" customFormat="1" ht="13.5" customHeight="1">
      <c r="A20" s="299" t="s">
        <v>2349</v>
      </c>
      <c r="B20" s="254" t="s">
        <v>2350</v>
      </c>
      <c r="C20" s="276">
        <f ca="1">ROUND((C5+C19)*F20,0)</f>
        <v>1809</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5952</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5866</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2332</v>
      </c>
      <c r="B25" s="259" t="s">
        <v>2365</v>
      </c>
      <c r="C25" s="1354">
        <f ca="1">ROUND(IF('数据-取费表'!B22&lt;=1,C20*F22*'数据-取费表'!B23/2,C20*(POWER((1+F22),'数据-取费表'!B23/2)-1)),0)</f>
        <v>86</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15530</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ROUND((C5+C19+C20)*F27*'数据-取费表'!B21/'数据-取费表'!B20,0)</f>
        <v>15530</v>
      </c>
      <c r="D28" s="279"/>
      <c r="E28" s="280"/>
      <c r="F28" s="290"/>
      <c r="G28" s="291"/>
    </row>
    <row r="29" spans="1:7" s="258" customFormat="1" ht="13.5" customHeight="1">
      <c r="A29" s="950" t="s">
        <v>792</v>
      </c>
      <c r="B29" s="292" t="s">
        <v>2373</v>
      </c>
      <c r="C29" s="282">
        <f ca="1">ROUND(C21*F27*'数据-取费表'!B21/'数据-取费表'!B20,4)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92092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7559</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6800</v>
      </c>
      <c r="D34" s="261"/>
      <c r="E34" s="264"/>
      <c r="F34" s="301">
        <f ca="1">IF('数据-取费表'!B24=0,1,IF(B1="",'数据-取费表'!N16,INDIRECT("'数据-取费表'!n"&amp;$G$1)))</f>
        <v>1</v>
      </c>
      <c r="G34" s="263" t="s">
        <v>2382</v>
      </c>
    </row>
    <row r="35" spans="1:7" ht="13.5" customHeight="1">
      <c r="A35" s="950" t="s">
        <v>796</v>
      </c>
      <c r="B35" s="259" t="s">
        <v>2383</v>
      </c>
      <c r="C35" s="264">
        <f ca="1">ROUND(C34*F35,0)</f>
        <v>204</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453</v>
      </c>
      <c r="D37" s="261">
        <f ca="1">D19</f>
        <v>22666.709999999995</v>
      </c>
      <c r="E37" s="293">
        <f>'数据-取费表'!B35</f>
        <v>200</v>
      </c>
      <c r="F37" s="303"/>
      <c r="G37" s="305" t="s">
        <v>2388</v>
      </c>
    </row>
    <row r="38" spans="1:7" ht="13.5" customHeight="1">
      <c r="A38" s="950" t="s">
        <v>799</v>
      </c>
      <c r="B38" s="259" t="s">
        <v>2389</v>
      </c>
      <c r="C38" s="264">
        <f ca="1">ROUND(C34*F38,0)</f>
        <v>102</v>
      </c>
      <c r="D38" s="264"/>
      <c r="E38" s="264"/>
      <c r="F38" s="303">
        <f>'数据-取费表'!B36</f>
        <v>1.4999999999999999E-2</v>
      </c>
      <c r="G38" s="263" t="s">
        <v>2384</v>
      </c>
    </row>
    <row r="39" spans="1:7" s="258" customFormat="1" ht="13.5" customHeight="1">
      <c r="A39" s="299" t="s">
        <v>2390</v>
      </c>
      <c r="B39" s="254" t="s">
        <v>2391</v>
      </c>
      <c r="C39" s="276">
        <f ca="1">ROUND(C33*F20,0)</f>
        <v>227</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370</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359</v>
      </c>
      <c r="D42" s="282"/>
      <c r="E42" s="282"/>
      <c r="F42" s="283"/>
      <c r="G42" s="3107" t="s">
        <v>2400</v>
      </c>
    </row>
    <row r="43" spans="1:7" ht="13.5" customHeight="1">
      <c r="A43" s="950" t="s">
        <v>792</v>
      </c>
      <c r="B43" s="259" t="s">
        <v>2401</v>
      </c>
      <c r="C43" s="282">
        <f ca="1">ROUND(IF('数据-取费表'!B22&lt;=1,C39*F22*'数据-取费表'!B21/2,C39*(POWER((1+F22),'数据-取费表'!B21/2)-1)),0)</f>
        <v>11</v>
      </c>
      <c r="D43" s="282"/>
      <c r="E43" s="282"/>
      <c r="F43" s="283"/>
      <c r="G43" s="3108"/>
    </row>
    <row r="44" spans="1:7" ht="13.5" customHeight="1">
      <c r="A44" s="950" t="s">
        <v>793</v>
      </c>
      <c r="B44" s="259" t="s">
        <v>2402</v>
      </c>
      <c r="C44" s="282">
        <f ca="1">ROUND(IF('数据-取费表'!B22&lt;=1,C40*F22*'数据-取费表'!B21/2,C40*(POWER((1+F22),'数据-取费表'!B21/2)-1)),4)</f>
        <v>1.4E-3</v>
      </c>
      <c r="D44" s="282"/>
      <c r="E44" s="282"/>
      <c r="F44" s="283"/>
      <c r="G44" s="3109"/>
    </row>
    <row r="45" spans="1:7" s="258" customFormat="1" ht="13.5" customHeight="1">
      <c r="A45" s="299" t="s">
        <v>2403</v>
      </c>
      <c r="B45" s="288" t="s">
        <v>2369</v>
      </c>
      <c r="C45" s="289">
        <f ca="1">C46</f>
        <v>1947</v>
      </c>
      <c r="D45" s="279">
        <f ca="1">C47</f>
        <v>7.4999999999999997E-3</v>
      </c>
      <c r="E45" s="280" t="s">
        <v>2395</v>
      </c>
      <c r="F45" s="290"/>
      <c r="G45" s="291" t="s">
        <v>2404</v>
      </c>
    </row>
    <row r="46" spans="1:7" s="258" customFormat="1" ht="13.5" customHeight="1">
      <c r="A46" s="950" t="s">
        <v>791</v>
      </c>
      <c r="B46" s="292" t="s">
        <v>2405</v>
      </c>
      <c r="C46" s="293">
        <f ca="1">ROUND((C33+C39)*F27,0)</f>
        <v>1947</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11129</v>
      </c>
      <c r="D49" s="276"/>
      <c r="E49" s="276"/>
      <c r="F49" s="308"/>
      <c r="G49" s="278" t="s">
        <v>2410</v>
      </c>
    </row>
    <row r="50" spans="1:7" s="302" customFormat="1" ht="24">
      <c r="A50" s="299" t="s">
        <v>2411</v>
      </c>
      <c r="B50" s="254" t="s">
        <v>2412</v>
      </c>
      <c r="C50" s="276"/>
      <c r="D50" s="276"/>
      <c r="E50" s="276"/>
      <c r="F50" s="308">
        <f>IF('数据-取费表'!B24=0,'数据-取费表'!N16,1)</f>
        <v>0.83</v>
      </c>
      <c r="G50" s="291" t="s">
        <v>2413</v>
      </c>
    </row>
    <row r="51" spans="1:7" ht="16.5" customHeight="1">
      <c r="A51" s="299" t="s">
        <v>2414</v>
      </c>
      <c r="B51" s="254" t="s">
        <v>2415</v>
      </c>
      <c r="C51" s="276">
        <f ca="1">ROUND(C49*F50,0)</f>
        <v>9237</v>
      </c>
      <c r="D51" s="276"/>
      <c r="E51" s="276"/>
      <c r="F51" s="308"/>
      <c r="G51" s="278" t="s">
        <v>2416</v>
      </c>
    </row>
    <row r="52" spans="1:7" s="252" customFormat="1" ht="16.5" thickBot="1">
      <c r="A52" s="309" t="s">
        <v>2417</v>
      </c>
      <c r="B52" s="310"/>
      <c r="C52" s="311">
        <f ca="1">C31+C51</f>
        <v>101329</v>
      </c>
      <c r="D52" s="310"/>
      <c r="E52" s="310"/>
      <c r="F52" s="310"/>
      <c r="G52" s="312"/>
    </row>
    <row r="55" spans="1:7" ht="15">
      <c r="B55" s="314" t="s">
        <v>2418</v>
      </c>
      <c r="C55" s="315"/>
    </row>
    <row r="56" spans="1:7">
      <c r="B56" s="317" t="s">
        <v>1508</v>
      </c>
      <c r="C56" s="319">
        <f ca="1">1-C57</f>
        <v>0.90900000000000003</v>
      </c>
    </row>
    <row r="57" spans="1:7">
      <c r="B57" s="317" t="s">
        <v>1509</v>
      </c>
      <c r="C57" s="318">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N30" sqref="N30"/>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2795</v>
      </c>
      <c r="B1" s="241"/>
      <c r="C1" s="245" t="s">
        <v>2796</v>
      </c>
      <c r="D1" s="388">
        <f>SUM(D29:D30,D33:D39)</f>
        <v>22584.659999999996</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58085</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44664</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25719</v>
      </c>
      <c r="C3" s="2718" t="s">
        <v>2810</v>
      </c>
      <c r="D3" s="2719" t="s">
        <v>2811</v>
      </c>
      <c r="E3" s="2724" t="s">
        <v>3150</v>
      </c>
      <c r="F3" s="2725" t="s">
        <v>3133</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32060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07"/>
      <c r="B4" s="3308"/>
      <c r="C4" s="3308"/>
      <c r="D4" s="3309"/>
      <c r="E4" s="3309"/>
      <c r="F4" s="3309"/>
      <c r="G4" s="3309"/>
      <c r="H4" s="3309"/>
      <c r="I4" s="3309"/>
      <c r="J4" s="3310"/>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25864</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2816</v>
      </c>
      <c r="C5" s="916">
        <f>ROUND(IF(E2="商业",C6*C7+C16,(IF(E2="住宅",C6*C12+C16,C6+C16))),0)</f>
        <v>12370</v>
      </c>
      <c r="D5" s="1786">
        <f>ROUND(C6+C16,0)</f>
        <v>12370</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20753</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17672</v>
      </c>
      <c r="U6" s="1602"/>
      <c r="V6" s="1601">
        <f t="shared" ca="1" si="1"/>
        <v>0</v>
      </c>
      <c r="W6" s="1605"/>
      <c r="X6" s="1605"/>
      <c r="Y6" s="1605"/>
      <c r="Z6" s="1605"/>
      <c r="AA6" s="1605"/>
      <c r="AB6" s="1605"/>
      <c r="AC6" s="2732"/>
      <c r="AD6" s="2733"/>
      <c r="AE6" s="2733"/>
      <c r="AF6" s="2733"/>
      <c r="AG6" s="2733"/>
      <c r="AH6" s="2733"/>
      <c r="AI6" s="2733"/>
      <c r="AJ6" s="2734"/>
    </row>
    <row r="7" spans="1:36" ht="24" hidden="1">
      <c r="A7" s="3298"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15542</v>
      </c>
      <c r="U7" s="1602"/>
      <c r="V7" s="1601">
        <f t="shared" ca="1" si="1"/>
        <v>0</v>
      </c>
      <c r="W7" s="2980" t="s">
        <v>2825</v>
      </c>
      <c r="X7" s="1603" t="str">
        <f>G2</f>
        <v>五级</v>
      </c>
      <c r="Y7" s="1603" t="s">
        <v>2826</v>
      </c>
      <c r="Z7" s="1604">
        <f>G3</f>
        <v>0.67</v>
      </c>
      <c r="AA7" s="1605"/>
      <c r="AB7" s="1605"/>
      <c r="AC7" s="1606"/>
      <c r="AD7" s="1607"/>
      <c r="AE7" s="1607"/>
      <c r="AF7" s="1607"/>
      <c r="AG7" s="1607"/>
      <c r="AH7" s="1607"/>
      <c r="AI7" s="1607"/>
      <c r="AJ7" s="1608"/>
    </row>
    <row r="8" spans="1:36" ht="25.5" hidden="1">
      <c r="A8" s="3311"/>
      <c r="B8" s="198" t="s">
        <v>2827</v>
      </c>
      <c r="C8" s="2747" t="s">
        <v>3127</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12" t="s">
        <v>2830</v>
      </c>
      <c r="X8" s="3313"/>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11"/>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14"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11"/>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1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11"/>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14"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5" hidden="1" thickBot="1">
      <c r="A12" s="3298" t="s">
        <v>2856</v>
      </c>
      <c r="B12" s="2755" t="s">
        <v>2857</v>
      </c>
      <c r="C12" s="918">
        <f>ROUND(C15*D15*E15*F15*G15*H15*I15*J15,4)</f>
        <v>1.331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14"/>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15"/>
      <c r="B13" s="2761" t="s">
        <v>2861</v>
      </c>
      <c r="C13" s="2762" t="s">
        <v>2862</v>
      </c>
      <c r="D13" s="2972" t="s">
        <v>2863</v>
      </c>
      <c r="E13" s="2972"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14"/>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hidden="1">
      <c r="A14" s="3315"/>
      <c r="B14" s="2765"/>
      <c r="C14" s="2766" t="s">
        <v>3129</v>
      </c>
      <c r="D14" s="2767" t="s">
        <v>3057</v>
      </c>
      <c r="E14" s="2767" t="s">
        <v>3129</v>
      </c>
      <c r="F14" s="2768" t="s">
        <v>3153</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16"/>
      <c r="B15" s="2773" t="s">
        <v>2868</v>
      </c>
      <c r="C15" s="229">
        <f>IF(C14="有",1.1,1)</f>
        <v>1.1000000000000001</v>
      </c>
      <c r="D15" s="229">
        <f>IF(D14="有",1.1,1)</f>
        <v>1</v>
      </c>
      <c r="E15" s="229">
        <f>IF(E14="有",1.1,1)</f>
        <v>1.1000000000000001</v>
      </c>
      <c r="F15" s="229">
        <f>IF(F14="500米范围内",1.2,IF(F14="500-1000米",1.1,1))</f>
        <v>1.1000000000000001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8" t="s">
        <v>2873</v>
      </c>
      <c r="B16" s="2742" t="s">
        <v>2874</v>
      </c>
      <c r="C16" s="2973">
        <f>ROUND(IF(F17="与级别开发程度一致",0,(G17-E17)/C17),0)</f>
        <v>0</v>
      </c>
      <c r="D16" s="3300" t="s">
        <v>2878</v>
      </c>
      <c r="E16" s="3301"/>
      <c r="F16" s="3300" t="s">
        <v>2875</v>
      </c>
      <c r="G16" s="3301"/>
      <c r="H16" s="2776" t="s">
        <v>3059</v>
      </c>
      <c r="I16" s="2776" t="s">
        <v>3060</v>
      </c>
      <c r="J16" s="2933" t="s">
        <v>3061</v>
      </c>
      <c r="K16" s="2776" t="s">
        <v>3062</v>
      </c>
      <c r="L16" s="2776" t="s">
        <v>3063</v>
      </c>
      <c r="M16" s="2776" t="s">
        <v>3151</v>
      </c>
      <c r="N16" s="2776" t="s">
        <v>3064</v>
      </c>
      <c r="O16" s="2777" t="s">
        <v>3138</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9"/>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3152</v>
      </c>
      <c r="G17" s="2932">
        <f>SUM(H17:O17)</f>
        <v>300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50</v>
      </c>
      <c r="N17" s="2941">
        <f>SUMPRODUCT((七通一平=N16)*(修正!B1:M1=G2)*(修正!B6:M14))</f>
        <v>40</v>
      </c>
      <c r="O17" s="2943">
        <f>SUMPRODUCT((七通一平=O16)*(修正!B1:M1=G2)*(修正!B6:M14))</f>
        <v>15</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2880</v>
      </c>
      <c r="C18" s="2936">
        <f>SUMIF(修正!C18:C39,E3,修正!E18:E39)</f>
        <v>1</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3131</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2979">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3132</v>
      </c>
      <c r="C21" s="2975">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25">
      <c r="A22" s="2661" t="s">
        <v>2894</v>
      </c>
      <c r="B22" s="2805" t="s">
        <v>2895</v>
      </c>
      <c r="C22" s="2974" t="s">
        <v>2896</v>
      </c>
      <c r="D22" s="2974">
        <f>IF(E22=G22,F22,IF(G3&lt;=10,ROUND(F22+(H22-F22)*(G3-E22)/(G22-E22),4),"——"))</f>
        <v>1.9180999999999999</v>
      </c>
      <c r="E22" s="915">
        <f>ROUNDDOWN(G3,1)</f>
        <v>0.6</v>
      </c>
      <c r="F22" s="29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2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2974"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8"/>
      <c r="B26" s="2805" t="s">
        <v>2905</v>
      </c>
      <c r="C26" s="206">
        <f ca="1">E29+SUM(E33:E39)</f>
        <v>58085</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75" thickBot="1">
      <c r="A27" s="2818"/>
      <c r="B27" s="2822" t="s">
        <v>2906</v>
      </c>
      <c r="C27" s="930">
        <f ca="1">E30+SUM(I33:I39)</f>
        <v>615</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30812</v>
      </c>
      <c r="D29" s="2834">
        <f>'数据-基础表'!I13</f>
        <v>18053.419999999998</v>
      </c>
      <c r="E29" s="2978">
        <f ca="1">ROUND(C29*D29/10000,0)</f>
        <v>55626</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2913</v>
      </c>
      <c r="C30" s="229">
        <f ca="1">ROUND(IF(E2="工业",C29*M39,C29*M38),0)</f>
        <v>7703</v>
      </c>
      <c r="D30" s="2840"/>
      <c r="E30" s="2978">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02" t="s">
        <v>2919</v>
      </c>
      <c r="B33" s="2850" t="s">
        <v>2920</v>
      </c>
      <c r="C33" s="206">
        <f ca="1">ROUND(D5*C19*C20*C24*F33,0)</f>
        <v>11245</v>
      </c>
      <c r="D33" s="2834">
        <f>'数据-基础表'!M14</f>
        <v>1248.6200000000001</v>
      </c>
      <c r="E33" s="200">
        <f ca="1">ROUND(C33*D33/10000,0)</f>
        <v>1404</v>
      </c>
      <c r="F33" s="200">
        <f>SUMIF(修正!A45:A56,G2,修正!B45:B56)</f>
        <v>0.7</v>
      </c>
      <c r="G33" s="200">
        <f t="shared" ref="G33" ca="1" si="6">ROUND(IF(E2="工业",C33*$M$39,C33*$M$38),0)</f>
        <v>2811</v>
      </c>
      <c r="H33" s="200">
        <f>D33</f>
        <v>1248.6200000000001</v>
      </c>
      <c r="I33" s="200">
        <f ca="1">ROUND(G33*H33/10000,0)</f>
        <v>351</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3"/>
      <c r="B34" s="2762" t="s">
        <v>2921</v>
      </c>
      <c r="C34" s="206">
        <f ca="1">ROUND(D5*C19*C20*C24*F34,0)</f>
        <v>6426</v>
      </c>
      <c r="D34" s="2834"/>
      <c r="E34" s="200">
        <f t="shared" ref="E34:E39" ca="1" si="7">ROUND(C34*D34/10000,0)</f>
        <v>0</v>
      </c>
      <c r="F34" s="200">
        <f>SUMIF(修正!A45:A56,G2,修正!C45:C56)</f>
        <v>0.4</v>
      </c>
      <c r="G34" s="200">
        <f ca="1">ROUND(IF(E2="工业",C34*$M$39,C34*$M$38),0)</f>
        <v>1607</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3"/>
      <c r="B35" s="2762" t="s">
        <v>2922</v>
      </c>
      <c r="C35" s="206">
        <f ca="1">ROUND(D5*C19*C20*C24*F35,0)</f>
        <v>4498</v>
      </c>
      <c r="D35" s="2834"/>
      <c r="E35" s="200">
        <f t="shared" ca="1" si="7"/>
        <v>0</v>
      </c>
      <c r="F35" s="200">
        <f>SUMIF(修正!A45:A56,G2,修正!D45:D56)</f>
        <v>0.28000000000000003</v>
      </c>
      <c r="G35" s="200">
        <f ca="1">ROUND(IF(E2="工业",C35*$M$39,C35*$M$38),0)</f>
        <v>1125</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5" thickBot="1">
      <c r="A36" s="3304"/>
      <c r="B36" s="2762" t="s">
        <v>2923</v>
      </c>
      <c r="C36" s="206">
        <f ca="1">ROUND(D5*C19*C20*C24*F36,0)</f>
        <v>4016</v>
      </c>
      <c r="D36" s="2834"/>
      <c r="E36" s="200">
        <f t="shared" ca="1" si="7"/>
        <v>0</v>
      </c>
      <c r="F36" s="200">
        <f>SUMIF(修正!A45:A56,G2,修正!E45:E56)</f>
        <v>0.25</v>
      </c>
      <c r="G36" s="200">
        <f ca="1">ROUND(IF(E2="工业",C36*$M$39,C36*$M$38),0)</f>
        <v>1004</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4016</v>
      </c>
      <c r="D37" s="2834"/>
      <c r="E37" s="200">
        <f t="shared" ca="1" si="7"/>
        <v>0</v>
      </c>
      <c r="F37" s="206">
        <f>SUMIF(修正!A45:A56,G2,修正!F45:F56)</f>
        <v>0.25</v>
      </c>
      <c r="G37" s="200">
        <f ca="1">ROUND(IF(E2="工业",C37*$M$39,C37*$M$38),0)</f>
        <v>1004</v>
      </c>
      <c r="H37" s="200">
        <f t="shared" si="8"/>
        <v>0</v>
      </c>
      <c r="I37" s="200">
        <f t="shared" ca="1" si="9"/>
        <v>0</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4016</v>
      </c>
      <c r="D38" s="2834"/>
      <c r="E38" s="200">
        <f t="shared" ca="1" si="7"/>
        <v>0</v>
      </c>
      <c r="F38" s="206">
        <f>SUMIF(修正!A45:A56,G2,修正!G45:G56)</f>
        <v>0.25</v>
      </c>
      <c r="G38" s="200">
        <f ca="1">ROUND(IF(E2="工业",C38*$M$39,C38*$M$38),0)</f>
        <v>1004</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5" thickBot="1">
      <c r="A39" s="2838"/>
      <c r="B39" s="2856" t="s">
        <v>2928</v>
      </c>
      <c r="C39" s="229">
        <f ca="1">ROUND(D5*C19*C41*C24*F39,0)</f>
        <v>3213</v>
      </c>
      <c r="D39" s="2840">
        <f>'数据-基础表'!K14</f>
        <v>3282.62</v>
      </c>
      <c r="E39" s="229">
        <f t="shared" ca="1" si="7"/>
        <v>1055</v>
      </c>
      <c r="F39" s="931">
        <f>SUMIF(修正!A45:A56,G2,修正!H45:H56)</f>
        <v>0.2</v>
      </c>
      <c r="G39" s="229">
        <f ca="1">ROUND(IF(E2="工业",C39*$M$39,C39*$M$38),0)</f>
        <v>803</v>
      </c>
      <c r="H39" s="229">
        <f t="shared" si="8"/>
        <v>3282.62</v>
      </c>
      <c r="I39" s="229">
        <f t="shared" ca="1" si="9"/>
        <v>264</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2931</v>
      </c>
      <c r="B47" s="2971" t="s">
        <v>2932</v>
      </c>
      <c r="C47" s="2971" t="s">
        <v>2933</v>
      </c>
      <c r="D47" s="2971" t="s">
        <v>2934</v>
      </c>
      <c r="E47" s="818" t="s">
        <v>2935</v>
      </c>
      <c r="F47" s="2868" t="s">
        <v>2936</v>
      </c>
      <c r="G47" s="2971" t="s">
        <v>754</v>
      </c>
      <c r="H47" s="2869" t="s">
        <v>2937</v>
      </c>
      <c r="I47" s="2971"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2931</v>
      </c>
      <c r="B58" s="2971"/>
      <c r="C58" s="2971" t="s">
        <v>2933</v>
      </c>
      <c r="D58" s="2971" t="s">
        <v>2934</v>
      </c>
      <c r="E58" s="818" t="s">
        <v>2935</v>
      </c>
      <c r="F58" s="2868" t="s">
        <v>2951</v>
      </c>
      <c r="G58" s="2971" t="s">
        <v>754</v>
      </c>
      <c r="H58" s="2869" t="s">
        <v>2937</v>
      </c>
      <c r="I58" s="2971"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3080</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14.25">
      <c r="A60" s="2867" t="s">
        <v>2940</v>
      </c>
      <c r="B60" s="2871" t="str">
        <f>估价对象房地状况!C18</f>
        <v>较好</v>
      </c>
      <c r="C60" s="2767" t="s">
        <v>3080</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3080</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67" t="s">
        <v>2942</v>
      </c>
      <c r="B62" s="2872" t="s">
        <v>2943</v>
      </c>
      <c r="C62" s="2767" t="s">
        <v>3080</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3012" t="s">
        <v>3137</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7" t="s">
        <v>2945</v>
      </c>
      <c r="B64" s="2873" t="s">
        <v>2946</v>
      </c>
      <c r="C64" s="2767" t="s">
        <v>3080</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3080</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3120</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24.75" thickBot="1">
      <c r="A67" s="2875" t="s">
        <v>2949</v>
      </c>
      <c r="B67" s="2877" t="str">
        <f>估价对象房地状况!C20</f>
        <v>较好</v>
      </c>
      <c r="C67" s="2767" t="s">
        <v>3080</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2931</v>
      </c>
      <c r="B69" s="2971"/>
      <c r="C69" s="2971" t="s">
        <v>2933</v>
      </c>
      <c r="D69" s="2971" t="s">
        <v>2934</v>
      </c>
      <c r="E69" s="818" t="s">
        <v>2935</v>
      </c>
      <c r="F69" s="2868" t="s">
        <v>2951</v>
      </c>
      <c r="G69" s="2971" t="s">
        <v>754</v>
      </c>
      <c r="H69" s="2869" t="s">
        <v>2937</v>
      </c>
      <c r="I69" s="2971"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24">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24.75"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5">
      <c r="A79" s="2863" t="s">
        <v>2957</v>
      </c>
      <c r="B79" s="2864">
        <f>1+E81</f>
        <v>1</v>
      </c>
      <c r="C79" s="813"/>
      <c r="D79" s="813"/>
      <c r="E79" s="814"/>
      <c r="F79" s="2866"/>
      <c r="G79" s="6"/>
      <c r="H79" s="6"/>
      <c r="I79" s="6"/>
      <c r="J79" s="7"/>
      <c r="K79" s="7"/>
      <c r="L79" s="7"/>
      <c r="M79" s="7"/>
      <c r="N79" s="7"/>
      <c r="Z79" s="2717"/>
      <c r="AA79" s="2785"/>
      <c r="AG79" s="1371"/>
      <c r="AK79" s="2785"/>
    </row>
    <row r="80" spans="1:37" ht="24.75">
      <c r="A80" s="2867" t="s">
        <v>2931</v>
      </c>
      <c r="B80" s="2971"/>
      <c r="C80" s="2971" t="s">
        <v>2933</v>
      </c>
      <c r="D80" s="2971" t="s">
        <v>2934</v>
      </c>
      <c r="E80" s="818" t="s">
        <v>2935</v>
      </c>
      <c r="F80" s="2868" t="s">
        <v>2951</v>
      </c>
      <c r="G80" s="2971" t="s">
        <v>754</v>
      </c>
      <c r="H80" s="2869" t="s">
        <v>2937</v>
      </c>
      <c r="I80" s="2971" t="s">
        <v>2938</v>
      </c>
      <c r="J80" s="603" t="s">
        <v>2588</v>
      </c>
      <c r="K80" s="603" t="s">
        <v>2589</v>
      </c>
      <c r="L80" s="603" t="s">
        <v>2590</v>
      </c>
      <c r="M80" s="603" t="s">
        <v>2591</v>
      </c>
      <c r="N80" s="603" t="s">
        <v>2592</v>
      </c>
      <c r="Z80" s="2717"/>
      <c r="AA80" s="2785"/>
      <c r="AG80" s="1371"/>
      <c r="AK80" s="2785"/>
    </row>
    <row r="81" spans="1:37" ht="38.25">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51">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4.25">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5.5">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5.5">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24">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39"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05" t="s">
        <v>2961</v>
      </c>
      <c r="B90" s="3305"/>
      <c r="C90" s="3305"/>
      <c r="D90" s="3305"/>
      <c r="E90" s="3305"/>
      <c r="F90" s="3305"/>
      <c r="G90" s="3305"/>
      <c r="H90" s="3305"/>
      <c r="I90" s="3305"/>
      <c r="J90" s="3305"/>
      <c r="K90" s="2976"/>
      <c r="L90" s="2976"/>
      <c r="M90" s="2976"/>
      <c r="N90" s="2976"/>
    </row>
    <row r="91" spans="1:37">
      <c r="A91" s="3306" t="s">
        <v>2962</v>
      </c>
      <c r="B91" s="3306" t="s">
        <v>2963</v>
      </c>
      <c r="C91" s="2835" t="s">
        <v>2964</v>
      </c>
      <c r="D91" s="2836"/>
      <c r="E91" s="2836"/>
      <c r="F91" s="2836"/>
      <c r="G91" s="2836"/>
      <c r="H91" s="2836"/>
      <c r="I91" s="2836"/>
      <c r="J91" s="2882"/>
      <c r="K91" s="2883"/>
      <c r="L91" s="2883"/>
      <c r="M91" s="2883"/>
      <c r="N91" s="2883"/>
    </row>
    <row r="92" spans="1:37">
      <c r="A92" s="3306"/>
      <c r="B92" s="3306"/>
      <c r="C92" s="2978" t="s">
        <v>2831</v>
      </c>
      <c r="D92" s="2978" t="s">
        <v>2832</v>
      </c>
      <c r="E92" s="2978" t="s">
        <v>2833</v>
      </c>
      <c r="F92" s="2978" t="s">
        <v>2834</v>
      </c>
      <c r="G92" s="2978" t="s">
        <v>2835</v>
      </c>
      <c r="H92" s="2978" t="s">
        <v>2836</v>
      </c>
      <c r="I92" s="2978" t="s">
        <v>2837</v>
      </c>
      <c r="J92" s="2978" t="s">
        <v>2838</v>
      </c>
      <c r="K92" s="2978" t="s">
        <v>2839</v>
      </c>
      <c r="L92" s="2978" t="s">
        <v>2840</v>
      </c>
      <c r="M92" s="2978" t="s">
        <v>2841</v>
      </c>
      <c r="N92" s="2978" t="s">
        <v>2842</v>
      </c>
    </row>
    <row r="93" spans="1:37">
      <c r="A93" s="3294"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5"/>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296"/>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4"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295"/>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295"/>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295"/>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295"/>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295"/>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295"/>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295"/>
      <c r="B108" s="3209"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296"/>
      <c r="B109" s="3210"/>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297" t="s">
        <v>2969</v>
      </c>
      <c r="B110" s="3297"/>
      <c r="C110" s="3297"/>
      <c r="D110" s="3297"/>
      <c r="E110" s="3297"/>
      <c r="F110" s="3297"/>
      <c r="G110" s="3297"/>
      <c r="H110" s="3297"/>
      <c r="I110" s="3297"/>
      <c r="J110" s="3297"/>
      <c r="K110" s="2977"/>
      <c r="L110" s="2977"/>
      <c r="M110" s="2977"/>
      <c r="N110" s="2977"/>
    </row>
    <row r="112" spans="1:14" ht="13.5" thickBot="1"/>
    <row r="113" spans="1:13" ht="25.5"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5"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19" t="s">
        <v>2108</v>
      </c>
      <c r="B1" s="2413"/>
      <c r="C1" s="2414" t="s">
        <v>3071</v>
      </c>
      <c r="D1" s="2413"/>
      <c r="E1" s="2413"/>
      <c r="F1" s="2415" t="s">
        <v>2109</v>
      </c>
      <c r="G1" s="2066" t="s">
        <v>3055</v>
      </c>
      <c r="H1" s="2416" t="str">
        <f>IF(G1="现房","——","估价对象范围")</f>
        <v>——</v>
      </c>
      <c r="I1" s="2417"/>
    </row>
    <row r="2" spans="1:12" ht="21.75" customHeight="1" thickBot="1">
      <c r="A2" s="3254" t="str">
        <f>项目基本情况!S2</f>
        <v>北京市海淀区东北旺西路8号19号楼房地产</v>
      </c>
      <c r="B2" s="3255"/>
      <c r="C2" s="3255"/>
      <c r="D2" s="3255"/>
      <c r="E2" s="3255"/>
      <c r="F2" s="3255"/>
      <c r="G2" s="3255"/>
      <c r="H2" s="3255"/>
      <c r="I2" s="3256"/>
    </row>
    <row r="3" spans="1:12" ht="12.75">
      <c r="A3" s="3257" t="s">
        <v>2110</v>
      </c>
      <c r="B3" s="3258"/>
      <c r="C3" s="3258"/>
      <c r="D3" s="3258"/>
      <c r="E3" s="3258"/>
      <c r="F3" s="3258"/>
      <c r="G3" s="3258"/>
      <c r="H3" s="3258"/>
      <c r="I3" s="3258"/>
    </row>
    <row r="4" spans="1:12" ht="14.25">
      <c r="A4" s="2420" t="s">
        <v>2111</v>
      </c>
      <c r="B4" s="2421" t="s">
        <v>2112</v>
      </c>
      <c r="C4" s="2422" t="s">
        <v>3075</v>
      </c>
      <c r="D4" s="2422" t="s">
        <v>3142</v>
      </c>
      <c r="E4" s="3238" t="s">
        <v>2113</v>
      </c>
      <c r="F4" s="3251"/>
      <c r="G4" s="3251"/>
      <c r="H4" s="3251"/>
      <c r="I4" s="3239"/>
      <c r="K4" s="2423" t="str">
        <f>IF(ISNUMBER(FIND("比较法",'结果表-车库'!C4)),"比较法",IF(ISNUMBER(FIND("成本法",'结果表-车库'!C4)),"成本法",IF(ISNUMBER(FIND("假设开发法",'结果表-车库'!C4)),"假设开发法",IF(ISNUMBER(FIND("收益法",'结果表-车库'!C4)),"收益法","基准地价系数修正法"))))</f>
        <v>收益法</v>
      </c>
      <c r="L4" s="2423"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2.75">
      <c r="A5" s="3229" t="s">
        <v>2114</v>
      </c>
      <c r="B5" s="3080">
        <v>25</v>
      </c>
      <c r="C5" s="3259"/>
      <c r="D5" s="3247"/>
      <c r="E5" s="140" t="s">
        <v>2115</v>
      </c>
      <c r="F5" s="2424"/>
      <c r="G5" s="2424"/>
      <c r="H5" s="2424"/>
      <c r="I5" s="1830"/>
    </row>
    <row r="6" spans="1:12" ht="12.75">
      <c r="A6" s="3229"/>
      <c r="B6" s="3080"/>
      <c r="C6" s="3261"/>
      <c r="D6" s="3247"/>
      <c r="E6" s="140" t="s">
        <v>2116</v>
      </c>
      <c r="F6" s="2424"/>
      <c r="G6" s="2424"/>
      <c r="H6" s="2424"/>
      <c r="I6" s="1830"/>
    </row>
    <row r="7" spans="1:12" ht="12.75">
      <c r="A7" s="3229"/>
      <c r="B7" s="3080"/>
      <c r="C7" s="3260"/>
      <c r="D7" s="3247"/>
      <c r="E7" s="140" t="s">
        <v>2117</v>
      </c>
      <c r="F7" s="2424"/>
      <c r="G7" s="2424"/>
      <c r="H7" s="2424"/>
      <c r="I7" s="1830"/>
    </row>
    <row r="8" spans="1:12" ht="12.75">
      <c r="A8" s="3229" t="s">
        <v>2118</v>
      </c>
      <c r="B8" s="3080">
        <v>15</v>
      </c>
      <c r="C8" s="3259"/>
      <c r="D8" s="3247"/>
      <c r="E8" s="140" t="s">
        <v>2119</v>
      </c>
      <c r="F8" s="2424"/>
      <c r="G8" s="2424"/>
      <c r="H8" s="2424"/>
      <c r="I8" s="1830"/>
    </row>
    <row r="9" spans="1:12" ht="12.75">
      <c r="A9" s="3229"/>
      <c r="B9" s="3080"/>
      <c r="C9" s="3260"/>
      <c r="D9" s="3247"/>
      <c r="E9" s="140" t="s">
        <v>2120</v>
      </c>
      <c r="F9" s="2424"/>
      <c r="G9" s="2424"/>
      <c r="H9" s="2424"/>
      <c r="I9" s="1830"/>
    </row>
    <row r="10" spans="1:12" ht="12.75">
      <c r="A10" s="3229" t="s">
        <v>2121</v>
      </c>
      <c r="B10" s="3080">
        <v>15</v>
      </c>
      <c r="C10" s="3259"/>
      <c r="D10" s="3247"/>
      <c r="E10" s="140" t="s">
        <v>2122</v>
      </c>
      <c r="F10" s="2424"/>
      <c r="G10" s="2424"/>
      <c r="H10" s="2424"/>
      <c r="I10" s="1830"/>
    </row>
    <row r="11" spans="1:12" ht="12.75">
      <c r="A11" s="3229"/>
      <c r="B11" s="3080"/>
      <c r="C11" s="3260"/>
      <c r="D11" s="3247"/>
      <c r="E11" s="140" t="s">
        <v>2123</v>
      </c>
      <c r="F11" s="2424"/>
      <c r="G11" s="2424"/>
      <c r="H11" s="2424"/>
      <c r="I11" s="1830"/>
    </row>
    <row r="12" spans="1:12" ht="12.75">
      <c r="A12" s="3229" t="s">
        <v>2124</v>
      </c>
      <c r="B12" s="3080">
        <v>15</v>
      </c>
      <c r="C12" s="3259"/>
      <c r="D12" s="3247"/>
      <c r="E12" s="140" t="s">
        <v>2125</v>
      </c>
      <c r="F12" s="2424"/>
      <c r="G12" s="2424"/>
      <c r="H12" s="2424"/>
      <c r="I12" s="1830"/>
    </row>
    <row r="13" spans="1:12" ht="12.75">
      <c r="A13" s="3229"/>
      <c r="B13" s="3080"/>
      <c r="C13" s="3260"/>
      <c r="D13" s="3247"/>
      <c r="E13" s="140" t="s">
        <v>2126</v>
      </c>
      <c r="F13" s="2424"/>
      <c r="G13" s="2424"/>
      <c r="H13" s="2424"/>
      <c r="I13" s="1830"/>
    </row>
    <row r="14" spans="1:12" ht="12.75">
      <c r="A14" s="3229" t="s">
        <v>2127</v>
      </c>
      <c r="B14" s="3080">
        <v>30</v>
      </c>
      <c r="C14" s="3259">
        <v>5</v>
      </c>
      <c r="D14" s="3247">
        <v>5</v>
      </c>
      <c r="E14" s="140" t="s">
        <v>2128</v>
      </c>
      <c r="F14" s="2424"/>
      <c r="G14" s="2424"/>
      <c r="H14" s="2424"/>
      <c r="I14" s="1830"/>
    </row>
    <row r="15" spans="1:12" ht="12.75">
      <c r="A15" s="3229"/>
      <c r="B15" s="3080"/>
      <c r="C15" s="3261"/>
      <c r="D15" s="3247"/>
      <c r="E15" s="140" t="s">
        <v>2129</v>
      </c>
      <c r="F15" s="2424"/>
      <c r="G15" s="2424"/>
      <c r="H15" s="2424"/>
      <c r="I15" s="1830"/>
    </row>
    <row r="16" spans="1:12" ht="12.75">
      <c r="A16" s="3229"/>
      <c r="B16" s="3080"/>
      <c r="C16" s="3260"/>
      <c r="D16" s="3247"/>
      <c r="E16" s="140" t="s">
        <v>2130</v>
      </c>
      <c r="F16" s="2424"/>
      <c r="G16" s="2424"/>
      <c r="H16" s="2424"/>
      <c r="I16" s="1830"/>
    </row>
    <row r="17" spans="1:35" ht="15">
      <c r="A17" s="2425" t="s">
        <v>2131</v>
      </c>
      <c r="B17" s="64"/>
      <c r="C17" s="141">
        <f>SUM(C5:C16)</f>
        <v>5</v>
      </c>
      <c r="D17" s="141">
        <f>SUM(D5:D16)</f>
        <v>5</v>
      </c>
      <c r="E17" s="138"/>
      <c r="F17" s="138"/>
      <c r="G17" s="138"/>
      <c r="H17" s="138"/>
      <c r="I17" s="138"/>
      <c r="K17" s="2423"/>
      <c r="L17" s="2426" t="s">
        <v>2132</v>
      </c>
      <c r="M17" s="2426" t="s">
        <v>2133</v>
      </c>
    </row>
    <row r="18" spans="1:35" ht="15.75" thickBot="1">
      <c r="A18" s="2427" t="s">
        <v>2134</v>
      </c>
      <c r="B18" s="2428"/>
      <c r="C18" s="142">
        <f>ROUND(C17/SUM(C17:D17),2)</f>
        <v>0.5</v>
      </c>
      <c r="D18" s="142">
        <f>1-C18</f>
        <v>0.5</v>
      </c>
      <c r="E18" s="138"/>
      <c r="F18" s="138"/>
      <c r="G18" s="138"/>
      <c r="H18" s="138"/>
      <c r="I18" s="138"/>
      <c r="K18" s="2423" t="s">
        <v>2135</v>
      </c>
      <c r="L18" s="2423">
        <f>IF(C1="",'数据-汇总表'!E3,SUMIF(项目类型,C1,'数据-汇总表'!E17:E26)+SUMIF(项目类型,C1,'数据-汇总表'!I17:I26))</f>
        <v>0</v>
      </c>
      <c r="M18" s="2423">
        <f>IF(C1="",'数据-汇总表'!E3,SUMIF(项目类型,C1,'数据-汇总表'!E17:E26))</f>
        <v>0</v>
      </c>
    </row>
    <row r="19" spans="1:35" ht="15">
      <c r="A19" s="2429" t="s">
        <v>2136</v>
      </c>
      <c r="B19" s="2430" t="s">
        <v>2137</v>
      </c>
      <c r="C19" s="143" t="e">
        <f ca="1">SUMIF(INDIRECT("'"&amp;C4&amp;"'"&amp;"!A:A"),'结果表-车库'!B19,INDIRECT("'"&amp;C4&amp;"'"&amp;"!B:B"))</f>
        <v>#N/A</v>
      </c>
      <c r="D19" s="144" t="e">
        <f ca="1">SUMIF(INDIRECT("'"&amp;D4&amp;"'"&amp;"!A:A"),'结果表-车库'!B19,INDIRECT("'"&amp;D4&amp;"'"&amp;"!B:B"))</f>
        <v>#N/A</v>
      </c>
      <c r="E19" s="2429" t="s">
        <v>2138</v>
      </c>
      <c r="F19" s="2430" t="s">
        <v>2137</v>
      </c>
      <c r="G19" s="145" t="e">
        <f ca="1">ROUND(C19*$C$18+D19*$D$18,0)</f>
        <v>#N/A</v>
      </c>
      <c r="H19" s="2431" t="s">
        <v>2139</v>
      </c>
      <c r="I19" s="138"/>
      <c r="K19" s="2423" t="s">
        <v>2140</v>
      </c>
      <c r="L19" s="2423">
        <f>IF(C1="",'数据-汇总表'!D3,SUMIF(项目类型,C1,'数据-汇总表'!D17:D26)+SUMIF(项目类型,C1,'数据-汇总表'!H17:H27))</f>
        <v>0</v>
      </c>
      <c r="M19" s="2423">
        <f>IF(C1="",'数据-汇总表'!D3,SUMIF(项目类型,C1,'数据-汇总表'!D17:D26))</f>
        <v>0</v>
      </c>
    </row>
    <row r="20" spans="1:35" ht="15">
      <c r="A20" s="2432"/>
      <c r="B20" s="1246" t="s">
        <v>2141</v>
      </c>
      <c r="C20" s="146">
        <f ca="1">SUMIF(INDIRECT("'"&amp;C4&amp;"'"&amp;"!A:A"),'结果表-车库'!B20,INDIRECT("'"&amp;C4&amp;"'"&amp;"!B:B"))</f>
        <v>0</v>
      </c>
      <c r="D20" s="147" t="e">
        <f ca="1">SUMIF(INDIRECT("'"&amp;D4&amp;"'"&amp;"!A:A"),'结果表-车库'!B20,INDIRECT("'"&amp;D4&amp;"'"&amp;"!B:B"))</f>
        <v>#N/A</v>
      </c>
      <c r="E20" s="2432"/>
      <c r="F20" s="1246" t="s">
        <v>2141</v>
      </c>
      <c r="G20" s="148" t="e">
        <f ca="1">ROUND(C20*$C$18+D20*$D$18,0)</f>
        <v>#N/A</v>
      </c>
      <c r="H20" s="979" t="s">
        <v>2142</v>
      </c>
      <c r="I20" s="138"/>
    </row>
    <row r="21" spans="1:35" ht="15" customHeight="1" thickBot="1">
      <c r="A21" s="999"/>
      <c r="B21" s="2433" t="s">
        <v>2143</v>
      </c>
      <c r="C21" s="788" t="e">
        <f ca="1">ROUND(C19*10000/L19,0)</f>
        <v>#N/A</v>
      </c>
      <c r="D21" s="789" t="e">
        <f ca="1">ROUND(D19*10000/L19,0)</f>
        <v>#N/A</v>
      </c>
      <c r="E21" s="999"/>
      <c r="F21" s="2433" t="s">
        <v>2143</v>
      </c>
      <c r="G21" s="149" t="e">
        <f ca="1">ROUND(G19*10000/L19,0)</f>
        <v>#N/A</v>
      </c>
      <c r="H21" s="2434" t="s">
        <v>2142</v>
      </c>
      <c r="I21" s="138"/>
    </row>
    <row r="22" spans="1:35" ht="15" thickBot="1">
      <c r="A22" s="2275" t="s">
        <v>2144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268" t="s">
        <v>2145</v>
      </c>
      <c r="B24" s="2430" t="s">
        <v>2137</v>
      </c>
      <c r="C24" s="145">
        <f>IF(B30=0,0,D30)</f>
        <v>0</v>
      </c>
      <c r="D24" s="2437"/>
      <c r="E24" s="138"/>
      <c r="F24" s="138"/>
      <c r="G24" s="138"/>
      <c r="H24" s="138"/>
      <c r="I24" s="138"/>
    </row>
    <row r="25" spans="1:35" ht="14.25">
      <c r="A25" s="3269"/>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2151</v>
      </c>
      <c r="B32" s="2443"/>
      <c r="C32" s="153" t="e">
        <f ca="1">IF(D32="总价",G19-C24,G20-C25)</f>
        <v>#N/A</v>
      </c>
      <c r="D32" s="2444" t="s">
        <v>2152</v>
      </c>
      <c r="E32" s="138"/>
      <c r="F32" s="138"/>
      <c r="G32" s="138"/>
      <c r="H32" s="138"/>
      <c r="I32" s="138"/>
    </row>
    <row r="33" spans="1:15" ht="15">
      <c r="A33" s="956" t="s">
        <v>2153</v>
      </c>
      <c r="B33" s="2445"/>
      <c r="C33" s="2446"/>
      <c r="D33" s="2447"/>
      <c r="E33" s="2448" t="s">
        <v>2154</v>
      </c>
      <c r="F33" s="2952" t="str">
        <f>IF(D32="楼面单价","取值（单价）","取值（总价）")</f>
        <v>取值（总价）</v>
      </c>
      <c r="G33" s="138"/>
      <c r="H33" s="138"/>
      <c r="I33" s="138"/>
    </row>
    <row r="34" spans="1:15" ht="15">
      <c r="A34" s="2450"/>
      <c r="B34" s="2451" t="s">
        <v>2155</v>
      </c>
      <c r="C34" s="157" t="e">
        <f ca="1">IF(C33="自定义",F34,C32-C35)</f>
        <v>#N/A</v>
      </c>
      <c r="D34" s="1054" t="e">
        <f ca="1">IF(C33="自定义",ROUND(C34/C32,3),IF(C33="收益比率",SUMIF(INDIRECT("'"&amp;D33&amp;"'"&amp;"!b:b"),"土地收益比率",INDIRECT("'"&amp;D33&amp;"'"&amp;"!c:c")),SUMIF(INDIRECT("'"&amp;D33&amp;"'"&amp;"!b:b"),"土地成本比率",INDIRECT("'"&amp;D33&amp;"'"&amp;"!c:c"))))</f>
        <v>#REF!</v>
      </c>
      <c r="E34" s="2452" t="s">
        <v>2156</v>
      </c>
      <c r="F34" s="1735"/>
      <c r="G34" s="138"/>
      <c r="H34" s="138"/>
      <c r="I34" s="138"/>
    </row>
    <row r="35" spans="1:15" ht="15.75" thickBot="1">
      <c r="A35" s="2453"/>
      <c r="B35" s="2454" t="s">
        <v>2157</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75" thickBot="1">
      <c r="A36" s="3248" t="s">
        <v>2159</v>
      </c>
      <c r="B36" s="2456" t="s">
        <v>2160</v>
      </c>
      <c r="C36" s="154"/>
      <c r="D36" s="2457"/>
      <c r="E36" s="2458"/>
      <c r="F36" s="2459"/>
      <c r="G36" s="138"/>
      <c r="H36" s="138"/>
      <c r="I36" s="138"/>
    </row>
    <row r="37" spans="1:15" ht="15.75" thickBot="1">
      <c r="A37" s="3249"/>
      <c r="B37" s="2261" t="s">
        <v>2161</v>
      </c>
      <c r="C37" s="156"/>
      <c r="D37" s="1391"/>
      <c r="E37" s="1391"/>
      <c r="F37" s="2459"/>
      <c r="G37" s="138"/>
      <c r="H37" s="138"/>
      <c r="I37" s="138"/>
    </row>
    <row r="38" spans="1:15" ht="15.75" thickBot="1">
      <c r="A38" s="3250"/>
      <c r="B38" s="2460" t="s">
        <v>2162</v>
      </c>
      <c r="C38" s="726"/>
      <c r="D38" s="2461" t="s">
        <v>2163</v>
      </c>
      <c r="E38" s="1391"/>
      <c r="F38" s="2459"/>
      <c r="G38" s="138"/>
      <c r="H38" s="138"/>
      <c r="I38" s="138"/>
    </row>
    <row r="39" spans="1:15" ht="15">
      <c r="A39" s="2432" t="s">
        <v>2164</v>
      </c>
      <c r="B39" s="2462" t="s">
        <v>2147</v>
      </c>
      <c r="C39" s="2463" t="s">
        <v>2148</v>
      </c>
      <c r="D39" s="2463" t="s">
        <v>2167</v>
      </c>
      <c r="E39" s="2464" t="s">
        <v>2149</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265" t="s">
        <v>2173</v>
      </c>
      <c r="B45" s="3266"/>
      <c r="C45" s="3267"/>
      <c r="D45" s="164" t="e">
        <f ca="1">ROUND(H101*F45,0)</f>
        <v>#N/A</v>
      </c>
      <c r="E45" s="165" t="s">
        <v>2174</v>
      </c>
      <c r="F45" s="166">
        <v>1</v>
      </c>
      <c r="G45" s="167" t="s">
        <v>2175</v>
      </c>
      <c r="H45" s="138"/>
      <c r="I45" s="138"/>
      <c r="J45" s="3184" t="s">
        <v>2176</v>
      </c>
      <c r="K45" s="3184"/>
      <c r="L45" s="3184"/>
      <c r="M45" s="3184"/>
      <c r="N45" s="3184"/>
      <c r="O45" s="3184"/>
    </row>
    <row r="46" spans="1:15" ht="14.25" customHeight="1">
      <c r="A46" s="3262" t="s">
        <v>2177</v>
      </c>
      <c r="B46" s="3263"/>
      <c r="C46" s="3263"/>
      <c r="D46" s="3263"/>
      <c r="E46" s="3263"/>
      <c r="F46" s="3263"/>
      <c r="G46" s="3264"/>
      <c r="H46" s="2475"/>
      <c r="I46" s="168"/>
      <c r="J46" s="2964">
        <v>1</v>
      </c>
      <c r="K46" s="3184" t="s">
        <v>2178</v>
      </c>
      <c r="L46" s="3184"/>
      <c r="M46" s="3185"/>
      <c r="N46" s="3185"/>
      <c r="O46" s="3185"/>
    </row>
    <row r="47" spans="1:15" ht="12" customHeight="1">
      <c r="A47" s="169" t="s">
        <v>2179</v>
      </c>
      <c r="B47" s="170"/>
      <c r="C47" s="171"/>
      <c r="D47" s="172" t="s">
        <v>2180</v>
      </c>
      <c r="E47" s="24" t="s">
        <v>2181</v>
      </c>
      <c r="F47" s="173" t="s">
        <v>2182</v>
      </c>
      <c r="G47" s="174" t="s">
        <v>2183</v>
      </c>
      <c r="H47" s="2475"/>
      <c r="I47" s="168"/>
      <c r="J47" s="2964">
        <v>2</v>
      </c>
      <c r="K47" s="3184" t="s">
        <v>2184</v>
      </c>
      <c r="L47" s="3184"/>
      <c r="M47" s="3186">
        <f>'数据-取费表'!B2</f>
        <v>43763</v>
      </c>
      <c r="N47" s="3186"/>
      <c r="O47" s="3186"/>
    </row>
    <row r="48" spans="1:15" ht="25.5">
      <c r="A48" s="3252" t="s">
        <v>2185</v>
      </c>
      <c r="B48" s="3253"/>
      <c r="C48" s="3253"/>
      <c r="D48" s="140">
        <f>IF(H48="情况1",0,IF(H48="情况2",D52,IF(H48="情况3",D53,IF(H48="情况4",D54))))</f>
        <v>0</v>
      </c>
      <c r="E48" s="2956" t="str">
        <f>IF(H48="情况4","(销售额-原购置价)×税（费）率","销售额×税（费）率")</f>
        <v>销售额×税（费）率</v>
      </c>
      <c r="F48" s="175" t="str">
        <f>IF(H48="情况1","免征",'数据-取费表'!B41)</f>
        <v>免征</v>
      </c>
      <c r="G48" s="2476" t="s">
        <v>2186</v>
      </c>
      <c r="H48" s="2477" t="s">
        <v>2187</v>
      </c>
      <c r="I48" s="2475"/>
      <c r="J48" s="2964">
        <v>3</v>
      </c>
      <c r="K48" s="3184" t="s">
        <v>2188</v>
      </c>
      <c r="L48" s="3184"/>
      <c r="M48" s="3187" t="e">
        <f ca="1">H101</f>
        <v>#N/A</v>
      </c>
      <c r="N48" s="3187"/>
      <c r="O48" s="3187"/>
    </row>
    <row r="49" spans="1:35" ht="25.5" customHeight="1">
      <c r="A49" s="176" t="s">
        <v>2189</v>
      </c>
      <c r="B49" s="3232" t="s">
        <v>2190</v>
      </c>
      <c r="C49" s="3232"/>
      <c r="D49" s="177">
        <v>0</v>
      </c>
      <c r="E49" s="23" t="s">
        <v>2191</v>
      </c>
      <c r="F49" s="28" t="s">
        <v>34</v>
      </c>
      <c r="G49" s="3213"/>
      <c r="H49" s="138"/>
      <c r="I49" s="2478"/>
      <c r="J49" s="2964">
        <v>4</v>
      </c>
      <c r="K49" s="3184" t="str">
        <f>IF(项目基本情况!E8="房地产抵押价值","房地产抵押价值","抵押担保权已注销时的房地产抵押价值")</f>
        <v>房地产抵押价值</v>
      </c>
      <c r="L49" s="3184"/>
      <c r="M49" s="3187" t="e">
        <f ca="1">IF(项目基本情况!E8="房地产抵押价值",H107,H109)</f>
        <v>#N/A</v>
      </c>
      <c r="N49" s="3187"/>
      <c r="O49" s="3187"/>
    </row>
    <row r="50" spans="1:35" ht="25.5" customHeight="1">
      <c r="A50" s="178"/>
      <c r="B50" s="3232" t="s">
        <v>2192</v>
      </c>
      <c r="C50" s="3232"/>
      <c r="D50" s="179"/>
      <c r="E50" s="31"/>
      <c r="F50" s="180"/>
      <c r="G50" s="3214"/>
      <c r="H50" s="138"/>
      <c r="I50" s="2478"/>
      <c r="J50" s="3184" t="s">
        <v>2193</v>
      </c>
      <c r="K50" s="3184"/>
      <c r="L50" s="3184"/>
      <c r="M50" s="3184"/>
      <c r="N50" s="3184"/>
      <c r="O50" s="3184"/>
    </row>
    <row r="51" spans="1:35" ht="12" customHeight="1">
      <c r="A51" s="181"/>
      <c r="B51" s="3232" t="s">
        <v>2194</v>
      </c>
      <c r="C51" s="3232"/>
      <c r="D51" s="182"/>
      <c r="E51" s="30"/>
      <c r="F51" s="180"/>
      <c r="G51" s="3215"/>
      <c r="H51" s="138"/>
      <c r="I51" s="2478"/>
      <c r="J51" s="2963" t="s">
        <v>2195</v>
      </c>
      <c r="K51" s="3184" t="s">
        <v>2196</v>
      </c>
      <c r="L51" s="3184"/>
      <c r="M51" s="2963" t="s">
        <v>2197</v>
      </c>
      <c r="N51" s="2963" t="s">
        <v>2198</v>
      </c>
      <c r="O51" s="2963" t="s">
        <v>2199</v>
      </c>
    </row>
    <row r="52" spans="1:35" ht="24" customHeight="1">
      <c r="A52" s="183" t="s">
        <v>2200</v>
      </c>
      <c r="B52" s="3232" t="s">
        <v>2201</v>
      </c>
      <c r="C52" s="3232"/>
      <c r="D52" s="182" t="e">
        <f ca="1">ROUND(D45*'数据-取费表'!B41/(1+'数据-取费表'!C42),0)</f>
        <v>#N/A</v>
      </c>
      <c r="E52" s="11" t="s">
        <v>2202</v>
      </c>
      <c r="F52" s="184">
        <f>'数据-取费表'!B41</f>
        <v>5.6000000000000001E-2</v>
      </c>
      <c r="G52" s="2480"/>
      <c r="H52" s="138"/>
      <c r="I52" s="2478"/>
      <c r="J52" s="2964">
        <v>1</v>
      </c>
      <c r="K52" s="3207" t="s">
        <v>2203</v>
      </c>
      <c r="L52" s="3207"/>
      <c r="M52" s="1750">
        <f>D48</f>
        <v>0</v>
      </c>
      <c r="N52" s="2964" t="str">
        <f>E48</f>
        <v>销售额×税（费）率</v>
      </c>
      <c r="O52" s="1751" t="str">
        <f>F48</f>
        <v>免征</v>
      </c>
    </row>
    <row r="53" spans="1:35" ht="12" customHeight="1">
      <c r="A53" s="183" t="s">
        <v>2204</v>
      </c>
      <c r="B53" s="3233" t="s">
        <v>2205</v>
      </c>
      <c r="C53" s="3234"/>
      <c r="D53" s="182" t="e">
        <f ca="1">ROUND(D45*'数据-取费表'!B41/(1+'数据-取费表'!C42),0)</f>
        <v>#N/A</v>
      </c>
      <c r="E53" s="11" t="s">
        <v>2202</v>
      </c>
      <c r="F53" s="184">
        <f>'数据-取费表'!B41</f>
        <v>5.6000000000000001E-2</v>
      </c>
      <c r="G53" s="2480"/>
      <c r="H53" s="138"/>
      <c r="I53" s="2478"/>
      <c r="J53" s="2964">
        <v>2</v>
      </c>
      <c r="K53" s="3207" t="s">
        <v>2206</v>
      </c>
      <c r="L53" s="3207"/>
      <c r="M53" s="1750" t="e">
        <f t="shared" ref="M53:O54" ca="1" si="0">D55</f>
        <v>#N/A</v>
      </c>
      <c r="N53" s="2964" t="str">
        <f t="shared" si="0"/>
        <v>销售额×税（费）率</v>
      </c>
      <c r="O53" s="1751">
        <f t="shared" si="0"/>
        <v>5.0000000000000001E-4</v>
      </c>
    </row>
    <row r="54" spans="1:35" ht="12" customHeight="1">
      <c r="A54" s="183" t="s">
        <v>2207</v>
      </c>
      <c r="B54" s="3233" t="s">
        <v>2208</v>
      </c>
      <c r="C54" s="3234"/>
      <c r="D54" s="182" t="e">
        <f ca="1">C68</f>
        <v>#N/A</v>
      </c>
      <c r="E54" s="30" t="s">
        <v>2209</v>
      </c>
      <c r="F54" s="184">
        <f>'数据-取费表'!B41</f>
        <v>5.6000000000000001E-2</v>
      </c>
      <c r="G54" s="2480"/>
      <c r="H54" s="2481"/>
      <c r="I54" s="2478"/>
      <c r="J54" s="2964">
        <v>3</v>
      </c>
      <c r="K54" s="3207" t="s">
        <v>2210</v>
      </c>
      <c r="L54" s="3207"/>
      <c r="M54" s="1750" t="e">
        <f t="shared" ca="1" si="0"/>
        <v>#N/A</v>
      </c>
      <c r="N54" s="2964" t="str">
        <f t="shared" si="0"/>
        <v>增值额×税（费）率</v>
      </c>
      <c r="O54" s="1752" t="str">
        <f t="shared" si="0"/>
        <v>——</v>
      </c>
    </row>
    <row r="55" spans="1:35" ht="24" customHeight="1">
      <c r="A55" s="3271" t="s">
        <v>2211</v>
      </c>
      <c r="B55" s="3253"/>
      <c r="C55" s="3253"/>
      <c r="D55" s="185" t="e">
        <f ca="1">IF(H55="个人住宅",0,ROUND(D45*I55,0))</f>
        <v>#N/A</v>
      </c>
      <c r="E55" s="11" t="s">
        <v>2212</v>
      </c>
      <c r="F55" s="184">
        <f>IF(H55="正常",I55,"免征")</f>
        <v>5.0000000000000001E-4</v>
      </c>
      <c r="G55" s="2480"/>
      <c r="H55" s="2477" t="s">
        <v>2213</v>
      </c>
      <c r="I55" s="186">
        <f>'数据-取费表'!B49</f>
        <v>5.0000000000000001E-4</v>
      </c>
      <c r="J55" s="2964" t="str">
        <f>IF(H59="非个人房产","",4)</f>
        <v/>
      </c>
      <c r="K55" s="3207" t="str">
        <f>IF(H59="非个人房产","——","个人所得税")</f>
        <v>——</v>
      </c>
      <c r="L55" s="3207"/>
      <c r="M55" s="1753" t="str">
        <f>D59</f>
        <v>——</v>
      </c>
      <c r="N55" s="2965" t="str">
        <f>E59</f>
        <v>——</v>
      </c>
      <c r="O55" s="1754" t="str">
        <f>F59</f>
        <v>——</v>
      </c>
    </row>
    <row r="56" spans="1:35" ht="24.75">
      <c r="A56" s="3271" t="s">
        <v>2214</v>
      </c>
      <c r="B56" s="3253"/>
      <c r="C56" s="3253"/>
      <c r="D56" s="185" t="e">
        <f ca="1">IF(H56="个人住宅",D57,D58)</f>
        <v>#N/A</v>
      </c>
      <c r="E56" s="11" t="s">
        <v>2215</v>
      </c>
      <c r="F56" s="184" t="str">
        <f>IF(H56="正常",F58,"免征")</f>
        <v>——</v>
      </c>
      <c r="G56" s="2482" t="s">
        <v>2216</v>
      </c>
      <c r="H56" s="2483" t="s">
        <v>2213</v>
      </c>
      <c r="I56" s="2484"/>
      <c r="J56" s="2964" t="str">
        <f>IF(项目基本情况!K6="上海银行",IF(J55="",4,J55+1),"")</f>
        <v/>
      </c>
      <c r="K56" s="3190" t="str">
        <f>IF(项目基本情况!K6="上海银行","其他处置费用","")</f>
        <v/>
      </c>
      <c r="L56" s="3191"/>
      <c r="M56" s="1750" t="str">
        <f>IF(项目基本情况!K6="上海银行",M69,"")</f>
        <v/>
      </c>
      <c r="N56" s="3193" t="str">
        <f>IF(项目基本情况!K6="上海银行","包含处置中涉及的律师、诉讼、拍卖、评估等费用","")</f>
        <v/>
      </c>
      <c r="O56" s="3194"/>
    </row>
    <row r="57" spans="1:35" ht="12.75">
      <c r="A57" s="183" t="s">
        <v>2189</v>
      </c>
      <c r="B57" s="3238" t="s">
        <v>2217</v>
      </c>
      <c r="C57" s="3239"/>
      <c r="D57" s="187">
        <v>0</v>
      </c>
      <c r="E57" s="23" t="s">
        <v>2191</v>
      </c>
      <c r="F57" s="155"/>
      <c r="G57" s="2480"/>
      <c r="H57" s="2484"/>
      <c r="I57" s="2484"/>
      <c r="J57" s="3207">
        <f>IF(AND(J55="",J56=""),4,IF(项目基本情况!K6="上海银行",'结果表-车库'!J56+1,'结果表-车库'!J55+1))</f>
        <v>4</v>
      </c>
      <c r="K57" s="3207" t="s">
        <v>2218</v>
      </c>
      <c r="L57" s="2485" t="s">
        <v>2219</v>
      </c>
      <c r="M57" s="1755"/>
      <c r="N57" s="1756">
        <f ca="1">SUMIF(M52:M56,"&lt;9e307")</f>
        <v>0</v>
      </c>
      <c r="O57" s="2486"/>
      <c r="P57" s="1749" t="e">
        <f ca="1">N57/M49</f>
        <v>#N/A</v>
      </c>
    </row>
    <row r="58" spans="1:35" ht="24.75">
      <c r="A58" s="183" t="s">
        <v>2200</v>
      </c>
      <c r="B58" s="3238" t="s">
        <v>2220</v>
      </c>
      <c r="C58" s="3251"/>
      <c r="D58" s="185" t="e">
        <f ca="1">IF(H58="转让取得",C81,C97)</f>
        <v>#N/A</v>
      </c>
      <c r="E58" s="11" t="s">
        <v>2215</v>
      </c>
      <c r="F58" s="24" t="s">
        <v>34</v>
      </c>
      <c r="G58" s="2480"/>
      <c r="H58" s="2483" t="s">
        <v>2221</v>
      </c>
      <c r="I58" s="2484"/>
      <c r="J58" s="3207"/>
      <c r="K58" s="3207"/>
      <c r="L58" s="2485" t="s">
        <v>2222</v>
      </c>
      <c r="M58" s="1757"/>
      <c r="N58" s="2487" t="str">
        <f ca="1">NUMBERSTRING(INT(N57*10000),2)&amp;"元整"</f>
        <v>零元整</v>
      </c>
      <c r="O58" s="2488"/>
    </row>
    <row r="59" spans="1:35" ht="24.75" thickBot="1">
      <c r="A59" s="3211" t="s">
        <v>2223</v>
      </c>
      <c r="B59" s="3212"/>
      <c r="C59" s="3212"/>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09">
        <f>J57+1</f>
        <v>5</v>
      </c>
      <c r="K59" s="3207" t="s">
        <v>2225</v>
      </c>
      <c r="L59" s="2964" t="s">
        <v>2219</v>
      </c>
      <c r="M59" s="1758"/>
      <c r="N59" s="1759" t="e">
        <f ca="1">M49-N57</f>
        <v>#N/A</v>
      </c>
      <c r="O59" s="2490"/>
    </row>
    <row r="60" spans="1:35" ht="12" customHeight="1">
      <c r="A60" s="2491"/>
      <c r="B60" s="2413"/>
      <c r="C60" s="2413"/>
      <c r="D60" s="2413"/>
      <c r="E60" s="2160"/>
      <c r="F60" s="2484"/>
      <c r="G60" s="2484"/>
      <c r="H60" s="2492"/>
      <c r="I60" s="138"/>
      <c r="J60" s="3210"/>
      <c r="K60" s="3207"/>
      <c r="L60" s="2485" t="s">
        <v>2222</v>
      </c>
      <c r="M60" s="1757"/>
      <c r="N60" s="2487" t="e">
        <f ca="1">NUMBERSTRING(INT(N59*10000),2)&amp;"元整"</f>
        <v>#N/A</v>
      </c>
      <c r="O60" s="2488"/>
    </row>
    <row r="61" spans="1:35" ht="13.5" thickBot="1">
      <c r="A61" s="3270" t="s">
        <v>2226</v>
      </c>
      <c r="B61" s="3270"/>
      <c r="C61" s="3270"/>
      <c r="D61" s="3270"/>
      <c r="E61" s="3270"/>
      <c r="F61" s="2484"/>
      <c r="G61" s="2484"/>
      <c r="H61" s="2492"/>
      <c r="I61" s="138"/>
      <c r="J61" s="2964">
        <f>J59+1</f>
        <v>6</v>
      </c>
      <c r="K61" s="3207" t="s">
        <v>2227</v>
      </c>
      <c r="L61" s="3207"/>
      <c r="M61" s="1760"/>
      <c r="N61" s="1761" t="e">
        <f ca="1">ROUND(N59*10000/'数据-汇总表'!E3,0)</f>
        <v>#N/A</v>
      </c>
      <c r="O61" s="2493"/>
    </row>
    <row r="62" spans="1:35" ht="12.75">
      <c r="A62" s="3227" t="s">
        <v>2228</v>
      </c>
      <c r="B62" s="3228"/>
      <c r="C62" s="2959"/>
      <c r="D62" s="2959" t="s">
        <v>2229</v>
      </c>
      <c r="E62" s="192" t="s">
        <v>2230</v>
      </c>
      <c r="F62" s="2484"/>
      <c r="G62" s="2484"/>
      <c r="H62" s="2492"/>
      <c r="I62" s="138"/>
    </row>
    <row r="63" spans="1:35" ht="12.75">
      <c r="A63" s="203" t="s">
        <v>775</v>
      </c>
      <c r="B63" s="193" t="s">
        <v>2231</v>
      </c>
      <c r="C63" s="194" t="e">
        <f ca="1">ROUND((C64+C65)/(1+'数据-取费表'!C42),0)</f>
        <v>#N/A</v>
      </c>
      <c r="D63" s="195"/>
      <c r="E63" s="196"/>
      <c r="F63" s="2484"/>
      <c r="G63" s="2484"/>
      <c r="H63" s="2492"/>
      <c r="I63" s="138"/>
      <c r="J63" s="3192" t="s">
        <v>2232</v>
      </c>
      <c r="K63" s="2968" t="s">
        <v>2233</v>
      </c>
      <c r="L63" s="1748" t="e">
        <f ca="1">IF(M49&gt;10000,M49*0.5%,IF(AND(M49&gt;1000,M49&lt;=10000),M49*1%,IF(AND(M49&gt;100,M49&lt;=1000),M49*3%,IF(AND(M49&gt;10,M49&lt;=100),M49*5%,M49*8%))))</f>
        <v>#N/A</v>
      </c>
      <c r="M63" s="24" t="e">
        <f ca="1">ROUND(L63,1)</f>
        <v>#N/A</v>
      </c>
      <c r="Z63" s="2418"/>
      <c r="AI63" s="2419"/>
    </row>
    <row r="64" spans="1:35" ht="14.25" customHeight="1">
      <c r="A64" s="197" t="s">
        <v>770</v>
      </c>
      <c r="B64" s="198" t="s">
        <v>2234</v>
      </c>
      <c r="C64" s="199" t="e">
        <f ca="1">D45</f>
        <v>#N/A</v>
      </c>
      <c r="D64" s="200" t="s">
        <v>32</v>
      </c>
      <c r="E64" s="201"/>
      <c r="F64" s="2484"/>
      <c r="G64" s="2484"/>
      <c r="H64" s="2492"/>
      <c r="I64" s="138"/>
      <c r="J64" s="3192"/>
      <c r="K64" s="2968" t="s">
        <v>2235</v>
      </c>
      <c r="L64" s="1748"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2236</v>
      </c>
      <c r="Z64" s="2418"/>
      <c r="AI64" s="2419"/>
    </row>
    <row r="65" spans="1:35" ht="14.25" customHeight="1">
      <c r="A65" s="197" t="s">
        <v>771</v>
      </c>
      <c r="B65" s="198" t="s">
        <v>2237</v>
      </c>
      <c r="C65" s="202"/>
      <c r="D65" s="200"/>
      <c r="E65" s="201"/>
      <c r="F65" s="2484"/>
      <c r="G65" s="2484"/>
      <c r="H65" s="2492"/>
      <c r="I65" s="138"/>
      <c r="J65" s="3192"/>
      <c r="K65" s="2968" t="s">
        <v>2238</v>
      </c>
      <c r="L65" s="1748" t="e">
        <f ca="1">IF(M49&gt;1000,M49*0.1%,IF(AND(M49&gt;500,M49&lt;=1000),M49*0.5%,IF(AND(M49&gt;50,M49&lt;=500),M49*1%,IF(AND(M49&gt;1,M49&lt;=50),M49*1.5%))))</f>
        <v>#N/A</v>
      </c>
      <c r="M65" s="24" t="e">
        <f t="shared" ca="1" si="1"/>
        <v>#N/A</v>
      </c>
      <c r="N65" s="138" t="s">
        <v>2236</v>
      </c>
      <c r="Z65" s="2418"/>
      <c r="AI65" s="2419"/>
    </row>
    <row r="66" spans="1:35" ht="14.25" customHeight="1">
      <c r="A66" s="203" t="s">
        <v>772</v>
      </c>
      <c r="B66" s="204" t="s">
        <v>2239</v>
      </c>
      <c r="C66" s="205"/>
      <c r="D66" s="206" t="s">
        <v>32</v>
      </c>
      <c r="E66" s="1772" t="s">
        <v>1367</v>
      </c>
      <c r="F66" s="2484"/>
      <c r="G66" s="2484"/>
      <c r="H66" s="2492"/>
      <c r="I66" s="138"/>
      <c r="J66" s="3192"/>
      <c r="K66" s="2968" t="s">
        <v>2240</v>
      </c>
      <c r="L66" s="1748" t="e">
        <f ca="1">M49*0.5%</f>
        <v>#N/A</v>
      </c>
      <c r="M66" s="24" t="e">
        <f ca="1">IF(L66&gt;0.5,0.5,ROUND(L66,0))</f>
        <v>#N/A</v>
      </c>
      <c r="N66" s="138" t="s">
        <v>2241</v>
      </c>
      <c r="Z66" s="2418"/>
      <c r="AI66" s="2419"/>
    </row>
    <row r="67" spans="1:35" ht="14.25" customHeight="1">
      <c r="A67" s="203" t="s">
        <v>773</v>
      </c>
      <c r="B67" s="204" t="s">
        <v>2242</v>
      </c>
      <c r="C67" s="207" t="e">
        <f ca="1">C63-C66</f>
        <v>#N/A</v>
      </c>
      <c r="D67" s="200" t="s">
        <v>32</v>
      </c>
      <c r="E67" s="201"/>
      <c r="F67" s="2484"/>
      <c r="G67" s="2484"/>
      <c r="H67" s="2492"/>
      <c r="I67" s="138"/>
      <c r="J67" s="3192"/>
      <c r="K67" s="2968" t="s">
        <v>2243</v>
      </c>
      <c r="L67" s="1748"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8"/>
      <c r="AI67" s="2419"/>
    </row>
    <row r="68" spans="1:35" ht="14.25" customHeight="1" thickBot="1">
      <c r="A68" s="208" t="s">
        <v>774</v>
      </c>
      <c r="B68" s="209" t="s">
        <v>2244</v>
      </c>
      <c r="C68" s="210" t="e">
        <f ca="1">IF(C67&lt;=0,0,ROUND(C67*D68,0))</f>
        <v>#N/A</v>
      </c>
      <c r="D68" s="211">
        <f>'数据-取费表'!B41</f>
        <v>5.6000000000000001E-2</v>
      </c>
      <c r="E68" s="212"/>
      <c r="F68" s="2484"/>
      <c r="G68" s="2484"/>
      <c r="H68" s="2492"/>
      <c r="I68" s="138"/>
      <c r="J68" s="3192"/>
      <c r="K68" s="2968" t="s">
        <v>2245</v>
      </c>
      <c r="L68" s="1748" t="e">
        <f ca="1">IF(M49&gt;10000,M49*0.5%,IF(AND(M49&gt;5000,M49&lt;=10000),M49*1%,IF(AND(M49&gt;1000,M49&lt;=5000),M49*2%,IF(AND(M49&gt;200,M49&lt;=1000),M49*3%,M49*5%))))</f>
        <v>#N/A</v>
      </c>
      <c r="M68" s="24" t="e">
        <f ca="1">ROUND(L68,1)</f>
        <v>#N/A</v>
      </c>
      <c r="Z68" s="2418"/>
      <c r="AI68" s="2419"/>
    </row>
    <row r="69" spans="1:35" s="2441" customFormat="1" ht="16.5" customHeight="1">
      <c r="A69" s="2495"/>
      <c r="B69" s="2496"/>
      <c r="C69" s="2497"/>
      <c r="D69" s="2498"/>
      <c r="E69" s="2499"/>
      <c r="F69" s="2160"/>
      <c r="G69" s="2160"/>
      <c r="H69" s="2159"/>
      <c r="I69" s="2413"/>
      <c r="J69" s="3192"/>
      <c r="K69" s="2968" t="s">
        <v>2246</v>
      </c>
      <c r="L69" s="2500"/>
      <c r="M69" s="24" t="e">
        <f ca="1">ROUND(SUM(M63:M68),0)</f>
        <v>#N/A</v>
      </c>
      <c r="N69" s="1749" t="e">
        <f ca="1">M69/M49</f>
        <v>#N/A</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236" t="s">
        <v>2247</v>
      </c>
      <c r="B70" s="3237"/>
      <c r="C70" s="3237"/>
      <c r="D70" s="3237"/>
      <c r="E70" s="3237"/>
      <c r="F70" s="3237"/>
      <c r="G70" s="3237"/>
      <c r="H70" s="323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27" t="s">
        <v>2228</v>
      </c>
      <c r="B71" s="3228"/>
      <c r="C71" s="2959"/>
      <c r="D71" s="2959"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2248</v>
      </c>
      <c r="C72" s="207" t="e">
        <f ca="1">ROUND(D45/(1+'数据-取费表'!C42),0)</f>
        <v>#N/A</v>
      </c>
      <c r="D72" s="200" t="s">
        <v>32</v>
      </c>
      <c r="E72" s="2958"/>
      <c r="F72" s="2953"/>
      <c r="G72" s="295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2249</v>
      </c>
      <c r="C73" s="207" t="e">
        <f ca="1">C74+C78</f>
        <v>#N/A</v>
      </c>
      <c r="D73" s="200" t="s">
        <v>32</v>
      </c>
      <c r="E73" s="2958"/>
      <c r="F73" s="2953"/>
      <c r="G73" s="295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2250</v>
      </c>
      <c r="C74" s="200">
        <f>ROUND(IF(G77="2016年5月1日后购买",C75/(1+'数据-取费表'!C42)+C76+C77,C75+C76+C77),0)</f>
        <v>0</v>
      </c>
      <c r="D74" s="200" t="s">
        <v>32</v>
      </c>
      <c r="E74" s="2958"/>
      <c r="F74" s="2953"/>
      <c r="G74" s="295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2255</v>
      </c>
      <c r="C76" s="200">
        <f>IF(F75="购房发票",ROUND(C75*H75*D76,0),0)</f>
        <v>0</v>
      </c>
      <c r="D76" s="222">
        <v>0.05</v>
      </c>
      <c r="E76" s="3233" t="s">
        <v>2256</v>
      </c>
      <c r="F76" s="3232"/>
      <c r="G76" s="3232"/>
      <c r="H76" s="323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2257</v>
      </c>
      <c r="C77" s="200">
        <f>ROUND(IF(G77="个人住宅",0,IF(G77="2016年5月1日前购买",C75*D77,C75*D77/(1+'数据-取费表'!C42))),0)</f>
        <v>0</v>
      </c>
      <c r="D77" s="223">
        <f>'数据-取费表'!B48+'数据-取费表'!B49</f>
        <v>3.0499999999999999E-2</v>
      </c>
      <c r="E77" s="2969" t="s">
        <v>2258</v>
      </c>
      <c r="F77" s="224"/>
      <c r="G77" s="2508" t="s">
        <v>2259</v>
      </c>
      <c r="H77" s="296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2260</v>
      </c>
      <c r="C78" s="225" t="e">
        <f ca="1">ROUND(D45*D78/(1+'数据-取费表'!C42),0)</f>
        <v>#N/A</v>
      </c>
      <c r="D78" s="226">
        <f>'数据-取费表'!B43</f>
        <v>6.000000000000001E-3</v>
      </c>
      <c r="E78" s="3224" t="s">
        <v>2261</v>
      </c>
      <c r="F78" s="3225"/>
      <c r="G78" s="3225"/>
      <c r="H78" s="322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2262</v>
      </c>
      <c r="C79" s="207" t="e">
        <f ca="1">C72-C73</f>
        <v>#N/A</v>
      </c>
      <c r="D79" s="200" t="s">
        <v>32</v>
      </c>
      <c r="E79" s="2958"/>
      <c r="F79" s="2953"/>
      <c r="G79" s="295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2263</v>
      </c>
      <c r="C80" s="227" t="e">
        <f ca="1">IF(C79&lt;=0,0,C79/C73)</f>
        <v>#N/A</v>
      </c>
      <c r="D80" s="200" t="s">
        <v>32</v>
      </c>
      <c r="E80" s="2969" t="e">
        <f ca="1">IF(C80&gt;=200%,"增值额超过扣除项目金额200%",IF(C80&gt;=100%,"增值额超过扣除项目金额100%，未超过200%",IF(C80&gt;=50%,"增值额超过扣除项目金额50%，未超过100%",IF(C80&lt;50%,"增值额未超过扣除项目金额50%"))))</f>
        <v>#N/A</v>
      </c>
      <c r="F80" s="2953"/>
      <c r="G80" s="295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6" t="s">
        <v>2265</v>
      </c>
      <c r="B83" s="3237"/>
      <c r="C83" s="3237"/>
      <c r="D83" s="3237"/>
      <c r="E83" s="3237"/>
      <c r="F83" s="3237"/>
      <c r="G83" s="3237"/>
      <c r="H83" s="323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27" t="s">
        <v>2228</v>
      </c>
      <c r="B84" s="3228"/>
      <c r="C84" s="2959"/>
      <c r="D84" s="2959"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2248</v>
      </c>
      <c r="C85" s="207" t="e">
        <f ca="1">ROUND(D45/(1+'数据-取费表'!C42),0)</f>
        <v>#N/A</v>
      </c>
      <c r="D85" s="200" t="s">
        <v>32</v>
      </c>
      <c r="E85" s="2958"/>
      <c r="F85" s="2953"/>
      <c r="G85" s="295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2249</v>
      </c>
      <c r="C86" s="207" t="e">
        <f ca="1">IF(H88="仅含出让金",C87+C90+C91+C92+C93+C94,C87+C91+C92+C93+C94)</f>
        <v>#N/A</v>
      </c>
      <c r="D86" s="235"/>
      <c r="E86" s="2958"/>
      <c r="F86" s="2953"/>
      <c r="G86" s="295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2266</v>
      </c>
      <c r="C87" s="225">
        <f>C88+C89</f>
        <v>0</v>
      </c>
      <c r="D87" s="226"/>
      <c r="E87" s="2954"/>
      <c r="F87" s="2955"/>
      <c r="G87" s="2955"/>
      <c r="H87" s="295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2267</v>
      </c>
      <c r="C88" s="236"/>
      <c r="D88" s="226"/>
      <c r="E88" s="237" t="s">
        <v>2268</v>
      </c>
      <c r="F88" s="2955"/>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2257</v>
      </c>
      <c r="C89" s="225">
        <f>ROUND(C88*D89,0)</f>
        <v>0</v>
      </c>
      <c r="D89" s="226">
        <f>'数据-取费表'!B48+'数据-取费表'!B49</f>
        <v>3.0499999999999999E-2</v>
      </c>
      <c r="E89" s="237" t="s">
        <v>2270</v>
      </c>
      <c r="F89" s="2955"/>
      <c r="G89" s="2955"/>
      <c r="H89" s="295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2271</v>
      </c>
      <c r="C90" s="236"/>
      <c r="D90" s="226"/>
      <c r="E90" s="237" t="str">
        <f>IF(H88="-","土地取得成本中已包含该笔费用"," ")</f>
        <v xml:space="preserve"> </v>
      </c>
      <c r="F90" s="2955"/>
      <c r="G90" s="2955"/>
      <c r="H90" s="295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IF(H91="——",'成本法-车库'!C33,I91)</f>
        <v>0</v>
      </c>
      <c r="D91" s="226"/>
      <c r="E91" s="3224" t="s">
        <v>2274</v>
      </c>
      <c r="F91" s="3225"/>
      <c r="G91" s="3225"/>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224" t="s">
        <v>2278</v>
      </c>
      <c r="F92" s="3225"/>
      <c r="G92" s="3225"/>
      <c r="H92" s="322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t="e">
        <f ca="1">ROUND(D45*D93/(1+'数据-取费表'!C42),0)</f>
        <v>#N/A</v>
      </c>
      <c r="D93" s="226">
        <f>'数据-取费表'!B43</f>
        <v>6.000000000000001E-3</v>
      </c>
      <c r="E93" s="3224" t="s">
        <v>2261</v>
      </c>
      <c r="F93" s="3225"/>
      <c r="G93" s="3225"/>
      <c r="H93" s="322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272" t="s">
        <v>2282</v>
      </c>
      <c r="F94" s="3273"/>
      <c r="G94" s="3273"/>
      <c r="H94" s="32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2262</v>
      </c>
      <c r="C95" s="207" t="e">
        <f ca="1">ROUND(C85-C86,0)</f>
        <v>#N/A</v>
      </c>
      <c r="D95" s="200" t="s">
        <v>32</v>
      </c>
      <c r="E95" s="2958"/>
      <c r="F95" s="2953"/>
      <c r="G95" s="295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2263</v>
      </c>
      <c r="C96" s="227" t="e">
        <f ca="1">IF(C95&lt;=0,0,C95/C86)</f>
        <v>#N/A</v>
      </c>
      <c r="D96" s="200" t="s">
        <v>32</v>
      </c>
      <c r="E96" s="2969" t="e">
        <f ca="1">IF(C96&gt;=200%,"增值额超过扣除项目金额200%",IF(C96&gt;=100%,"增值额超过扣除项目金额100%，未超过200%",IF(C96&gt;=50%,"增值额超过扣除项目金额50%，未超过100%",IF(C96&lt;50%,"增值额未超过扣除项目金额50%"))))</f>
        <v>#N/A</v>
      </c>
      <c r="F96" s="2953"/>
      <c r="G96" s="295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1" t="s">
        <v>2284</v>
      </c>
      <c r="B100" s="3102"/>
      <c r="C100" s="3102"/>
      <c r="D100" s="3208"/>
      <c r="E100" s="3102" t="s">
        <v>2285</v>
      </c>
      <c r="F100" s="3102"/>
      <c r="G100" s="3102"/>
      <c r="H100" s="3208"/>
      <c r="I100" s="138"/>
    </row>
    <row r="101" spans="1:35" ht="18.75" customHeight="1">
      <c r="A101" s="3216" t="s">
        <v>2286</v>
      </c>
      <c r="B101" s="3217"/>
      <c r="C101" s="735" t="str">
        <f>C4</f>
        <v>收益法-车库</v>
      </c>
      <c r="D101" s="736" t="str">
        <f>D4</f>
        <v>成本法-车库</v>
      </c>
      <c r="E101" s="3188" t="s">
        <v>2287</v>
      </c>
      <c r="F101" s="3189"/>
      <c r="G101" s="2515" t="s">
        <v>2288</v>
      </c>
      <c r="H101" s="1044" t="e">
        <f ca="1">H118</f>
        <v>#N/A</v>
      </c>
      <c r="I101" s="138"/>
    </row>
    <row r="102" spans="1:35" ht="18.75" customHeight="1">
      <c r="A102" s="3218" t="s">
        <v>2289</v>
      </c>
      <c r="B102" s="2515" t="s">
        <v>2288</v>
      </c>
      <c r="C102" s="735" t="e">
        <f ca="1">C19</f>
        <v>#N/A</v>
      </c>
      <c r="D102" s="736" t="e">
        <f ca="1">D19</f>
        <v>#N/A</v>
      </c>
      <c r="E102" s="3188"/>
      <c r="F102" s="3189"/>
      <c r="G102" s="2515" t="s">
        <v>2290</v>
      </c>
      <c r="H102" s="371" t="e">
        <f ca="1">I118</f>
        <v>#N/A</v>
      </c>
      <c r="I102" s="138"/>
    </row>
    <row r="103" spans="1:35" ht="42.75" customHeight="1">
      <c r="A103" s="3218"/>
      <c r="B103" s="2515" t="s">
        <v>2290</v>
      </c>
      <c r="C103" s="737">
        <f ca="1">C20</f>
        <v>0</v>
      </c>
      <c r="D103" s="738" t="e">
        <f ca="1">D20</f>
        <v>#N/A</v>
      </c>
      <c r="E103" s="3182" t="s">
        <v>2291</v>
      </c>
      <c r="F103" s="3183"/>
      <c r="G103" s="2516" t="s">
        <v>2292</v>
      </c>
      <c r="H103" s="1044">
        <f>IF(D36="正常操作",H104+H105+H106,H105+H106)</f>
        <v>0</v>
      </c>
      <c r="I103" s="138"/>
    </row>
    <row r="104" spans="1:35" ht="18.75" customHeight="1">
      <c r="A104" s="3218" t="s">
        <v>2293</v>
      </c>
      <c r="B104" s="2517" t="s">
        <v>2288</v>
      </c>
      <c r="C104" s="739" t="e">
        <f ca="1">H118</f>
        <v>#N/A</v>
      </c>
      <c r="D104" s="740"/>
      <c r="E104" s="2261" t="s">
        <v>2294</v>
      </c>
      <c r="F104" s="2252"/>
      <c r="G104" s="2516" t="s">
        <v>2292</v>
      </c>
      <c r="H104" s="1045">
        <f>IF(D36="同一抵押权人同一抵押物续贷",C36&amp;"（未扣减，详见特别提示）",C36)</f>
        <v>0</v>
      </c>
      <c r="I104" s="138"/>
    </row>
    <row r="105" spans="1:35" ht="18.75" customHeight="1" thickBot="1">
      <c r="A105" s="3230"/>
      <c r="B105" s="2518" t="s">
        <v>2290</v>
      </c>
      <c r="C105" s="741" t="e">
        <f ca="1">I118</f>
        <v>#N/A</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19" t="str">
        <f>IF(项目基本情况!E8="已注销","——","3.房地产抵押价值")</f>
        <v>3.房地产抵押价值</v>
      </c>
      <c r="F107" s="3189"/>
      <c r="G107" s="2515" t="s">
        <v>2288</v>
      </c>
      <c r="H107" s="1044" t="e">
        <f ca="1">IF(E107="——","——",H101-H103)</f>
        <v>#N/A</v>
      </c>
      <c r="I107" s="138"/>
    </row>
    <row r="108" spans="1:35" ht="18.75" customHeight="1">
      <c r="A108" s="138"/>
      <c r="B108" s="138"/>
      <c r="C108" s="138"/>
      <c r="D108" s="138"/>
      <c r="E108" s="3219"/>
      <c r="F108" s="3189"/>
      <c r="G108" s="2515" t="s">
        <v>2290</v>
      </c>
      <c r="H108" s="371" t="e">
        <f ca="1">ROUND(H107*10000/'数据-汇总表'!E3,0)</f>
        <v>#N/A</v>
      </c>
      <c r="I108" s="138"/>
    </row>
    <row r="109" spans="1:35" ht="18.75" customHeight="1">
      <c r="A109" s="138"/>
      <c r="B109" s="138"/>
      <c r="C109" s="138"/>
      <c r="D109" s="138"/>
      <c r="E109" s="3219" t="str">
        <f>IF(项目基本情况!E8="已注销及未注销","4.抵押担保权已注销时的房地产抵押价值",IF(项目基本情况!E8="已注销","3.抵押担保权已注销时的房地产抵押价值","——"))</f>
        <v>——</v>
      </c>
      <c r="F109" s="3189"/>
      <c r="G109" s="2515" t="s">
        <v>2288</v>
      </c>
      <c r="H109" s="348" t="str">
        <f>IF(E109="——","——",H101-H105-H106)</f>
        <v>——</v>
      </c>
      <c r="I109" s="138"/>
    </row>
    <row r="110" spans="1:35" ht="18.75" customHeight="1">
      <c r="A110" s="138"/>
      <c r="B110" s="138"/>
      <c r="C110" s="138"/>
      <c r="D110" s="138"/>
      <c r="E110" s="3219"/>
      <c r="F110" s="3189"/>
      <c r="G110" s="2515" t="s">
        <v>2290</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5" t="s">
        <v>2288</v>
      </c>
      <c r="H111" s="1044" t="str">
        <f>IF(E111="——","——",N59)</f>
        <v>——</v>
      </c>
      <c r="I111" s="138"/>
    </row>
    <row r="112" spans="1:35" ht="18.75" customHeight="1" thickBot="1">
      <c r="A112" s="138"/>
      <c r="B112" s="138"/>
      <c r="C112" s="138"/>
      <c r="D112" s="138"/>
      <c r="E112" s="3222"/>
      <c r="F112" s="3223"/>
      <c r="G112" s="2520" t="s">
        <v>2290</v>
      </c>
      <c r="H112" s="789" t="str">
        <f>IF(E111="——","——",N61)</f>
        <v>——</v>
      </c>
      <c r="I112" s="138"/>
    </row>
    <row r="113" spans="1:11" ht="18.75" customHeight="1">
      <c r="A113" s="138"/>
      <c r="B113" s="138"/>
      <c r="C113" s="138"/>
      <c r="D113" s="138"/>
      <c r="E113" s="3231" t="s">
        <v>2296</v>
      </c>
      <c r="F113" s="3231"/>
      <c r="G113" s="3231"/>
      <c r="H113" s="3231"/>
      <c r="I113" s="138"/>
    </row>
    <row r="114" spans="1:11" ht="3.75" customHeight="1">
      <c r="A114" s="2413"/>
      <c r="B114" s="2413"/>
      <c r="C114" s="2413"/>
      <c r="D114" s="2413"/>
      <c r="E114" s="2491"/>
      <c r="F114" s="2491"/>
      <c r="G114" s="2491"/>
      <c r="H114" s="2491"/>
      <c r="I114" s="2413"/>
    </row>
    <row r="115" spans="1:11" ht="18.75" customHeight="1">
      <c r="A115" s="3244" t="s">
        <v>2298</v>
      </c>
      <c r="B115" s="3245"/>
      <c r="C115" s="3245"/>
      <c r="D115" s="3245"/>
      <c r="E115" s="3245"/>
      <c r="F115" s="3245"/>
      <c r="G115" s="3245"/>
      <c r="H115" s="3245"/>
      <c r="I115" s="3246"/>
    </row>
    <row r="116" spans="1:11" ht="27" customHeight="1">
      <c r="A116" s="3080" t="s">
        <v>2299</v>
      </c>
      <c r="B116" s="3198" t="s">
        <v>2300</v>
      </c>
      <c r="C116" s="3198" t="s">
        <v>2301</v>
      </c>
      <c r="D116" s="3204" t="s">
        <v>2302</v>
      </c>
      <c r="E116" s="3205"/>
      <c r="F116" s="3240" t="s">
        <v>2303</v>
      </c>
      <c r="G116" s="3240"/>
      <c r="H116" s="3080" t="s">
        <v>2304</v>
      </c>
      <c r="I116" s="3080"/>
    </row>
    <row r="117" spans="1:11" ht="18.75" customHeight="1">
      <c r="A117" s="3080"/>
      <c r="B117" s="3199"/>
      <c r="C117" s="3199"/>
      <c r="D117" s="2951" t="s">
        <v>2305</v>
      </c>
      <c r="E117" s="2951" t="s">
        <v>2306</v>
      </c>
      <c r="F117" s="2951" t="s">
        <v>2305</v>
      </c>
      <c r="G117" s="2951" t="s">
        <v>2307</v>
      </c>
      <c r="H117" s="2951" t="s">
        <v>2305</v>
      </c>
      <c r="I117" s="2951" t="s">
        <v>2307</v>
      </c>
    </row>
    <row r="118" spans="1:11" ht="24.75" customHeight="1">
      <c r="A118" s="2521" t="str">
        <f>项目基本情况!S2</f>
        <v>北京市海淀区东北旺西路8号19号楼房地产</v>
      </c>
      <c r="B118" s="2951">
        <f>M18</f>
        <v>0</v>
      </c>
      <c r="C118" s="2951">
        <f>M19</f>
        <v>0</v>
      </c>
      <c r="D118" s="2951" t="e">
        <f ca="1">ROUND(IF(D32="总价",C34,E118*B118/10000),0)</f>
        <v>#N/A</v>
      </c>
      <c r="E118" s="2951" t="e">
        <f ca="1">ROUND(IF(C33="自定义",IF(D32="楼面单价",C34,D118*10000/B118),I118-G118),0)</f>
        <v>#N/A</v>
      </c>
      <c r="F118" s="2951" t="e">
        <f ca="1">ROUND(IF(D32="总价",C35,G118*B118/10000),0)</f>
        <v>#N/A</v>
      </c>
      <c r="G118" s="2951" t="e">
        <f ca="1">ROUND(IF(D32="楼面单价",C35,F118*10000/B118),0)</f>
        <v>#N/A</v>
      </c>
      <c r="H118" s="2951" t="e">
        <f ca="1">ROUND(IF(D32="总价",C32,I118*B118/10000),0)</f>
        <v>#N/A</v>
      </c>
      <c r="I118" s="2951" t="e">
        <f ca="1">ROUND(IF(D32="楼面单价",C32,H118*10000/B118),0)</f>
        <v>#N/A</v>
      </c>
    </row>
    <row r="119" spans="1:11" ht="18.75" customHeight="1">
      <c r="A119" s="3080" t="s">
        <v>2308</v>
      </c>
      <c r="B119" s="3080"/>
      <c r="C119" s="3080"/>
      <c r="D119" s="3200" t="e">
        <f ca="1">NUMBERSTRING(INT(D118*10000),2)&amp;"元整"</f>
        <v>#N/A</v>
      </c>
      <c r="E119" s="3201"/>
      <c r="F119" s="3200" t="e">
        <f ca="1">NUMBERSTRING(INT(F118*10000),2)&amp;"元整"</f>
        <v>#N/A</v>
      </c>
      <c r="G119" s="3201"/>
      <c r="H119" s="3200" t="e">
        <f ca="1">NUMBERSTRING(INT(H118*10000),2)&amp;"元整"</f>
        <v>#N/A</v>
      </c>
      <c r="I119" s="3201"/>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8" t="str">
        <f>IF(D120=0,"故，本次评估不存在"&amp;A120,"故，本次评估"&amp;A120&amp;"为人民币"&amp;D120&amp;"万元整。")</f>
        <v>故，本次评估不存在估价师知悉的法定优先受偿款</v>
      </c>
    </row>
    <row r="121" spans="1:11" ht="18.75" customHeight="1">
      <c r="A121" s="3241" t="s">
        <v>2308</v>
      </c>
      <c r="B121" s="3242"/>
      <c r="C121" s="3243"/>
      <c r="D121" s="3200" t="str">
        <f>IF(D120=0,"零元整",NUMBERSTRING(INT(D120*10000),2)&amp;"元整")</f>
        <v>零元整</v>
      </c>
      <c r="E121" s="3202"/>
      <c r="F121" s="3202"/>
      <c r="G121" s="3202"/>
      <c r="H121" s="3202"/>
      <c r="I121" s="3201"/>
    </row>
    <row r="122" spans="1:11" ht="18.75" customHeight="1">
      <c r="A122" s="3206" t="str">
        <f>IF(项目基本情况!B9="房地产市场价值","",MID(E107,3,LEN(E107)-2))</f>
        <v>房地产抵押价值</v>
      </c>
      <c r="B122" s="3206"/>
      <c r="C122" s="3206"/>
      <c r="D122" s="3195" t="e">
        <f ca="1">H107</f>
        <v>#N/A</v>
      </c>
      <c r="E122" s="3196"/>
      <c r="F122" s="3196"/>
      <c r="G122" s="3196"/>
      <c r="H122" s="3196"/>
      <c r="I122" s="3197"/>
    </row>
    <row r="123" spans="1:11" ht="18.75" customHeight="1">
      <c r="A123" s="3080" t="s">
        <v>2308</v>
      </c>
      <c r="B123" s="3080"/>
      <c r="C123" s="3080"/>
      <c r="D123" s="3200" t="e">
        <f ca="1">NUMBERSTRING(INT(D122*10000),2)&amp;"元整"</f>
        <v>#N/A</v>
      </c>
      <c r="E123" s="3202"/>
      <c r="F123" s="3202"/>
      <c r="G123" s="3202"/>
      <c r="H123" s="3202"/>
      <c r="I123" s="3201"/>
    </row>
    <row r="124" spans="1:11" ht="18.75" customHeight="1">
      <c r="A124" s="3206" t="str">
        <f>IF(项目基本情况!B9="房地产市场价值","",MID(E109,3,LEN(E109)-2))</f>
        <v/>
      </c>
      <c r="B124" s="3206"/>
      <c r="C124" s="3206"/>
      <c r="D124" s="3195" t="str">
        <f>H109</f>
        <v>——</v>
      </c>
      <c r="E124" s="3196"/>
      <c r="F124" s="3196"/>
      <c r="G124" s="3196"/>
      <c r="H124" s="3196"/>
      <c r="I124" s="3197"/>
    </row>
    <row r="125" spans="1:11" ht="18.75" customHeight="1">
      <c r="A125" s="3080" t="s">
        <v>2308</v>
      </c>
      <c r="B125" s="3080"/>
      <c r="C125" s="3080"/>
      <c r="D125" s="3200" t="e">
        <f>NUMBERSTRING(INT(D124*10000),2)&amp;"元整"</f>
        <v>#VALUE!</v>
      </c>
      <c r="E125" s="3202"/>
      <c r="F125" s="3202"/>
      <c r="G125" s="3202"/>
      <c r="H125" s="3202"/>
      <c r="I125" s="3201"/>
    </row>
    <row r="126" spans="1:11" ht="18.75" customHeight="1">
      <c r="A126" s="3206" t="str">
        <f>IF(项目基本情况!B9="房地产市场价值","",MID(E111,3,LEN(E111)-2))</f>
        <v/>
      </c>
      <c r="B126" s="3206"/>
      <c r="C126" s="3206"/>
      <c r="D126" s="3195" t="str">
        <f>H111</f>
        <v>——</v>
      </c>
      <c r="E126" s="3196"/>
      <c r="F126" s="3196"/>
      <c r="G126" s="3196"/>
      <c r="H126" s="3196"/>
      <c r="I126" s="3197"/>
    </row>
    <row r="127" spans="1:11" ht="18.75" customHeight="1">
      <c r="A127" s="3080" t="s">
        <v>2308</v>
      </c>
      <c r="B127" s="3080"/>
      <c r="C127" s="3080"/>
      <c r="D127" s="3200" t="e">
        <f>NUMBERSTRING(INT(D126*10000),2)&amp;"元整"</f>
        <v>#VALUE!</v>
      </c>
      <c r="E127" s="3202"/>
      <c r="F127" s="3202"/>
      <c r="G127" s="3202"/>
      <c r="H127" s="3202"/>
      <c r="I127" s="3201"/>
    </row>
    <row r="128" spans="1:11" ht="21.75" customHeight="1">
      <c r="A128" s="3203" t="s">
        <v>2309</v>
      </c>
      <c r="B128" s="3203"/>
      <c r="C128" s="3203"/>
      <c r="D128" s="3203"/>
      <c r="E128" s="3203"/>
      <c r="F128" s="3203"/>
      <c r="G128" s="3203"/>
      <c r="H128" s="3203"/>
      <c r="I128" s="3203"/>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H25" sqref="H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3071</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0" t="s">
        <v>1398</v>
      </c>
      <c r="C6" s="1295" t="e">
        <f ca="1">ROUND(F6*F8*F7*(1-F9)/10000,0)</f>
        <v>#N/A</v>
      </c>
      <c r="D6" s="164" t="s">
        <v>3021</v>
      </c>
      <c r="E6" s="347" t="s">
        <v>1400</v>
      </c>
      <c r="F6" s="348" t="e">
        <f ca="1">INDIRECT("'数据-取费表'!u"&amp;$G$1)</f>
        <v>#N/A</v>
      </c>
      <c r="G6" s="1850"/>
      <c r="H6" s="1290" t="s">
        <v>1032</v>
      </c>
      <c r="I6" s="3110" t="s">
        <v>1398</v>
      </c>
      <c r="J6" s="346" t="e">
        <f ca="1">ROUND(M6*M8*M7*(1-M9)/10000,0)</f>
        <v>#N/A</v>
      </c>
      <c r="K6" s="164" t="s">
        <v>3020</v>
      </c>
      <c r="L6" s="347" t="s">
        <v>1400</v>
      </c>
      <c r="M6" s="348" t="e">
        <f ca="1">INDIRECT("'数据-取费表'!z"&amp;$G$1)</f>
        <v>#N/A</v>
      </c>
    </row>
    <row r="7" spans="1:37" ht="18" customHeight="1">
      <c r="A7" s="1294"/>
      <c r="B7" s="3111"/>
      <c r="C7" s="1296"/>
      <c r="D7" s="352"/>
      <c r="E7" s="2970" t="s">
        <v>1401</v>
      </c>
      <c r="F7" s="348" t="e">
        <f ca="1">IF(INDIRECT("'数据-取费表'!ah"&amp;$G$1)="",INDIRECT("'数据-取费表'!k"&amp;$G$1),INDIRECT("'数据-取费表'!ah"&amp;$G$1))</f>
        <v>#N/A</v>
      </c>
      <c r="G7" s="1850"/>
      <c r="H7" s="349"/>
      <c r="I7" s="3111"/>
      <c r="J7" s="351"/>
      <c r="K7" s="352"/>
      <c r="L7" s="347" t="s">
        <v>1401</v>
      </c>
      <c r="M7" s="348" t="e">
        <f ca="1">F7</f>
        <v>#N/A</v>
      </c>
    </row>
    <row r="8" spans="1:37" ht="18" customHeight="1">
      <c r="A8" s="349"/>
      <c r="B8" s="3111"/>
      <c r="C8" s="351"/>
      <c r="D8" s="352"/>
      <c r="E8" s="347" t="s">
        <v>1402</v>
      </c>
      <c r="F8" s="348" t="e">
        <f ca="1">INDIRECT("'数据-取费表'!ai"&amp;$G$1)</f>
        <v>#N/A</v>
      </c>
      <c r="G8" s="1850"/>
      <c r="H8" s="349"/>
      <c r="I8" s="3111"/>
      <c r="J8" s="351"/>
      <c r="K8" s="352"/>
      <c r="L8" s="347" t="s">
        <v>1402</v>
      </c>
      <c r="M8" s="348" t="e">
        <f ca="1">INDIRECT("'数据-取费表'!ai"&amp;$G$1)</f>
        <v>#N/A</v>
      </c>
    </row>
    <row r="9" spans="1:37" ht="18" customHeight="1">
      <c r="A9" s="349"/>
      <c r="B9" s="3112"/>
      <c r="C9" s="351"/>
      <c r="D9" s="352"/>
      <c r="E9" s="347" t="s">
        <v>1403</v>
      </c>
      <c r="F9" s="357" t="e">
        <f ca="1">INDIRECT("'数据-取费表'!w"&amp;$G$1)</f>
        <v>#N/A</v>
      </c>
      <c r="G9" s="1850"/>
      <c r="H9" s="349"/>
      <c r="I9" s="3112"/>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3136</v>
      </c>
      <c r="G10" s="1850"/>
      <c r="H10" s="1290" t="s">
        <v>1036</v>
      </c>
      <c r="I10" s="1822" t="s">
        <v>1404</v>
      </c>
      <c r="J10" s="346" t="e">
        <f ca="1">ROUND(IF(M10="押一",J6/12*M11,IF(M10="押二",J6/12*2*M11,IF(M10="押三",J6/12*3*M11,J11*M11))),0)</f>
        <v>#N/A</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3078</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59" t="s">
        <v>1132</v>
      </c>
      <c r="B48" s="345" t="s">
        <v>1396</v>
      </c>
      <c r="C48" s="2966" t="e">
        <f ca="1">C49+C53+C55</f>
        <v>#N/A</v>
      </c>
      <c r="D48" s="1361"/>
      <c r="E48" s="1362"/>
      <c r="F48" s="1180"/>
      <c r="G48" s="791"/>
      <c r="H48" s="792"/>
      <c r="I48" s="1886" t="s">
        <v>1525</v>
      </c>
      <c r="J48" s="1887" t="s">
        <v>3079</v>
      </c>
      <c r="K48" s="1888" t="s">
        <v>1526</v>
      </c>
      <c r="L48" s="1889" t="e">
        <f ca="1">INDIRECT("'数据-取费表'!f"&amp;$G$1)</f>
        <v>#N/A</v>
      </c>
      <c r="O48" s="1883" t="s">
        <v>1038</v>
      </c>
      <c r="P48" s="1884" t="s">
        <v>1527</v>
      </c>
      <c r="Q48" s="1885" t="e">
        <f ca="1">J60</f>
        <v>#N/A</v>
      </c>
      <c r="R48" s="1885" t="s">
        <v>1528</v>
      </c>
    </row>
    <row r="49" spans="1:18" s="1841" customFormat="1" ht="13.5" thickBot="1">
      <c r="A49" s="1193" t="s">
        <v>1133</v>
      </c>
      <c r="B49" s="1828" t="s">
        <v>1485</v>
      </c>
      <c r="C49" s="1363" t="e">
        <f ca="1">ROUND(F49*F51*F50*(1-F52)/10000,0)</f>
        <v>#N/A</v>
      </c>
      <c r="D49" s="1275" t="s">
        <v>3020</v>
      </c>
      <c r="E49" s="1829" t="s">
        <v>1486</v>
      </c>
      <c r="F49" s="1280"/>
      <c r="G49" s="1890"/>
      <c r="H49" s="792"/>
      <c r="I49" s="1886" t="s">
        <v>1529</v>
      </c>
      <c r="J49" s="1891">
        <v>2005</v>
      </c>
      <c r="K49" s="1888" t="s">
        <v>1530</v>
      </c>
      <c r="L49" s="1892"/>
      <c r="O49" s="1893" t="s">
        <v>1039</v>
      </c>
      <c r="P49" s="1884" t="s">
        <v>1531</v>
      </c>
      <c r="Q49" s="1885" t="e">
        <f ca="1">C29</f>
        <v>#N/A</v>
      </c>
      <c r="R49" s="1885" t="s">
        <v>1524</v>
      </c>
    </row>
    <row r="50" spans="1:18" s="1841" customFormat="1" ht="13.5"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5"/>
      <c r="B51" s="1197"/>
      <c r="C51" s="1198"/>
      <c r="D51" s="1171"/>
      <c r="E51" s="1199"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t="e">
        <f ca="1">J53</f>
        <v>#N/A</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c r="I53" s="1904" t="s">
        <v>1542</v>
      </c>
      <c r="J53" s="2947" t="e">
        <f ca="1">IF(M47="住宅",IF(D1="——",MAX(J51,L48),MAX(J51,L48-'数据-取费表'!B24)),IF(D1="——",MIN(J51,L48),MIN(J51,L48-'数据-取费表'!B24)))</f>
        <v>#N/A</v>
      </c>
      <c r="K53" s="3113" t="s">
        <v>1543</v>
      </c>
      <c r="L53" s="3114"/>
      <c r="O53" s="1883" t="s">
        <v>1043</v>
      </c>
      <c r="P53" s="1884" t="s">
        <v>1544</v>
      </c>
      <c r="Q53" s="1885" t="e">
        <f ca="1">Q47+Q48</f>
        <v>#N/A</v>
      </c>
      <c r="R53" s="1885" t="s">
        <v>1044</v>
      </c>
    </row>
    <row r="54" spans="1:18" s="1841" customFormat="1" ht="13.5"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5">
        <v>2</v>
      </c>
      <c r="B56" s="1176" t="s">
        <v>1409</v>
      </c>
      <c r="C56" s="276" t="e">
        <f ca="1">C13</f>
        <v>#N/A</v>
      </c>
      <c r="D56" s="1912"/>
      <c r="E56" s="1913"/>
      <c r="F56" s="1905"/>
      <c r="I56" s="1914" t="s">
        <v>1549</v>
      </c>
      <c r="J56" s="1915" t="s">
        <v>3058</v>
      </c>
      <c r="K56" s="1886" t="s">
        <v>1550</v>
      </c>
      <c r="L56" s="1889" t="e">
        <f ca="1">IF(L48&lt;J51,"——",L48-J53)</f>
        <v>#N/A</v>
      </c>
      <c r="O56" s="1883" t="s">
        <v>1037</v>
      </c>
      <c r="P56" s="1884" t="s">
        <v>1523</v>
      </c>
      <c r="Q56" s="1885" t="e">
        <f ca="1">C40+J29</f>
        <v>#N/A</v>
      </c>
      <c r="R56" s="1885" t="s">
        <v>1524</v>
      </c>
    </row>
    <row r="57" spans="1:18" s="1841" customFormat="1" ht="24.75"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0" t="s">
        <v>1487</v>
      </c>
      <c r="B61" s="1168" t="s">
        <v>1432</v>
      </c>
      <c r="C61" s="24" t="e">
        <f ca="1">IF(项目基本情况!B11="自然人","——",IF(D61="按租金收入计税",ROUND(C48*F61,2),IF(D61="按房产原值计税",ROUND(C57*F61*0.7,2),INDIRECT("'数据-取费表'!Aj"&amp;$G$1))))</f>
        <v>#N/A</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16.5"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5"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5"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5" thickBot="1">
      <c r="A70" s="1172"/>
      <c r="B70" s="1173"/>
      <c r="C70" s="355"/>
      <c r="D70" s="1184"/>
      <c r="E70" s="1168" t="s">
        <v>1472</v>
      </c>
      <c r="F70" s="1274"/>
      <c r="O70" s="1893" t="s">
        <v>1046</v>
      </c>
      <c r="P70" s="1932" t="s">
        <v>1580</v>
      </c>
      <c r="Q70" s="1885" t="e">
        <f ca="1">C13</f>
        <v>#N/A</v>
      </c>
      <c r="R70" s="1885" t="s">
        <v>1524</v>
      </c>
    </row>
    <row r="71" spans="1:18" s="1841" customFormat="1" ht="13.5"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19" sqref="I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85823</v>
      </c>
      <c r="C2" s="1844" t="s">
        <v>1511</v>
      </c>
      <c r="D2" s="1844"/>
      <c r="E2" s="1845"/>
      <c r="F2" s="1846"/>
      <c r="G2" s="1847"/>
      <c r="H2" s="1839"/>
      <c r="I2" s="1839"/>
      <c r="J2" s="1839"/>
      <c r="K2" s="1840"/>
      <c r="L2" s="1839"/>
      <c r="M2" s="1839"/>
    </row>
    <row r="3" spans="1:37" ht="18" customHeight="1" thickBot="1">
      <c r="A3" s="1848" t="s">
        <v>1512</v>
      </c>
      <c r="B3" s="1849">
        <f ca="1">IF(ISERROR(B2*10000/F43),0,ROUND(B2*10000/F43,0))</f>
        <v>38001</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4708</v>
      </c>
      <c r="D5" s="1821" t="s">
        <v>1397</v>
      </c>
      <c r="E5" s="1292"/>
      <c r="F5" s="1293"/>
      <c r="G5" s="1850"/>
      <c r="H5" s="344">
        <v>1</v>
      </c>
      <c r="I5" s="345" t="s">
        <v>1396</v>
      </c>
      <c r="J5" s="1291">
        <f ca="1">J6+J10+J12</f>
        <v>4462</v>
      </c>
      <c r="K5" s="1821" t="s">
        <v>1397</v>
      </c>
      <c r="L5" s="1292"/>
      <c r="M5" s="1293"/>
    </row>
    <row r="6" spans="1:37" ht="18" customHeight="1">
      <c r="A6" s="1290" t="s">
        <v>1032</v>
      </c>
      <c r="B6" s="3110" t="s">
        <v>1398</v>
      </c>
      <c r="C6" s="1295">
        <f ca="1">ROUND(F6*F8*F7*(1-F9)/10000,0)</f>
        <v>4702</v>
      </c>
      <c r="D6" s="164" t="s">
        <v>3021</v>
      </c>
      <c r="E6" s="347" t="s">
        <v>1400</v>
      </c>
      <c r="F6" s="348">
        <f ca="1">INDIRECT("'数据-取费表'!u"&amp;$G$1)</f>
        <v>5.7042999999999999</v>
      </c>
      <c r="G6" s="1850"/>
      <c r="H6" s="1290" t="s">
        <v>1032</v>
      </c>
      <c r="I6" s="3110" t="s">
        <v>1398</v>
      </c>
      <c r="J6" s="346">
        <f ca="1">ROUND(M6*M8*M7*(1-M9)/10000,0)</f>
        <v>4451</v>
      </c>
      <c r="K6" s="164" t="s">
        <v>3020</v>
      </c>
      <c r="L6" s="347" t="s">
        <v>1400</v>
      </c>
      <c r="M6" s="348">
        <f ca="1">INDIRECT("'数据-取费表'!z"&amp;$G$1)</f>
        <v>6</v>
      </c>
    </row>
    <row r="7" spans="1:37" ht="18" customHeight="1">
      <c r="A7" s="1294"/>
      <c r="B7" s="3111"/>
      <c r="C7" s="1296"/>
      <c r="D7" s="352"/>
      <c r="E7" s="2970" t="s">
        <v>1401</v>
      </c>
      <c r="F7" s="348">
        <f ca="1">IF(INDIRECT("'数据-取费表'!ah"&amp;$G$1)="",INDIRECT("'数据-取费表'!k"&amp;$G$1),INDIRECT("'数据-取费表'!ah"&amp;$G$1))</f>
        <v>22584.659999999996</v>
      </c>
      <c r="G7" s="1850"/>
      <c r="H7" s="349"/>
      <c r="I7" s="3111"/>
      <c r="J7" s="351"/>
      <c r="K7" s="352"/>
      <c r="L7" s="347" t="s">
        <v>1401</v>
      </c>
      <c r="M7" s="348">
        <f ca="1">F7</f>
        <v>22584.659999999996</v>
      </c>
    </row>
    <row r="8" spans="1:37" ht="18" customHeight="1">
      <c r="A8" s="349"/>
      <c r="B8" s="3111"/>
      <c r="C8" s="351"/>
      <c r="D8" s="352"/>
      <c r="E8" s="347" t="s">
        <v>1402</v>
      </c>
      <c r="F8" s="348">
        <f ca="1">INDIRECT("'数据-取费表'!ai"&amp;$G$1)</f>
        <v>365</v>
      </c>
      <c r="G8" s="1850"/>
      <c r="H8" s="349"/>
      <c r="I8" s="3111"/>
      <c r="J8" s="351"/>
      <c r="K8" s="352"/>
      <c r="L8" s="347" t="s">
        <v>1402</v>
      </c>
      <c r="M8" s="348">
        <f ca="1">INDIRECT("'数据-取费表'!ai"&amp;$G$1)</f>
        <v>365</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0.1</v>
      </c>
    </row>
    <row r="10" spans="1:37" ht="18" customHeight="1">
      <c r="A10" s="1290" t="s">
        <v>1036</v>
      </c>
      <c r="B10" s="1822" t="s">
        <v>1404</v>
      </c>
      <c r="C10" s="361">
        <f ca="1">ROUND(IF(F10="押一",C6/12*F11,IF(F10="押二",C6/12*2*F11,IF(F10="押三",C6/12*3*F11,C11*F11))),0)</f>
        <v>6</v>
      </c>
      <c r="D10" s="1823" t="s">
        <v>3029</v>
      </c>
      <c r="E10" s="358" t="s">
        <v>1405</v>
      </c>
      <c r="F10" s="1365" t="s">
        <v>3076</v>
      </c>
      <c r="G10" s="1850"/>
      <c r="H10" s="1290" t="s">
        <v>1036</v>
      </c>
      <c r="I10" s="1822" t="s">
        <v>1404</v>
      </c>
      <c r="J10" s="346">
        <f ca="1">ROUND(IF(M10="押一",J6/12*M11,IF(M10="押二",J6/12*2*M11,IF(M10="押三",J6/12*3*M11,J11*M11))),0)</f>
        <v>11</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9237</v>
      </c>
      <c r="D13" s="1330" t="s">
        <v>1410</v>
      </c>
      <c r="E13" s="1330" t="s">
        <v>1411</v>
      </c>
      <c r="F13" s="1331">
        <f ca="1">INDIRECT("'数据-取费表'!y"&amp;$G$1)</f>
        <v>0.83</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2958" t="s">
        <v>1413</v>
      </c>
      <c r="E14" s="2953"/>
      <c r="F14" s="364"/>
      <c r="G14" s="1850"/>
      <c r="H14" s="1200" t="s">
        <v>1032</v>
      </c>
      <c r="I14" s="347" t="s">
        <v>1414</v>
      </c>
      <c r="J14" s="24">
        <f ca="1">C29</f>
        <v>11129</v>
      </c>
      <c r="K14" s="2969"/>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563</v>
      </c>
      <c r="K16" s="1336" t="s">
        <v>1420</v>
      </c>
      <c r="L16" s="2960"/>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338.9</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237.39</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2967"/>
      <c r="F19" s="26"/>
      <c r="G19" s="1850"/>
      <c r="H19" s="1200" t="s">
        <v>1033</v>
      </c>
      <c r="I19" s="347" t="s">
        <v>1432</v>
      </c>
      <c r="J19" s="24">
        <f ca="1">IF(K19="按租金收入计税",ROUND(J6*M19/(1+'数据-取费表'!C42),2),ROUND(C29*M19*0.7,2))</f>
        <v>93.48</v>
      </c>
      <c r="K19" s="1827" t="s">
        <v>1433</v>
      </c>
      <c r="L19" s="347" t="s">
        <v>1417</v>
      </c>
      <c r="M19" s="367">
        <f>IF(K19="按租金收入计税",'数据-取费表'!B51,'数据-取费表'!B50)</f>
        <v>1.2E-2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f ca="1">ROUND(J14*M22,1)</f>
        <v>166.9</v>
      </c>
      <c r="K22" s="2956" t="s">
        <v>1445</v>
      </c>
      <c r="L22" s="347" t="s">
        <v>1417</v>
      </c>
      <c r="M22" s="374">
        <f ca="1">INDIRECT("'数据-取费表'!Ak"&amp;$G$1)</f>
        <v>1.4999999999999999E-2</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2956"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f ca="1">ROUND(J5*M24,1)</f>
        <v>44.6</v>
      </c>
      <c r="K24" s="1341" t="s">
        <v>1454</v>
      </c>
      <c r="L24" s="1339" t="s">
        <v>1417</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f ca="1">J5-J16</f>
        <v>3899</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87382</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79694</v>
      </c>
      <c r="K29" s="383" t="s">
        <v>1475</v>
      </c>
      <c r="L29" s="384"/>
      <c r="M29" s="385">
        <f ca="1">INDIRECT("'数据-取费表'!k"&amp;$G$1)</f>
        <v>22584.659999999996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1024</v>
      </c>
      <c r="D30" s="1336" t="s">
        <v>1420</v>
      </c>
      <c r="E30" s="2960"/>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166.9</v>
      </c>
      <c r="D36" s="2956" t="s">
        <v>1477</v>
      </c>
      <c r="E36" s="347" t="s">
        <v>1417</v>
      </c>
      <c r="F36" s="374">
        <f ca="1">INDIRECT("'数据-取费表'!Ak"&amp;$G$1)</f>
        <v>1.4999999999999999E-2</v>
      </c>
      <c r="G36" s="1850"/>
      <c r="H36" s="1858"/>
      <c r="I36" s="1859"/>
      <c r="J36" s="1860"/>
      <c r="K36" s="750"/>
      <c r="L36" s="1858"/>
      <c r="M36" s="1858"/>
    </row>
    <row r="37" spans="1:18" ht="18" customHeight="1">
      <c r="A37" s="1200" t="s">
        <v>1072</v>
      </c>
      <c r="B37" s="347" t="s">
        <v>1448</v>
      </c>
      <c r="C37" s="24">
        <f ca="1">ROUND(C13*F37,1)</f>
        <v>13.9</v>
      </c>
      <c r="D37" s="2956" t="s">
        <v>1449</v>
      </c>
      <c r="E37" s="347" t="s">
        <v>1417</v>
      </c>
      <c r="F37" s="376">
        <f ca="1">INDIRECT("'数据-取费表'!Al"&amp;$G$1)</f>
        <v>1.5E-3</v>
      </c>
      <c r="G37" s="1850"/>
      <c r="H37" s="1858"/>
      <c r="I37" s="1859"/>
      <c r="J37" s="1860"/>
      <c r="K37" s="750"/>
      <c r="L37" s="1858"/>
      <c r="M37" s="1858"/>
    </row>
    <row r="38" spans="1:18" ht="18" customHeight="1" thickBot="1">
      <c r="A38" s="1338" t="s">
        <v>1387</v>
      </c>
      <c r="B38" s="1339" t="s">
        <v>1434</v>
      </c>
      <c r="C38" s="1340">
        <f ca="1">ROUND(C5*F38,1)</f>
        <v>47.1</v>
      </c>
      <c r="D38" s="1341" t="s">
        <v>1454</v>
      </c>
      <c r="E38" s="1339" t="s">
        <v>1417</v>
      </c>
      <c r="F38" s="1335">
        <f ca="1">INDIRECT("'数据-取费表'!Am"&amp;$G$1)</f>
        <v>0.01</v>
      </c>
      <c r="G38" s="1850"/>
      <c r="H38" s="1858"/>
      <c r="I38" s="1859"/>
      <c r="J38" s="1860"/>
      <c r="K38" s="1864"/>
      <c r="L38" s="1858"/>
      <c r="M38" s="1858"/>
    </row>
    <row r="39" spans="1:18" ht="24.6" customHeight="1" thickTop="1">
      <c r="A39" s="1328" t="s">
        <v>1028</v>
      </c>
      <c r="B39" s="1343" t="s">
        <v>1458</v>
      </c>
      <c r="C39" s="355">
        <f ca="1">C5-C30</f>
        <v>3684</v>
      </c>
      <c r="D39" s="1344" t="s">
        <v>1459</v>
      </c>
      <c r="E39" s="1345"/>
      <c r="F39" s="1346"/>
      <c r="G39" s="1850"/>
      <c r="H39" s="1858"/>
      <c r="I39" s="1859"/>
      <c r="J39" s="1860"/>
      <c r="K39" s="1864"/>
      <c r="L39" s="1858"/>
      <c r="M39" s="1858"/>
    </row>
    <row r="40" spans="1:18" ht="18" customHeight="1">
      <c r="A40" s="344" t="s">
        <v>1029</v>
      </c>
      <c r="B40" s="345" t="s">
        <v>1480</v>
      </c>
      <c r="C40" s="346">
        <f ca="1">ROUND(C39*(1-((1+F42)/(1+F40))^F41)/(F40-F42),0)</f>
        <v>5893</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2609</v>
      </c>
      <c r="D43" s="383" t="s">
        <v>1483</v>
      </c>
      <c r="E43" s="384" t="s">
        <v>1484</v>
      </c>
      <c r="F43" s="385">
        <f ca="1">INDIRECT("'数据-取费表'!k"&amp;$G$1)</f>
        <v>22584.659999999996</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-7691</v>
      </c>
      <c r="D46" s="1871" t="str">
        <f>C2</f>
        <v>万元</v>
      </c>
      <c r="E46" s="1865"/>
      <c r="F46" s="1865"/>
      <c r="I46" s="1872" t="s">
        <v>1516</v>
      </c>
      <c r="J46" s="1873"/>
      <c r="K46" s="1874"/>
      <c r="L46" s="1875">
        <f ca="1">IF(M47="住宅",0,IF(L48&gt;J51,L60,J60))</f>
        <v>236</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3078</v>
      </c>
      <c r="K47" s="1881" t="s">
        <v>1522</v>
      </c>
      <c r="L47" s="1882">
        <f ca="1">INDIRECT("'数据-取费表'!d"&amp;$G$1)</f>
        <v>50</v>
      </c>
      <c r="M47" s="1837" t="str">
        <f>IF(ISNUMBER(FIND("住宅",C1)),"住宅","非住宅")</f>
        <v>非住宅</v>
      </c>
      <c r="O47" s="1883" t="s">
        <v>1037</v>
      </c>
      <c r="P47" s="1884" t="s">
        <v>1523</v>
      </c>
      <c r="Q47" s="1885">
        <f ca="1">C40+J29</f>
        <v>85587</v>
      </c>
      <c r="R47" s="1885" t="s">
        <v>1524</v>
      </c>
    </row>
    <row r="48" spans="1:18" s="1841" customFormat="1" ht="28.5" thickBot="1">
      <c r="A48" s="1359" t="s">
        <v>1132</v>
      </c>
      <c r="B48" s="345" t="s">
        <v>1396</v>
      </c>
      <c r="C48" s="2966">
        <f ca="1">C49+C53+C55</f>
        <v>0</v>
      </c>
      <c r="D48" s="1361"/>
      <c r="E48" s="1362"/>
      <c r="F48" s="1180"/>
      <c r="G48" s="791"/>
      <c r="H48" s="792"/>
      <c r="I48" s="1886" t="s">
        <v>1525</v>
      </c>
      <c r="J48" s="1887" t="s">
        <v>3079</v>
      </c>
      <c r="K48" s="1888" t="s">
        <v>1526</v>
      </c>
      <c r="L48" s="1889">
        <f ca="1">INDIRECT("'数据-取费表'!f"&amp;$G$1)</f>
        <v>35.979999999999997</v>
      </c>
      <c r="O48" s="1883" t="s">
        <v>1038</v>
      </c>
      <c r="P48" s="1884" t="s">
        <v>1527</v>
      </c>
      <c r="Q48" s="1885">
        <f ca="1">J60</f>
        <v>236</v>
      </c>
      <c r="R48" s="1885" t="s">
        <v>1528</v>
      </c>
    </row>
    <row r="49" spans="1:18" s="1841" customFormat="1" ht="13.5" thickBot="1">
      <c r="A49" s="1193" t="s">
        <v>1133</v>
      </c>
      <c r="B49" s="1828" t="s">
        <v>1485</v>
      </c>
      <c r="C49" s="1363">
        <f ca="1">ROUND(F49*F51*F50*(1-F52)/10000,0)</f>
        <v>0</v>
      </c>
      <c r="D49" s="1275" t="s">
        <v>3020</v>
      </c>
      <c r="E49" s="1829" t="s">
        <v>1486</v>
      </c>
      <c r="F49" s="1280"/>
      <c r="G49" s="1890"/>
      <c r="H49" s="792"/>
      <c r="I49" s="1886" t="s">
        <v>1529</v>
      </c>
      <c r="J49" s="1891">
        <v>2005</v>
      </c>
      <c r="K49" s="1888" t="s">
        <v>1530</v>
      </c>
      <c r="L49" s="1892"/>
      <c r="O49" s="1893" t="s">
        <v>1039</v>
      </c>
      <c r="P49" s="1884" t="s">
        <v>1531</v>
      </c>
      <c r="Q49" s="1885">
        <f ca="1">C29</f>
        <v>11129</v>
      </c>
      <c r="R49" s="1885" t="s">
        <v>1524</v>
      </c>
    </row>
    <row r="50" spans="1:18" s="1841" customFormat="1" ht="13.5" thickBot="1">
      <c r="A50" s="1194"/>
      <c r="B50" s="1197"/>
      <c r="C50" s="1367"/>
      <c r="D50" s="1171"/>
      <c r="E50" s="1276" t="s">
        <v>1401</v>
      </c>
      <c r="F50" s="1277">
        <f ca="1">F7</f>
        <v>22584.659999999996</v>
      </c>
      <c r="H50" s="792"/>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5"/>
      <c r="B51" s="1197"/>
      <c r="C51" s="1198"/>
      <c r="D51" s="1171"/>
      <c r="E51" s="1199" t="s">
        <v>1402</v>
      </c>
      <c r="F51" s="348">
        <f ca="1">F8</f>
        <v>365</v>
      </c>
      <c r="I51" s="1897" t="s">
        <v>1535</v>
      </c>
      <c r="J51" s="1898">
        <f>IF(J49="",J50,J49+J50-YEAR('数据-取费表'!B2))</f>
        <v>46</v>
      </c>
      <c r="K51" s="1899" t="s">
        <v>1536</v>
      </c>
      <c r="L51" s="1900">
        <f ca="1">ROUND(-PV(INDIRECT("'数据-取费表'!h"&amp;$G$1),L48,(C39-C13*C76),0),0)</f>
        <v>46750</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35.979999999999997</v>
      </c>
      <c r="R52" s="1885" t="s">
        <v>1541</v>
      </c>
    </row>
    <row r="53" spans="1:18" s="1841" customFormat="1" ht="24.75" thickBot="1">
      <c r="A53" s="1404" t="s">
        <v>1134</v>
      </c>
      <c r="B53" s="1830" t="s">
        <v>1404</v>
      </c>
      <c r="C53" s="361">
        <f ca="1">ROUND(IF(F53="押一",C49/12*F11,IF(F53="押二",C49/12*2*F11,IF(F53="押三",C49/12*3*F11,C54*F11))),0)</f>
        <v>0</v>
      </c>
      <c r="D53" s="1823" t="s">
        <v>3029</v>
      </c>
      <c r="E53" s="358" t="s">
        <v>1405</v>
      </c>
      <c r="F53" s="1365"/>
      <c r="I53" s="1904" t="s">
        <v>1542</v>
      </c>
      <c r="J53" s="2947">
        <f ca="1">IF(M47="住宅",IF(D1="——",MAX(J51,L48),MAX(J51,L48-'数据-取费表'!B24)),IF(D1="——",MIN(J51,L48),MIN(J51,L48-'数据-取费表'!B24)))</f>
        <v>35.979999999999997</v>
      </c>
      <c r="K53" s="3113" t="s">
        <v>1543</v>
      </c>
      <c r="L53" s="3114"/>
      <c r="O53" s="1883" t="s">
        <v>1043</v>
      </c>
      <c r="P53" s="1884" t="s">
        <v>1544</v>
      </c>
      <c r="Q53" s="1885">
        <f ca="1">Q47+Q48</f>
        <v>85823</v>
      </c>
      <c r="R53" s="1885" t="s">
        <v>1044</v>
      </c>
    </row>
    <row r="54" spans="1:18" s="1841" customFormat="1" ht="13.5" thickBot="1">
      <c r="A54" s="1405"/>
      <c r="B54" s="1824" t="s">
        <v>1383</v>
      </c>
      <c r="C54" s="1177"/>
      <c r="D54" s="1823"/>
      <c r="E54" s="296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2962"/>
      <c r="F55" s="1905"/>
      <c r="I55" s="1908" t="s">
        <v>1546</v>
      </c>
      <c r="J55" s="1909">
        <f ca="1">ROUND(IF(J47="钢混",J57/J50,1-(1-2%)*(J50-J57)/J50),3)</f>
        <v>0.16700000000000001</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9237</v>
      </c>
      <c r="D56" s="1912"/>
      <c r="E56" s="1913"/>
      <c r="F56" s="1905"/>
      <c r="I56" s="1914" t="s">
        <v>1549</v>
      </c>
      <c r="J56" s="1915" t="s">
        <v>3058</v>
      </c>
      <c r="K56" s="1886" t="s">
        <v>1550</v>
      </c>
      <c r="L56" s="1889" t="str">
        <f ca="1">IF(L48&lt;J51,"——",L48-J53)</f>
        <v>——</v>
      </c>
      <c r="O56" s="1883" t="s">
        <v>1037</v>
      </c>
      <c r="P56" s="1884" t="s">
        <v>1523</v>
      </c>
      <c r="Q56" s="1885">
        <f ca="1">C40+J29</f>
        <v>85587</v>
      </c>
      <c r="R56" s="1885" t="s">
        <v>1524</v>
      </c>
    </row>
    <row r="57" spans="1:18" s="1841" customFormat="1" ht="24.75" thickBot="1">
      <c r="A57" s="1916"/>
      <c r="B57" s="1168" t="s">
        <v>1473</v>
      </c>
      <c r="C57" s="282">
        <f ca="1">C29</f>
        <v>11129</v>
      </c>
      <c r="D57" s="1917"/>
      <c r="E57" s="1918"/>
      <c r="F57" s="1919"/>
      <c r="I57" s="1920" t="s">
        <v>1551</v>
      </c>
      <c r="J57" s="1921">
        <f ca="1">IF(OR(M47="住宅",J51&lt;L48,J56="是"),"——",J51-L48)</f>
        <v>10.020000000000003</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1124</v>
      </c>
      <c r="D58" s="1178" t="s">
        <v>1420</v>
      </c>
      <c r="E58" s="1179"/>
      <c r="F58" s="1180"/>
      <c r="I58" s="1920" t="s">
        <v>1555</v>
      </c>
      <c r="J58" s="1922">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942.9</v>
      </c>
      <c r="D59" s="1181" t="s">
        <v>1425</v>
      </c>
      <c r="E59" s="1182" t="s">
        <v>1426</v>
      </c>
      <c r="F59" s="368" t="str">
        <f ca="1">IF(项目基本情况!B11="企业","",IF(INDIRECT("'数据-取费表'!c"&amp;$G$1)="住宅",5%,IF(F49*F50*F51/12/(1+'数据-取费表'!C42)&gt;20000,12%,7%)))</f>
        <v/>
      </c>
      <c r="I59" s="1920" t="s">
        <v>1558</v>
      </c>
      <c r="J59" s="1921">
        <f ca="1">IF(OR(M47="住宅",J51&lt;L48,J56="是"),"——",ROUND(C29*J58,0))</f>
        <v>4452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f ca="1">IF(OR(M47="住宅",J51&lt;L48,J56="是"),"0",ROUND(J59/(1+J52)^J53,0))</f>
        <v>236</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1432</v>
      </c>
      <c r="C61" s="24">
        <f ca="1">IF(项目基本情况!B11="自然人","——",IF(D61="按租金收入计税",ROUND(C48*F61,2),IF(D61="按房产原值计税",ROUND(C57*F61*0.7,2),INDIRECT("'数据-取费表'!Aj"&amp;$G$1))))</f>
        <v>934.84</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1436</v>
      </c>
      <c r="C62" s="25">
        <f ca="1">IF(项目基本情况!B11="自然人","——",ROUND(F62*F63/10000,2))</f>
        <v>8.0500000000000007</v>
      </c>
      <c r="D62" s="1183" t="s">
        <v>1437</v>
      </c>
      <c r="E62" s="1168" t="s">
        <v>1438</v>
      </c>
      <c r="F62" s="371">
        <f t="shared" si="0"/>
        <v>3</v>
      </c>
      <c r="I62" s="1927" t="s">
        <v>1565</v>
      </c>
      <c r="J62" s="1928" t="s">
        <v>1566</v>
      </c>
      <c r="K62" s="1928" t="s">
        <v>1567</v>
      </c>
      <c r="L62" s="1928" t="s">
        <v>1568</v>
      </c>
      <c r="M62" s="1929" t="s">
        <v>1569</v>
      </c>
      <c r="O62" s="1883" t="s">
        <v>1043</v>
      </c>
      <c r="P62" s="1884" t="s">
        <v>1544</v>
      </c>
      <c r="Q62" s="1885">
        <f ca="1">Q56+Q57</f>
        <v>85587</v>
      </c>
      <c r="R62" s="1885" t="s">
        <v>1044</v>
      </c>
    </row>
    <row r="63" spans="1:18" s="1841" customFormat="1" ht="13.5" thickBot="1">
      <c r="A63" s="372"/>
      <c r="B63" s="1174"/>
      <c r="C63" s="29"/>
      <c r="D63" s="1184"/>
      <c r="E63" s="1168" t="s">
        <v>1442</v>
      </c>
      <c r="F63" s="348">
        <f t="shared" ca="1" si="0"/>
        <v>26823.14</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f ca="1">ROUND(C57*F64,1)</f>
        <v>166.9</v>
      </c>
      <c r="D64" s="1182" t="s">
        <v>1477</v>
      </c>
      <c r="E64" s="1168" t="s">
        <v>1417</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13.9</v>
      </c>
      <c r="D65" s="1182" t="s">
        <v>1449</v>
      </c>
      <c r="E65" s="1168" t="s">
        <v>1417</v>
      </c>
      <c r="F65" s="376">
        <f t="shared" ca="1" si="0"/>
        <v>1.5E-3</v>
      </c>
      <c r="I65" s="1927" t="s">
        <v>1574</v>
      </c>
      <c r="J65" s="1928">
        <v>40</v>
      </c>
      <c r="K65" s="1928">
        <v>30</v>
      </c>
      <c r="L65" s="1928">
        <v>50</v>
      </c>
      <c r="M65" s="1930">
        <v>0.02</v>
      </c>
      <c r="O65" s="1883" t="s">
        <v>1037</v>
      </c>
      <c r="P65" s="1884" t="s">
        <v>1523</v>
      </c>
      <c r="Q65" s="1885">
        <f ca="1">C40+J29</f>
        <v>85587</v>
      </c>
      <c r="R65" s="1885" t="s">
        <v>1524</v>
      </c>
    </row>
    <row r="66" spans="1:18" s="1841" customFormat="1" ht="16.5" thickBot="1">
      <c r="A66" s="1200" t="s">
        <v>1499</v>
      </c>
      <c r="B66" s="1168" t="s">
        <v>1434</v>
      </c>
      <c r="C66" s="24">
        <f ca="1">ROUND(C48*F66,1)</f>
        <v>0</v>
      </c>
      <c r="D66" s="1182" t="s">
        <v>1454</v>
      </c>
      <c r="E66" s="1168" t="s">
        <v>1417</v>
      </c>
      <c r="F66" s="357">
        <f t="shared" ca="1" si="0"/>
        <v>0.01</v>
      </c>
      <c r="O66" s="1883" t="s">
        <v>1038</v>
      </c>
      <c r="P66" s="1884" t="s">
        <v>1553</v>
      </c>
      <c r="Q66" s="1885">
        <f ca="1">L60</f>
        <v>0</v>
      </c>
      <c r="R66" s="1885" t="s">
        <v>1576</v>
      </c>
    </row>
    <row r="67" spans="1:18" s="1841" customFormat="1" ht="16.5" thickBot="1">
      <c r="A67" s="1175" t="s">
        <v>1028</v>
      </c>
      <c r="B67" s="1185" t="s">
        <v>1458</v>
      </c>
      <c r="C67" s="361">
        <f ca="1">C48-C58</f>
        <v>-1124</v>
      </c>
      <c r="D67" s="1181" t="s">
        <v>1459</v>
      </c>
      <c r="E67" s="1186"/>
      <c r="F67" s="1187"/>
      <c r="O67" s="1893" t="s">
        <v>1039</v>
      </c>
      <c r="P67" s="1884" t="s">
        <v>1557</v>
      </c>
      <c r="Q67" s="1931">
        <f ca="1">L51</f>
        <v>46750</v>
      </c>
      <c r="R67" s="1885" t="s">
        <v>1577</v>
      </c>
    </row>
    <row r="68" spans="1:18" s="1841" customFormat="1" ht="16.5" thickBot="1">
      <c r="A68" s="1165" t="s">
        <v>1029</v>
      </c>
      <c r="B68" s="1166" t="s">
        <v>1480</v>
      </c>
      <c r="C68" s="346">
        <f ca="1">ROUND(C67*(1-((1+F70)/(1+F68))^F69)/(F68-F70),0)</f>
        <v>-1798</v>
      </c>
      <c r="D68" s="1183" t="s">
        <v>1464</v>
      </c>
      <c r="E68" s="1168" t="s">
        <v>1465</v>
      </c>
      <c r="F68" s="357">
        <f ca="1">F40</f>
        <v>5.5E-2</v>
      </c>
      <c r="O68" s="1893" t="s">
        <v>1040</v>
      </c>
      <c r="P68" s="1932" t="s">
        <v>1578</v>
      </c>
      <c r="Q68" s="1885">
        <f ca="1">ROUND(Q69-Q70*Q71,0)</f>
        <v>2899</v>
      </c>
      <c r="R68" s="1885" t="s">
        <v>1048</v>
      </c>
    </row>
    <row r="69" spans="1:18" s="1841" customFormat="1" ht="13.5" thickBot="1">
      <c r="A69" s="1169"/>
      <c r="B69" s="1170"/>
      <c r="C69" s="351"/>
      <c r="D69" s="1188" t="s">
        <v>1468</v>
      </c>
      <c r="E69" s="1168" t="s">
        <v>1469</v>
      </c>
      <c r="F69" s="379">
        <f ca="1">F41</f>
        <v>1.72</v>
      </c>
      <c r="O69" s="1893" t="s">
        <v>1045</v>
      </c>
      <c r="P69" s="1932" t="s">
        <v>1579</v>
      </c>
      <c r="Q69" s="1885">
        <f ca="1">C39</f>
        <v>3684</v>
      </c>
      <c r="R69" s="1885" t="s">
        <v>1524</v>
      </c>
    </row>
    <row r="70" spans="1:18" s="1841" customFormat="1" ht="13.5" thickBot="1">
      <c r="A70" s="1172"/>
      <c r="B70" s="1173"/>
      <c r="C70" s="355"/>
      <c r="D70" s="1184"/>
      <c r="E70" s="1168" t="s">
        <v>1472</v>
      </c>
      <c r="F70" s="1274"/>
      <c r="O70" s="1893" t="s">
        <v>1046</v>
      </c>
      <c r="P70" s="1932" t="s">
        <v>1580</v>
      </c>
      <c r="Q70" s="1885">
        <f ca="1">C13</f>
        <v>9237</v>
      </c>
      <c r="R70" s="1885" t="s">
        <v>1524</v>
      </c>
    </row>
    <row r="71" spans="1:18" s="1841" customFormat="1" ht="13.5" thickBot="1">
      <c r="A71" s="1189" t="s">
        <v>1030</v>
      </c>
      <c r="B71" s="1190" t="s">
        <v>1482</v>
      </c>
      <c r="C71" s="382">
        <f ca="1">ROUND(C68*10000/F71,0)</f>
        <v>-796</v>
      </c>
      <c r="D71" s="1191" t="s">
        <v>1483</v>
      </c>
      <c r="E71" s="1192" t="s">
        <v>1484</v>
      </c>
      <c r="F71" s="385">
        <f ca="1">F43</f>
        <v>22584.659999999996</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785</v>
      </c>
      <c r="D75" s="1841"/>
      <c r="E75" s="1841"/>
      <c r="F75" s="1841"/>
      <c r="K75" s="1867"/>
      <c r="L75" s="1841"/>
      <c r="O75" s="1883" t="s">
        <v>1043</v>
      </c>
      <c r="P75" s="1884" t="s">
        <v>1544</v>
      </c>
      <c r="Q75" s="1885">
        <f ca="1">Q65+Q66</f>
        <v>85587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0.78700000000000003</v>
      </c>
    </row>
    <row r="80" spans="1:18">
      <c r="B80" s="386" t="s">
        <v>1506</v>
      </c>
      <c r="C80" s="318">
        <f ca="1">ROUND(C75/C39,3)</f>
        <v>0.21299999999999999</v>
      </c>
    </row>
    <row r="81" spans="2:3">
      <c r="B81" s="314" t="s">
        <v>1507</v>
      </c>
      <c r="C81" s="282"/>
    </row>
    <row r="82" spans="2:3">
      <c r="B82" s="317" t="s">
        <v>1508</v>
      </c>
      <c r="C82" s="319">
        <f ca="1">1-C83</f>
        <v>-0.56699999999999995</v>
      </c>
    </row>
    <row r="83" spans="2:3">
      <c r="B83" s="317" t="s">
        <v>1509</v>
      </c>
      <c r="C83" s="318">
        <f ca="1">ROUND(C13/C40,3)</f>
        <v>1.5669999999999999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3" sqref="F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3071</v>
      </c>
      <c r="C1" s="242"/>
      <c r="D1" s="242"/>
      <c r="E1" s="242"/>
      <c r="F1" s="242"/>
      <c r="G1" s="1378" t="e">
        <f>MATCH(B1,'数据-取费表'!A6:A16,0)+5</f>
        <v>#N/A</v>
      </c>
    </row>
    <row r="2" spans="1:9" s="244" customFormat="1" ht="18" customHeight="1">
      <c r="A2" s="245" t="s">
        <v>2318</v>
      </c>
      <c r="B2" s="246" t="e">
        <f ca="1">IF(D2="——",C52,C52-E2)</f>
        <v>#N/A</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t="e">
        <f ca="1">ROUND(B2*10000/(IF(B1="",'数据-汇总表'!E3,INDIRECT("'数据-取费表'!k"&amp;$G$1))),0)</f>
        <v>#N/A</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t="e">
        <f ca="1">C6+C7+C8</f>
        <v>#N/A</v>
      </c>
      <c r="D5" s="255" t="s">
        <v>2325</v>
      </c>
      <c r="E5" s="256" t="s">
        <v>2326</v>
      </c>
      <c r="F5" s="256" t="s">
        <v>2327</v>
      </c>
      <c r="G5" s="257"/>
    </row>
    <row r="6" spans="1:9" s="258" customFormat="1" ht="13.5" customHeight="1">
      <c r="A6" s="948" t="s">
        <v>2328</v>
      </c>
      <c r="B6" s="259" t="s">
        <v>2329</v>
      </c>
      <c r="C6" s="260">
        <f ca="1">基准地价修正!B2</f>
        <v>0</v>
      </c>
      <c r="D6" s="261"/>
      <c r="E6" s="262"/>
      <c r="F6" s="262"/>
      <c r="G6" s="263"/>
    </row>
    <row r="7" spans="1:9" s="258" customFormat="1" ht="13.5" customHeight="1">
      <c r="A7" s="948" t="s">
        <v>2330</v>
      </c>
      <c r="B7" s="259" t="s">
        <v>2331</v>
      </c>
      <c r="C7" s="264">
        <f ca="1">ROUND(C6*F7,0)</f>
        <v>0</v>
      </c>
      <c r="D7" s="264"/>
      <c r="E7" s="262"/>
      <c r="F7" s="265">
        <f>IF(项目基本情况!B8="出让",0,'数据-取费表'!B48+'数据-取费表'!B49)</f>
        <v>3.0499999999999999E-2</v>
      </c>
      <c r="G7" s="263"/>
    </row>
    <row r="8" spans="1:9" s="267" customFormat="1">
      <c r="A8" s="948" t="s">
        <v>2332</v>
      </c>
      <c r="B8" s="259" t="s">
        <v>2333</v>
      </c>
      <c r="C8" s="264" t="e">
        <f ca="1">IF(G8="已包含在土地购买价格中","0",IF(B1="",'数据-取费表'!B29,IF(G9="全部缴纳",C9+C10,H9)))</f>
        <v>#N/A</v>
      </c>
      <c r="D8" s="266"/>
      <c r="E8" s="264"/>
      <c r="F8" s="265"/>
      <c r="G8" s="2547" t="s">
        <v>3134</v>
      </c>
    </row>
    <row r="9" spans="1:9" s="258" customFormat="1" ht="13.5" customHeight="1">
      <c r="A9" s="949" t="s">
        <v>800</v>
      </c>
      <c r="B9" s="268" t="s">
        <v>2334</v>
      </c>
      <c r="C9" s="269" t="e">
        <f ca="1">ROUND(D9*E9/10000,0)</f>
        <v>#N/A</v>
      </c>
      <c r="D9" s="1031" t="e">
        <f ca="1">IF(B1="",'数据-汇总表'!E5,IF(INDIRECT("'数据-取费表'!c"&amp;$G$1)="住宅",INDIRECT("'数据-取费表'!k"&amp;$G$1),0))</f>
        <v>#N/A</v>
      </c>
      <c r="E9" s="269">
        <f>'数据-取费表'!B27</f>
        <v>160</v>
      </c>
      <c r="F9" s="265"/>
      <c r="G9" s="2548" t="s">
        <v>3139</v>
      </c>
      <c r="H9" s="1389"/>
      <c r="I9" s="2549" t="s">
        <v>2335</v>
      </c>
    </row>
    <row r="10" spans="1:9" s="258" customFormat="1" ht="13.5" customHeight="1">
      <c r="A10" s="949" t="s">
        <v>801</v>
      </c>
      <c r="B10" s="268" t="s">
        <v>2336</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t="e">
        <f ca="1">D9+D10</f>
        <v>#N/A</v>
      </c>
      <c r="E19" s="255">
        <f>'数据-取费表'!B31</f>
        <v>200</v>
      </c>
      <c r="F19" s="275"/>
      <c r="G19" s="2547" t="s">
        <v>3135</v>
      </c>
    </row>
    <row r="20" spans="1:7" s="258" customFormat="1" ht="13.5" customHeight="1">
      <c r="A20" s="299" t="s">
        <v>2349</v>
      </c>
      <c r="B20" s="254" t="s">
        <v>2350</v>
      </c>
      <c r="C20" s="276" t="e">
        <f ca="1">ROUND((C5+C19)*F20,0)</f>
        <v>#N/A</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t="e">
        <f ca="1">ROUND(SUM(C23:C25),0)</f>
        <v>#N/A</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t="e">
        <f ca="1">ROUND(IF('数据-取费表'!B22&lt;=1,C5*F22*'数据-取费表'!B23,C5*(POWER((1+F22),'数据-取费表'!B23)-1)),0)</f>
        <v>#N/A</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t="e">
        <f ca="1">ROUND(IF('数据-取费表'!B22&lt;=1,C20*F22*'数据-取费表'!B23/2,C20*(POWER((1+F22),'数据-取费表'!B23/2)-1)),0)</f>
        <v>#N/A</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t="e">
        <f ca="1">C28</f>
        <v>#N/A</v>
      </c>
      <c r="D27" s="279" t="e">
        <f ca="1">C29</f>
        <v>#N/A</v>
      </c>
      <c r="E27" s="280" t="s">
        <v>2370</v>
      </c>
      <c r="F27" s="290" t="e">
        <f ca="1">IF(B1="",'数据-取费表'!Q16,INDIRECT("'数据-取费表'!q"&amp;$G$1))</f>
        <v>#N/A</v>
      </c>
      <c r="G27" s="291" t="s">
        <v>2371</v>
      </c>
    </row>
    <row r="28" spans="1:7" s="258" customFormat="1" ht="13.5" customHeight="1">
      <c r="A28" s="950" t="s">
        <v>791</v>
      </c>
      <c r="B28" s="292" t="s">
        <v>2372</v>
      </c>
      <c r="C28" s="293" t="e">
        <f ca="1">ROUND((C5+C19+C20)*F27*'数据-取费表'!B21/'数据-取费表'!B20,0)</f>
        <v>#N/A</v>
      </c>
      <c r="D28" s="279"/>
      <c r="E28" s="280"/>
      <c r="F28" s="290"/>
      <c r="G28" s="291"/>
    </row>
    <row r="29" spans="1:7" s="258" customFormat="1" ht="13.5" customHeight="1">
      <c r="A29" s="950" t="s">
        <v>792</v>
      </c>
      <c r="B29" s="292" t="s">
        <v>2373</v>
      </c>
      <c r="C29" s="282" t="e">
        <f ca="1">ROUND(C21*F27*'数据-取费表'!B21/'数据-取费表'!B20,4)</f>
        <v>#N/A</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t="e">
        <f ca="1">ROUND((C5+C19+C20+C22+C27)/(1-C21-D22-D27-C30),0)</f>
        <v>#N/A</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t="e">
        <f ca="1">SUM(C34:C38)</f>
        <v>#N/A</v>
      </c>
      <c r="D33" s="276"/>
      <c r="E33" s="256"/>
      <c r="F33" s="285"/>
      <c r="G33" s="278"/>
    </row>
    <row r="34" spans="1:7" s="302" customFormat="1" ht="13.5" customHeight="1">
      <c r="A34" s="950" t="s">
        <v>791</v>
      </c>
      <c r="B34" s="259" t="s">
        <v>2381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2382</v>
      </c>
    </row>
    <row r="35" spans="1:7" ht="13.5" customHeight="1">
      <c r="A35" s="950" t="s">
        <v>796</v>
      </c>
      <c r="B35" s="259" t="s">
        <v>2383</v>
      </c>
      <c r="C35" s="264" t="e">
        <f ca="1">ROUND(C34*F35,0)</f>
        <v>#N/A</v>
      </c>
      <c r="D35" s="264"/>
      <c r="E35" s="264"/>
      <c r="F35" s="303">
        <f>'数据-取费表'!B33</f>
        <v>0.03</v>
      </c>
      <c r="G35" s="263" t="s">
        <v>2384</v>
      </c>
    </row>
    <row r="36" spans="1:7" ht="24">
      <c r="A36" s="950" t="s">
        <v>797</v>
      </c>
      <c r="B36" s="259" t="s">
        <v>2385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2386</v>
      </c>
    </row>
    <row r="37" spans="1:7" s="302" customFormat="1" ht="13.5" customHeight="1">
      <c r="A37" s="950" t="s">
        <v>798</v>
      </c>
      <c r="B37" s="259" t="s">
        <v>2387</v>
      </c>
      <c r="C37" s="293" t="e">
        <f ca="1">ROUND(E37*D37*F34/10000,0)</f>
        <v>#N/A</v>
      </c>
      <c r="D37" s="261" t="e">
        <f ca="1">D19</f>
        <v>#N/A</v>
      </c>
      <c r="E37" s="293">
        <f>'数据-取费表'!B35</f>
        <v>200</v>
      </c>
      <c r="F37" s="303"/>
      <c r="G37" s="305" t="s">
        <v>2388</v>
      </c>
    </row>
    <row r="38" spans="1:7" ht="13.5" customHeight="1">
      <c r="A38" s="950" t="s">
        <v>799</v>
      </c>
      <c r="B38" s="259" t="s">
        <v>2389</v>
      </c>
      <c r="C38" s="264" t="e">
        <f ca="1">ROUND(C34*F38,0)</f>
        <v>#N/A</v>
      </c>
      <c r="D38" s="264"/>
      <c r="E38" s="264"/>
      <c r="F38" s="303">
        <f>'数据-取费表'!B36</f>
        <v>1.4999999999999999E-2</v>
      </c>
      <c r="G38" s="263" t="s">
        <v>2384</v>
      </c>
    </row>
    <row r="39" spans="1:7" s="258" customFormat="1" ht="13.5" customHeight="1">
      <c r="A39" s="299" t="s">
        <v>2390</v>
      </c>
      <c r="B39" s="254" t="s">
        <v>2391</v>
      </c>
      <c r="C39" s="276" t="e">
        <f ca="1">ROUND(C33*F20,0)</f>
        <v>#N/A</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t="e">
        <f ca="1">ROUND(SUM(C42:C43),0)</f>
        <v>#N/A</v>
      </c>
      <c r="D41" s="279">
        <f ca="1">C44</f>
        <v>1.4E-3</v>
      </c>
      <c r="E41" s="280" t="s">
        <v>2395</v>
      </c>
      <c r="F41" s="281"/>
      <c r="G41" s="278" t="str">
        <f>IF('数据-取费表'!B22&lt;=1,"单利计息","复利计息")</f>
        <v>复利计息</v>
      </c>
    </row>
    <row r="42" spans="1:7" ht="13.5" customHeight="1">
      <c r="A42" s="950" t="s">
        <v>791</v>
      </c>
      <c r="B42" s="259" t="s">
        <v>2399</v>
      </c>
      <c r="C42" s="282" t="e">
        <f ca="1">ROUND(IF('数据-取费表'!B22&lt;=1,C33*F22*'数据-取费表'!B21/2,C33*(POWER((1+F22),'数据-取费表'!B21/2)-1)),0)</f>
        <v>#N/A</v>
      </c>
      <c r="D42" s="282"/>
      <c r="E42" s="282"/>
      <c r="F42" s="283"/>
      <c r="G42" s="3107" t="s">
        <v>2400</v>
      </c>
    </row>
    <row r="43" spans="1:7" ht="13.5" customHeight="1">
      <c r="A43" s="950" t="s">
        <v>792</v>
      </c>
      <c r="B43" s="259" t="s">
        <v>2401</v>
      </c>
      <c r="C43" s="282" t="e">
        <f ca="1">ROUND(IF('数据-取费表'!B22&lt;=1,C39*F22*'数据-取费表'!B21/2,C39*(POWER((1+F22),'数据-取费表'!B21/2)-1)),0)</f>
        <v>#N/A</v>
      </c>
      <c r="D43" s="282"/>
      <c r="E43" s="282"/>
      <c r="F43" s="283"/>
      <c r="G43" s="3108"/>
    </row>
    <row r="44" spans="1:7" ht="13.5" customHeight="1">
      <c r="A44" s="950" t="s">
        <v>793</v>
      </c>
      <c r="B44" s="259" t="s">
        <v>2402</v>
      </c>
      <c r="C44" s="282">
        <f ca="1">ROUND(IF('数据-取费表'!B22&lt;=1,C40*F22*'数据-取费表'!B21/2,C40*(POWER((1+F22),'数据-取费表'!B21/2)-1)),4)</f>
        <v>1.4E-3</v>
      </c>
      <c r="D44" s="282"/>
      <c r="E44" s="282"/>
      <c r="F44" s="283"/>
      <c r="G44" s="3109"/>
    </row>
    <row r="45" spans="1:7" s="258" customFormat="1" ht="13.5" customHeight="1">
      <c r="A45" s="299" t="s">
        <v>2403</v>
      </c>
      <c r="B45" s="288" t="s">
        <v>2369</v>
      </c>
      <c r="C45" s="289" t="e">
        <f ca="1">C46</f>
        <v>#N/A</v>
      </c>
      <c r="D45" s="279" t="e">
        <f ca="1">C47</f>
        <v>#N/A</v>
      </c>
      <c r="E45" s="280" t="s">
        <v>2395</v>
      </c>
      <c r="F45" s="290"/>
      <c r="G45" s="291" t="s">
        <v>2404</v>
      </c>
    </row>
    <row r="46" spans="1:7" s="258" customFormat="1" ht="13.5" customHeight="1">
      <c r="A46" s="950" t="s">
        <v>791</v>
      </c>
      <c r="B46" s="292" t="s">
        <v>2405</v>
      </c>
      <c r="C46" s="293" t="e">
        <f ca="1">ROUND((C33+C39)*F27,0)</f>
        <v>#N/A</v>
      </c>
      <c r="D46" s="307"/>
      <c r="E46" s="280"/>
      <c r="F46" s="290"/>
      <c r="G46" s="291"/>
    </row>
    <row r="47" spans="1:7" s="258" customFormat="1" ht="13.5" customHeight="1">
      <c r="A47" s="950" t="s">
        <v>792</v>
      </c>
      <c r="B47" s="292" t="s">
        <v>2406</v>
      </c>
      <c r="C47" s="282" t="e">
        <f ca="1">ROUND(C40*F27,4)</f>
        <v>#N/A</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t="e">
        <f ca="1">ROUND((C33+C39+C41+C45)/(1-C40-D41-D45-C48),0)</f>
        <v>#N/A</v>
      </c>
      <c r="D49" s="276"/>
      <c r="E49" s="276"/>
      <c r="F49" s="308"/>
      <c r="G49" s="278" t="s">
        <v>2410</v>
      </c>
    </row>
    <row r="50" spans="1:7" s="302" customFormat="1" ht="24">
      <c r="A50" s="299" t="s">
        <v>2411</v>
      </c>
      <c r="B50" s="254" t="s">
        <v>2412</v>
      </c>
      <c r="C50" s="276"/>
      <c r="D50" s="276"/>
      <c r="E50" s="276"/>
      <c r="F50" s="308">
        <f>IF('数据-取费表'!B24=0,'数据-取费表'!N16,1)</f>
        <v>0.83</v>
      </c>
      <c r="G50" s="291" t="s">
        <v>2413</v>
      </c>
    </row>
    <row r="51" spans="1:7" ht="16.5" customHeight="1">
      <c r="A51" s="299" t="s">
        <v>2414</v>
      </c>
      <c r="B51" s="254" t="s">
        <v>2415</v>
      </c>
      <c r="C51" s="276" t="e">
        <f ca="1">ROUND(C49*F50,0)</f>
        <v>#N/A</v>
      </c>
      <c r="D51" s="276"/>
      <c r="E51" s="276"/>
      <c r="F51" s="308"/>
      <c r="G51" s="278" t="s">
        <v>2416</v>
      </c>
    </row>
    <row r="52" spans="1:7" s="252" customFormat="1" ht="16.5" thickBot="1">
      <c r="A52" s="309" t="s">
        <v>2417</v>
      </c>
      <c r="B52" s="310"/>
      <c r="C52" s="311" t="e">
        <f ca="1">C31+C51</f>
        <v>#N/A</v>
      </c>
      <c r="D52" s="310"/>
      <c r="E52" s="310"/>
      <c r="F52" s="310"/>
      <c r="G52" s="312"/>
    </row>
    <row r="55" spans="1:7" ht="15">
      <c r="B55" s="314" t="s">
        <v>2418</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C17" sqref="C1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3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18" t="s">
        <v>2995</v>
      </c>
      <c r="D1" s="3319"/>
      <c r="E1" s="3319"/>
      <c r="F1" s="3319"/>
      <c r="G1" s="3319"/>
      <c r="H1" s="3319"/>
      <c r="I1" s="3319"/>
      <c r="J1" s="3319"/>
      <c r="K1" s="3319"/>
      <c r="L1" s="3319"/>
      <c r="M1" s="3319"/>
      <c r="N1" s="3319"/>
      <c r="O1" s="3319"/>
      <c r="P1" s="3319"/>
      <c r="Q1" s="3319"/>
      <c r="R1" s="3319"/>
      <c r="S1" s="3320"/>
      <c r="T1" s="1203" t="s">
        <v>2996</v>
      </c>
    </row>
    <row r="2" spans="1:45" s="707" customFormat="1" ht="38.25">
      <c r="A2" s="1204"/>
      <c r="B2" s="703" t="s">
        <v>2997</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10000(含)-20000</v>
      </c>
      <c r="I2" s="705" t="str">
        <f t="shared" si="0"/>
        <v>20000(含)-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500</v>
      </c>
      <c r="E3" s="709">
        <f>'比较法-办公'!E104</f>
        <v>1000</v>
      </c>
      <c r="F3" s="709">
        <f>'比较法-办公'!F104</f>
        <v>2000</v>
      </c>
      <c r="G3" s="709">
        <f>'比较法-办公'!G104</f>
        <v>5000</v>
      </c>
      <c r="H3" s="709">
        <f>'比较法-办公'!H104</f>
        <v>10000</v>
      </c>
      <c r="I3" s="709">
        <f>'比较法-办公'!I104</f>
        <v>20000</v>
      </c>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98</v>
      </c>
      <c r="D4" s="1209">
        <f>'比较法-办公'!D105</f>
        <v>100</v>
      </c>
      <c r="E4" s="1209">
        <f>'比较法-办公'!E105</f>
        <v>98</v>
      </c>
      <c r="F4" s="1209">
        <f>'比较法-办公'!F105</f>
        <v>96</v>
      </c>
      <c r="G4" s="1209">
        <f>'比较法-办公'!G105</f>
        <v>94</v>
      </c>
      <c r="H4" s="1209">
        <f>'比较法-办公'!H105</f>
        <v>92</v>
      </c>
      <c r="I4" s="1209">
        <f>'比较法-办公'!I105</f>
        <v>90</v>
      </c>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5" t="s">
        <v>3004</v>
      </c>
      <c r="B17" s="2906"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3006</v>
      </c>
      <c r="E19" s="1791"/>
      <c r="F19" s="1791"/>
      <c r="G19" s="1791"/>
      <c r="H19" s="1279"/>
      <c r="I19" s="168"/>
      <c r="J19" s="168"/>
      <c r="K19" s="168"/>
      <c r="L19" s="168"/>
      <c r="M19" s="168"/>
      <c r="N19" s="168"/>
      <c r="O19" s="168"/>
      <c r="P19" s="168"/>
      <c r="Q19" s="168"/>
      <c r="R19" s="787"/>
      <c r="S19" s="138"/>
    </row>
    <row r="20" spans="1:45" ht="16.5" thickBot="1">
      <c r="A20" s="714" t="s">
        <v>3007</v>
      </c>
      <c r="B20" s="338" t="e">
        <f ca="1">IF(D20="——",S22,S22-F20)</f>
        <v>#REF!</v>
      </c>
      <c r="C20" s="168"/>
      <c r="D20" s="2908" t="s">
        <v>3008</v>
      </c>
      <c r="E20" s="1792"/>
      <c r="F20" s="1203" t="e">
        <f ca="1">SUMIF(INDIRECT("'"&amp;H20&amp;"'"&amp;"!A:A"),"承租人权益价值",INDIRECT("'"&amp;H20&amp;"'"&amp;"!c:c"))</f>
        <v>#REF!</v>
      </c>
      <c r="G20" s="1203" t="s">
        <v>3009</v>
      </c>
      <c r="H20" s="2909"/>
      <c r="I20" s="168"/>
      <c r="J20" s="168"/>
      <c r="K20" s="168"/>
      <c r="L20" s="168"/>
      <c r="M20" s="168"/>
      <c r="N20" s="168"/>
      <c r="O20" s="168"/>
      <c r="P20" s="168"/>
      <c r="Q20" s="168"/>
      <c r="R20" s="787"/>
      <c r="S20" s="138"/>
    </row>
    <row r="21" spans="1:45" ht="15.75">
      <c r="A21" s="714"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190" t="s">
        <v>33</v>
      </c>
      <c r="D22" s="3191"/>
      <c r="E22" s="3191"/>
      <c r="F22" s="3191"/>
      <c r="G22" s="3191"/>
      <c r="H22" s="3191"/>
      <c r="I22" s="3191"/>
      <c r="J22" s="3191"/>
      <c r="K22" s="3191"/>
      <c r="L22" s="3191"/>
      <c r="M22" s="3191"/>
      <c r="N22" s="3191"/>
      <c r="O22" s="3191"/>
      <c r="P22" s="3191"/>
      <c r="Q22" s="3317"/>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3" sqref="F33"/>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35627</v>
      </c>
      <c r="U2" s="1602"/>
      <c r="V2" s="1601">
        <f ca="1">ROUND(T2*U2/10000,0)</f>
        <v>0</v>
      </c>
      <c r="W2" s="1605"/>
      <c r="X2" s="1605"/>
      <c r="Y2" s="1605"/>
      <c r="Z2" s="1605"/>
      <c r="AA2" s="1605"/>
      <c r="AB2" s="1605"/>
      <c r="AC2" s="1606"/>
      <c r="AD2" s="1607"/>
      <c r="AE2" s="1607"/>
      <c r="AF2" s="1607"/>
      <c r="AG2" s="1607"/>
      <c r="AH2" s="1607"/>
      <c r="AI2" s="1607"/>
      <c r="AJ2" s="1608"/>
    </row>
    <row r="3" spans="1:36" ht="15.75">
      <c r="A3" s="247" t="s">
        <v>2809</v>
      </c>
      <c r="B3" s="248" t="e">
        <f ca="1">ROUND(B2*10000/D1,0)</f>
        <v>#DIV/0!</v>
      </c>
      <c r="C3" s="2718" t="s">
        <v>2810</v>
      </c>
      <c r="D3" s="2719" t="s">
        <v>2811</v>
      </c>
      <c r="E3" s="2724" t="s">
        <v>3144</v>
      </c>
      <c r="F3" s="2725" t="s">
        <v>3133</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25573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07"/>
      <c r="B4" s="3308"/>
      <c r="C4" s="3308"/>
      <c r="D4" s="3309"/>
      <c r="E4" s="3309"/>
      <c r="F4" s="3309"/>
      <c r="G4" s="3309"/>
      <c r="H4" s="3309"/>
      <c r="I4" s="3309"/>
      <c r="J4" s="3310"/>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20631</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2816</v>
      </c>
      <c r="C5" s="916">
        <f>ROUND(IF(E2="商业",C6*C7+C16,(IF(E2="住宅",C6*C12+C16,C6+C16))),0)</f>
        <v>12334</v>
      </c>
      <c r="D5" s="1786">
        <f>ROUND(C6+C16,0)</f>
        <v>12334</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16554</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14096</v>
      </c>
      <c r="U6" s="1602"/>
      <c r="V6" s="1601">
        <f t="shared" ca="1" si="1"/>
        <v>0</v>
      </c>
      <c r="W6" s="1605"/>
      <c r="X6" s="1605"/>
      <c r="Y6" s="1605"/>
      <c r="Z6" s="1605"/>
      <c r="AA6" s="1605"/>
      <c r="AB6" s="1605"/>
      <c r="AC6" s="2732"/>
      <c r="AD6" s="2733"/>
      <c r="AE6" s="2733"/>
      <c r="AF6" s="2733"/>
      <c r="AG6" s="2733"/>
      <c r="AH6" s="2733"/>
      <c r="AI6" s="2733"/>
      <c r="AJ6" s="2734"/>
    </row>
    <row r="7" spans="1:36" ht="24">
      <c r="A7" s="3298"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12397</v>
      </c>
      <c r="U7" s="1602"/>
      <c r="V7" s="1601">
        <f t="shared" ca="1" si="1"/>
        <v>0</v>
      </c>
      <c r="W7" s="1815" t="s">
        <v>2825</v>
      </c>
      <c r="X7" s="1603" t="str">
        <f>G2</f>
        <v>五级</v>
      </c>
      <c r="Y7" s="1603" t="s">
        <v>2826</v>
      </c>
      <c r="Z7" s="1604">
        <f>G3</f>
        <v>0.67</v>
      </c>
      <c r="AA7" s="1605"/>
      <c r="AB7" s="1605"/>
      <c r="AC7" s="1606"/>
      <c r="AD7" s="1607"/>
      <c r="AE7" s="1607"/>
      <c r="AF7" s="1607"/>
      <c r="AG7" s="1607"/>
      <c r="AH7" s="1607"/>
      <c r="AI7" s="1607"/>
      <c r="AJ7" s="1608"/>
    </row>
    <row r="8" spans="1:36" ht="25.5">
      <c r="A8" s="3311"/>
      <c r="B8" s="198" t="s">
        <v>2827</v>
      </c>
      <c r="C8" s="2747" t="s">
        <v>3127</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12" t="s">
        <v>2830</v>
      </c>
      <c r="X8" s="3313"/>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311"/>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14"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1"/>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1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1"/>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14"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5" thickBot="1">
      <c r="A12" s="3298" t="s">
        <v>2856</v>
      </c>
      <c r="B12" s="2755" t="s">
        <v>2857</v>
      </c>
      <c r="C12" s="918">
        <f>ROUND(C15*D15*E15*F15*G15*H15*I15*J15,4)</f>
        <v>1.1000000000000001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14"/>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5"/>
      <c r="B13" s="2761" t="s">
        <v>2861</v>
      </c>
      <c r="C13" s="2762" t="s">
        <v>2862</v>
      </c>
      <c r="D13" s="1807" t="s">
        <v>2863</v>
      </c>
      <c r="E13" s="1807"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14"/>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315"/>
      <c r="B14" s="2765"/>
      <c r="C14" s="2766" t="s">
        <v>3057</v>
      </c>
      <c r="D14" s="2767" t="s">
        <v>3057</v>
      </c>
      <c r="E14" s="2767" t="s">
        <v>3129</v>
      </c>
      <c r="F14" s="2768" t="s">
        <v>3128</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16"/>
      <c r="B15" s="2773" t="s">
        <v>2868</v>
      </c>
      <c r="C15" s="229">
        <f>IF(C14="有",1.1,1)</f>
        <v>1</v>
      </c>
      <c r="D15" s="229">
        <f>IF(D14="有",1.1,1)</f>
        <v>1</v>
      </c>
      <c r="E15" s="229">
        <f>IF(E14="有",1.1,1)</f>
        <v>1.1000000000000001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8" t="s">
        <v>2873</v>
      </c>
      <c r="B16" s="2742" t="s">
        <v>2874</v>
      </c>
      <c r="C16" s="2929">
        <f>ROUND(IF(F17="与级别开发程度一致",0,(G17-E17)/C17),0)</f>
        <v>-36</v>
      </c>
      <c r="D16" s="3300" t="s">
        <v>2878</v>
      </c>
      <c r="E16" s="3301"/>
      <c r="F16" s="3300" t="s">
        <v>2875</v>
      </c>
      <c r="G16" s="3301"/>
      <c r="H16" s="2776" t="s">
        <v>3059</v>
      </c>
      <c r="I16" s="2776" t="s">
        <v>3060</v>
      </c>
      <c r="J16" s="2933" t="s">
        <v>3061</v>
      </c>
      <c r="K16" s="2776" t="s">
        <v>3062</v>
      </c>
      <c r="L16" s="2776" t="s">
        <v>3063</v>
      </c>
      <c r="M16" s="2776" t="s">
        <v>3138</v>
      </c>
      <c r="N16" s="2776"/>
      <c r="O16" s="2777"/>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9"/>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3130</v>
      </c>
      <c r="G17" s="2932">
        <f>SUM(H17:O17)</f>
        <v>210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15</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2880</v>
      </c>
      <c r="C18" s="2936">
        <f>SUMIF(修正!C18:C39,E3,修正!E18:E39)</f>
        <v>0.8</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3131</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934">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3132</v>
      </c>
      <c r="C21" s="936">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25">
      <c r="A22" s="2661" t="s">
        <v>2894</v>
      </c>
      <c r="B22" s="2805" t="s">
        <v>2895</v>
      </c>
      <c r="C22" s="1809" t="s">
        <v>2896</v>
      </c>
      <c r="D22" s="1809">
        <f>IF(E22=G22,F22,IF(G3&lt;=10,ROUND(F22+(H22-F22)*(G3-E22)/(G22-E22),4),"——"))</f>
        <v>1.9180999999999999</v>
      </c>
      <c r="E22" s="915">
        <f>ROUNDDOWN(G3,1)</f>
        <v>0.6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09"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8"/>
      <c r="B26" s="2805" t="s">
        <v>2905</v>
      </c>
      <c r="C26" s="206">
        <f ca="1">E29+SUM(E33:E39)</f>
        <v>0</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75" thickBot="1">
      <c r="A27" s="2818"/>
      <c r="B27" s="2822" t="s">
        <v>2906</v>
      </c>
      <c r="C27" s="930">
        <f ca="1">E30+SUM(I33:I39)</f>
        <v>0</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24578</v>
      </c>
      <c r="D29" s="2834"/>
      <c r="E29" s="941">
        <f ca="1">ROUND(C29*D29/10000,0)</f>
        <v>0</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2913</v>
      </c>
      <c r="C30" s="229">
        <f ca="1">ROUND(IF(E2="工业",C29*M39,C29*M38),0)</f>
        <v>6145</v>
      </c>
      <c r="D30" s="2840"/>
      <c r="E30" s="941">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02" t="s">
        <v>2919</v>
      </c>
      <c r="B33" s="2850" t="s">
        <v>2920</v>
      </c>
      <c r="C33" s="206">
        <f ca="1">ROUND(D5*C19*C20*C24*F33,0)</f>
        <v>11212</v>
      </c>
      <c r="D33" s="2834"/>
      <c r="E33" s="200">
        <f ca="1">ROUND(C33*D33/10000,0)</f>
        <v>0</v>
      </c>
      <c r="F33" s="200">
        <f>SUMIF(修正!A45:A56,G2,修正!B45:B56)</f>
        <v>0.7</v>
      </c>
      <c r="G33" s="200">
        <f t="shared" ref="G33" ca="1" si="6">ROUND(IF(E2="工业",C33*$M$39,C33*$M$38),0)</f>
        <v>2803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3"/>
      <c r="B34" s="2762" t="s">
        <v>2921</v>
      </c>
      <c r="C34" s="206">
        <f ca="1">ROUND(D5*C19*C20*C24*F34,0)</f>
        <v>6407</v>
      </c>
      <c r="D34" s="2834"/>
      <c r="E34" s="200">
        <f t="shared" ref="E34:E39" ca="1" si="7">ROUND(C34*D34/10000,0)</f>
        <v>0</v>
      </c>
      <c r="F34" s="200">
        <f>SUMIF(修正!A45:A56,G2,修正!C45:C56)</f>
        <v>0.4</v>
      </c>
      <c r="G34" s="200">
        <f ca="1">ROUND(IF(E2="工业",C34*$M$39,C34*$M$38),0)</f>
        <v>1602</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3"/>
      <c r="B35" s="2762" t="s">
        <v>2922</v>
      </c>
      <c r="C35" s="206">
        <f ca="1">ROUND(D5*C19*C20*C24*F35,0)</f>
        <v>4485</v>
      </c>
      <c r="D35" s="2834"/>
      <c r="E35" s="200">
        <f t="shared" ca="1" si="7"/>
        <v>0</v>
      </c>
      <c r="F35" s="200">
        <f>SUMIF(修正!A45:A56,G2,修正!D45:D56)</f>
        <v>0.28000000000000003</v>
      </c>
      <c r="G35" s="200">
        <f ca="1">ROUND(IF(E2="工业",C35*$M$39,C35*$M$38),0)</f>
        <v>1121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5" thickBot="1">
      <c r="A36" s="3304"/>
      <c r="B36" s="2762" t="s">
        <v>2923</v>
      </c>
      <c r="C36" s="206">
        <f ca="1">ROUND(D5*C19*C20*C24*F36,0)</f>
        <v>4004</v>
      </c>
      <c r="D36" s="2834"/>
      <c r="E36" s="200">
        <f t="shared" ca="1" si="7"/>
        <v>0</v>
      </c>
      <c r="F36" s="200">
        <f>SUMIF(修正!A45:A56,G2,修正!E45:E56)</f>
        <v>0.25</v>
      </c>
      <c r="G36" s="200">
        <f ca="1">ROUND(IF(E2="工业",C36*$M$39,C36*$M$38),0)</f>
        <v>1001</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4004</v>
      </c>
      <c r="D37" s="2834"/>
      <c r="E37" s="200">
        <f t="shared" ca="1" si="7"/>
        <v>0</v>
      </c>
      <c r="F37" s="206">
        <f>SUMIF(修正!A45:A56,G2,修正!F45:F56)</f>
        <v>0.25</v>
      </c>
      <c r="G37" s="200">
        <f ca="1">ROUND(IF(E2="工业",C37*$M$39,C37*$M$38),0)</f>
        <v>1001</v>
      </c>
      <c r="H37" s="200">
        <f t="shared" si="8"/>
        <v>0</v>
      </c>
      <c r="I37" s="200">
        <f t="shared" ca="1" si="9"/>
        <v>0</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4004</v>
      </c>
      <c r="D38" s="2834"/>
      <c r="E38" s="200">
        <f t="shared" ca="1" si="7"/>
        <v>0</v>
      </c>
      <c r="F38" s="206">
        <f>SUMIF(修正!A45:A56,G2,修正!G45:G56)</f>
        <v>0.25</v>
      </c>
      <c r="G38" s="200">
        <f ca="1">ROUND(IF(E2="工业",C38*$M$39,C38*$M$38),0)</f>
        <v>1001</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5" thickBot="1">
      <c r="A39" s="2838"/>
      <c r="B39" s="2856" t="s">
        <v>2928</v>
      </c>
      <c r="C39" s="229">
        <f ca="1">ROUND(D5*C19*C41*C24*F39,0)</f>
        <v>3203</v>
      </c>
      <c r="D39" s="2840">
        <f>'数据-汇总表'!G20</f>
        <v>0</v>
      </c>
      <c r="E39" s="229">
        <f t="shared" ca="1" si="7"/>
        <v>0</v>
      </c>
      <c r="F39" s="931">
        <f>SUMIF(修正!A45:A56,G2,修正!H45:H56)</f>
        <v>0.2</v>
      </c>
      <c r="G39" s="229">
        <f ca="1">ROUND(IF(E2="工业",C39*$M$39,C39*$M$38),0)</f>
        <v>801</v>
      </c>
      <c r="H39" s="229">
        <f t="shared" si="8"/>
        <v>0</v>
      </c>
      <c r="I39" s="229">
        <f t="shared" ca="1" si="9"/>
        <v>0</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2931</v>
      </c>
      <c r="B47" s="1808" t="s">
        <v>2932</v>
      </c>
      <c r="C47" s="1808" t="s">
        <v>2933</v>
      </c>
      <c r="D47" s="1808" t="s">
        <v>2934</v>
      </c>
      <c r="E47" s="818" t="s">
        <v>2935</v>
      </c>
      <c r="F47" s="2868" t="s">
        <v>2936</v>
      </c>
      <c r="G47" s="1808" t="s">
        <v>754</v>
      </c>
      <c r="H47" s="2869" t="s">
        <v>2937</v>
      </c>
      <c r="I47" s="1808"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2931</v>
      </c>
      <c r="B58" s="1808"/>
      <c r="C58" s="1808" t="s">
        <v>2933</v>
      </c>
      <c r="D58" s="1808" t="s">
        <v>2934</v>
      </c>
      <c r="E58" s="818" t="s">
        <v>2935</v>
      </c>
      <c r="F58" s="2868" t="s">
        <v>2951</v>
      </c>
      <c r="G58" s="1808" t="s">
        <v>754</v>
      </c>
      <c r="H58" s="2869" t="s">
        <v>2937</v>
      </c>
      <c r="I58" s="1808"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3080</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14.25">
      <c r="A60" s="2867" t="s">
        <v>2940</v>
      </c>
      <c r="B60" s="2871" t="str">
        <f>估价对象房地状况!C18</f>
        <v>较好</v>
      </c>
      <c r="C60" s="2767" t="s">
        <v>3080</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3080</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67" t="s">
        <v>2942</v>
      </c>
      <c r="B62" s="2872" t="s">
        <v>2943</v>
      </c>
      <c r="C62" s="2767" t="s">
        <v>3080</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2767" t="s">
        <v>3137</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7" t="s">
        <v>2945</v>
      </c>
      <c r="B64" s="2873" t="s">
        <v>2946</v>
      </c>
      <c r="C64" s="2767" t="s">
        <v>3080</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3080</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3120</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24.75" thickBot="1">
      <c r="A67" s="2875" t="s">
        <v>2949</v>
      </c>
      <c r="B67" s="2877" t="str">
        <f>估价对象房地状况!C20</f>
        <v>较好</v>
      </c>
      <c r="C67" s="2767" t="s">
        <v>3080</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2931</v>
      </c>
      <c r="B69" s="1808"/>
      <c r="C69" s="1808" t="s">
        <v>2933</v>
      </c>
      <c r="D69" s="1808" t="s">
        <v>2934</v>
      </c>
      <c r="E69" s="818" t="s">
        <v>2935</v>
      </c>
      <c r="F69" s="2868" t="s">
        <v>2951</v>
      </c>
      <c r="G69" s="1808" t="s">
        <v>754</v>
      </c>
      <c r="H69" s="2869" t="s">
        <v>2937</v>
      </c>
      <c r="I69" s="1808"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24">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24.75"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5">
      <c r="A79" s="2863" t="s">
        <v>2957</v>
      </c>
      <c r="B79" s="2864">
        <f>1+E81</f>
        <v>1</v>
      </c>
      <c r="C79" s="813"/>
      <c r="D79" s="813"/>
      <c r="E79" s="814"/>
      <c r="F79" s="2866"/>
      <c r="G79" s="6"/>
      <c r="H79" s="6"/>
      <c r="I79" s="6"/>
      <c r="J79" s="7"/>
      <c r="K79" s="7"/>
      <c r="L79" s="7"/>
      <c r="M79" s="7"/>
      <c r="N79" s="7"/>
      <c r="Z79" s="2717"/>
      <c r="AA79" s="2785"/>
      <c r="AG79" s="1371"/>
      <c r="AK79" s="2785"/>
    </row>
    <row r="80" spans="1:37" ht="24.75">
      <c r="A80" s="2867" t="s">
        <v>2931</v>
      </c>
      <c r="B80" s="1808"/>
      <c r="C80" s="1808" t="s">
        <v>2933</v>
      </c>
      <c r="D80" s="1808" t="s">
        <v>2934</v>
      </c>
      <c r="E80" s="818" t="s">
        <v>2935</v>
      </c>
      <c r="F80" s="2868" t="s">
        <v>2951</v>
      </c>
      <c r="G80" s="1808" t="s">
        <v>754</v>
      </c>
      <c r="H80" s="2869" t="s">
        <v>2937</v>
      </c>
      <c r="I80" s="1808" t="s">
        <v>2938</v>
      </c>
      <c r="J80" s="603" t="s">
        <v>2588</v>
      </c>
      <c r="K80" s="603" t="s">
        <v>2589</v>
      </c>
      <c r="L80" s="603" t="s">
        <v>2590</v>
      </c>
      <c r="M80" s="603" t="s">
        <v>2591</v>
      </c>
      <c r="N80" s="603" t="s">
        <v>2592</v>
      </c>
      <c r="Z80" s="2717"/>
      <c r="AA80" s="2785"/>
      <c r="AG80" s="1371"/>
      <c r="AK80" s="2785"/>
    </row>
    <row r="81" spans="1:37" ht="38.25">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51">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4.25">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5.5">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5.5">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24">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39"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05" t="s">
        <v>2961</v>
      </c>
      <c r="B90" s="3305"/>
      <c r="C90" s="3305"/>
      <c r="D90" s="3305"/>
      <c r="E90" s="3305"/>
      <c r="F90" s="3305"/>
      <c r="G90" s="3305"/>
      <c r="H90" s="3305"/>
      <c r="I90" s="3305"/>
      <c r="J90" s="3305"/>
      <c r="K90" s="2881"/>
      <c r="L90" s="2881"/>
      <c r="M90" s="2881"/>
      <c r="N90" s="2881"/>
    </row>
    <row r="91" spans="1:37">
      <c r="A91" s="3306" t="s">
        <v>2962</v>
      </c>
      <c r="B91" s="3306" t="s">
        <v>2963</v>
      </c>
      <c r="C91" s="2835" t="s">
        <v>2964</v>
      </c>
      <c r="D91" s="2836"/>
      <c r="E91" s="2836"/>
      <c r="F91" s="2836"/>
      <c r="G91" s="2836"/>
      <c r="H91" s="2836"/>
      <c r="I91" s="2836"/>
      <c r="J91" s="2882"/>
      <c r="K91" s="2883"/>
      <c r="L91" s="2883"/>
      <c r="M91" s="2883"/>
      <c r="N91" s="2883"/>
    </row>
    <row r="92" spans="1:37">
      <c r="A92" s="3306"/>
      <c r="B92" s="3306"/>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294"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5"/>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296"/>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4"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295"/>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295"/>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295"/>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295"/>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295"/>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295"/>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295"/>
      <c r="B108" s="3209"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296"/>
      <c r="B109" s="3210"/>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297" t="s">
        <v>2969</v>
      </c>
      <c r="B110" s="3297"/>
      <c r="C110" s="3297"/>
      <c r="D110" s="3297"/>
      <c r="E110" s="3297"/>
      <c r="F110" s="3297"/>
      <c r="G110" s="3297"/>
      <c r="H110" s="3297"/>
      <c r="I110" s="3297"/>
      <c r="J110" s="3297"/>
      <c r="K110" s="2890"/>
      <c r="L110" s="2890"/>
      <c r="M110" s="2890"/>
      <c r="N110" s="2890"/>
    </row>
    <row r="112" spans="1:14" ht="13.5" thickBot="1"/>
    <row r="113" spans="1:13" ht="25.5"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5"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60" priority="5" stopIfTrue="1" operator="notEqual">
      <formula>"——"</formula>
    </cfRule>
  </conditionalFormatting>
  <conditionalFormatting sqref="F59">
    <cfRule type="cellIs" dxfId="59" priority="4" stopIfTrue="1" operator="notEqual">
      <formula>"——"</formula>
    </cfRule>
  </conditionalFormatting>
  <conditionalFormatting sqref="F70">
    <cfRule type="cellIs" dxfId="58" priority="3" stopIfTrue="1" operator="notEqual">
      <formula>"——"</formula>
    </cfRule>
  </conditionalFormatting>
  <conditionalFormatting sqref="F81">
    <cfRule type="cellIs" dxfId="57" priority="2" stopIfTrue="1" operator="notEqual">
      <formula>"——"</formula>
    </cfRule>
  </conditionalFormatting>
  <conditionalFormatting sqref="H48:H56 H59:H67 H70:H78 H81:H88">
    <cfRule type="cellIs" dxfId="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J36" sqref="J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1"/>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37" t="s">
        <v>2639</v>
      </c>
      <c r="AC4" s="3136" t="s">
        <v>2640</v>
      </c>
    </row>
    <row r="5" spans="1:29"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37"/>
      <c r="AC5" s="3137"/>
    </row>
    <row r="6" spans="1:29" ht="15.75" thickBot="1">
      <c r="A6" s="406"/>
      <c r="B6" s="407"/>
      <c r="C6" s="3149" t="s">
        <v>2537</v>
      </c>
      <c r="D6" s="3150"/>
      <c r="E6" s="3151" t="s">
        <v>2537</v>
      </c>
      <c r="F6" s="3152"/>
      <c r="G6" s="3149" t="s">
        <v>2537</v>
      </c>
      <c r="H6" s="3150"/>
      <c r="I6" s="3149" t="s">
        <v>2537</v>
      </c>
      <c r="J6" s="3150"/>
      <c r="K6" s="610" t="s">
        <v>2538</v>
      </c>
      <c r="L6" s="1129"/>
      <c r="M6" s="1130"/>
      <c r="N6" s="1130"/>
      <c r="O6" s="1130"/>
      <c r="P6" s="3162"/>
      <c r="Q6" s="3163"/>
      <c r="R6" s="3143"/>
      <c r="S6" s="3144"/>
      <c r="T6" s="3164"/>
      <c r="U6" s="3165"/>
      <c r="V6" s="3166"/>
      <c r="W6" s="3166"/>
      <c r="X6" s="1812"/>
      <c r="Y6" s="3164"/>
      <c r="Z6" s="3165"/>
      <c r="AA6" s="3138"/>
      <c r="AB6" s="3138"/>
      <c r="AC6" s="3138"/>
    </row>
    <row r="7" spans="1:29" s="117" customFormat="1" ht="15.75" thickBot="1">
      <c r="A7" s="408" t="s">
        <v>2539</v>
      </c>
      <c r="B7" s="409"/>
      <c r="C7" s="410">
        <f>'数据-取费表'!B2</f>
        <v>43763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39" t="s">
        <v>2540</v>
      </c>
      <c r="Q7" s="3167"/>
      <c r="R7" s="769" t="s">
        <v>17</v>
      </c>
      <c r="S7" s="770">
        <f t="shared" ref="S7:S14" si="0">F7</f>
        <v>0</v>
      </c>
      <c r="T7" s="769" t="s">
        <v>17</v>
      </c>
      <c r="U7" s="770">
        <f t="shared" ref="U7:U14" si="1">H7</f>
        <v>0</v>
      </c>
      <c r="V7" s="769" t="s">
        <v>17</v>
      </c>
      <c r="W7" s="770">
        <f t="shared" ref="W7:W14" si="2">J7</f>
        <v>0</v>
      </c>
      <c r="X7" s="771"/>
      <c r="Y7" s="3139" t="s">
        <v>2540</v>
      </c>
      <c r="Z7" s="3140"/>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1" t="s">
        <v>2546</v>
      </c>
      <c r="Q9" s="1794" t="str">
        <f t="shared" ref="Q9:Q14" si="6">B9</f>
        <v>用途</v>
      </c>
      <c r="R9" s="769" t="s">
        <v>17</v>
      </c>
      <c r="S9" s="770">
        <f t="shared" si="0"/>
        <v>100</v>
      </c>
      <c r="T9" s="769" t="s">
        <v>17</v>
      </c>
      <c r="U9" s="770">
        <f t="shared" si="1"/>
        <v>100</v>
      </c>
      <c r="V9" s="769" t="s">
        <v>17</v>
      </c>
      <c r="W9" s="770">
        <f t="shared" si="2"/>
        <v>100</v>
      </c>
      <c r="X9" s="771"/>
      <c r="Y9" s="3080"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1"/>
      <c r="Q10" s="1794"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1"/>
      <c r="Q11" s="1794">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1"/>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1"/>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
      <c r="A14" s="401" t="s">
        <v>2550</v>
      </c>
      <c r="B14" s="629" t="s">
        <v>2700</v>
      </c>
      <c r="C14" s="269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3" t="s">
        <v>2551</v>
      </c>
      <c r="Q14" s="1809" t="str">
        <f t="shared" si="6"/>
        <v>交通便捷度</v>
      </c>
      <c r="R14" s="773" t="s">
        <v>17</v>
      </c>
      <c r="S14" s="774">
        <f t="shared" si="0"/>
        <v>100</v>
      </c>
      <c r="T14" s="773" t="s">
        <v>17</v>
      </c>
      <c r="U14" s="774">
        <f t="shared" si="1"/>
        <v>100</v>
      </c>
      <c r="V14" s="773" t="s">
        <v>17</v>
      </c>
      <c r="W14" s="774">
        <f t="shared" si="2"/>
        <v>100</v>
      </c>
      <c r="X14" s="1812"/>
      <c r="Y14" s="3173"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4"/>
      <c r="Q15" s="1809"/>
      <c r="R15" s="773"/>
      <c r="S15" s="774"/>
      <c r="T15" s="773"/>
      <c r="U15" s="774"/>
      <c r="V15" s="773"/>
      <c r="W15" s="774"/>
      <c r="X15" s="1812"/>
      <c r="Y15" s="3174"/>
      <c r="Z15" s="1813"/>
      <c r="AA15" s="1810">
        <v>1</v>
      </c>
      <c r="AB15" s="1810">
        <v>1</v>
      </c>
      <c r="AC15" s="1810">
        <v>1</v>
      </c>
    </row>
    <row r="16" spans="1:29" ht="15">
      <c r="A16" s="404"/>
      <c r="B16" s="631" t="s">
        <v>2679</v>
      </c>
      <c r="C16" s="260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4"/>
      <c r="Q16" s="1809" t="str">
        <f>B16</f>
        <v>公共配套设施</v>
      </c>
      <c r="R16" s="773" t="s">
        <v>17</v>
      </c>
      <c r="S16" s="774">
        <f>F16</f>
        <v>100</v>
      </c>
      <c r="T16" s="773" t="s">
        <v>17</v>
      </c>
      <c r="U16" s="774">
        <f>H16</f>
        <v>100</v>
      </c>
      <c r="V16" s="773" t="s">
        <v>17</v>
      </c>
      <c r="W16" s="774">
        <f>J16</f>
        <v>100</v>
      </c>
      <c r="X16" s="1812"/>
      <c r="Y16" s="3174"/>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174"/>
      <c r="Q17" s="1809"/>
      <c r="R17" s="773"/>
      <c r="S17" s="774"/>
      <c r="T17" s="773"/>
      <c r="U17" s="774"/>
      <c r="V17" s="773"/>
      <c r="W17" s="774"/>
      <c r="X17" s="1812"/>
      <c r="Y17" s="3174"/>
      <c r="Z17" s="1813"/>
      <c r="AA17" s="1810">
        <v>1</v>
      </c>
      <c r="AB17" s="1810">
        <v>1</v>
      </c>
      <c r="AC17" s="1810">
        <v>1</v>
      </c>
    </row>
    <row r="18" spans="1:29" ht="15">
      <c r="A18" s="404"/>
      <c r="B18" s="633" t="s">
        <v>2680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4"/>
      <c r="Q18" s="1809" t="str">
        <f>B18</f>
        <v>基础设施水平</v>
      </c>
      <c r="R18" s="773" t="s">
        <v>17</v>
      </c>
      <c r="S18" s="774">
        <f>F18</f>
        <v>100</v>
      </c>
      <c r="T18" s="773" t="s">
        <v>17</v>
      </c>
      <c r="U18" s="774">
        <f>H18</f>
        <v>100</v>
      </c>
      <c r="V18" s="773" t="s">
        <v>17</v>
      </c>
      <c r="W18" s="774">
        <f>J18</f>
        <v>100</v>
      </c>
      <c r="X18" s="1812"/>
      <c r="Y18" s="3174"/>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174"/>
      <c r="Q19" s="1809"/>
      <c r="R19" s="773"/>
      <c r="S19" s="774"/>
      <c r="T19" s="773"/>
      <c r="U19" s="774"/>
      <c r="V19" s="773"/>
      <c r="W19" s="774"/>
      <c r="X19" s="1812"/>
      <c r="Y19" s="3174"/>
      <c r="Z19" s="1813"/>
      <c r="AA19" s="1810">
        <v>1</v>
      </c>
      <c r="AB19" s="1810">
        <v>1</v>
      </c>
      <c r="AC19" s="1810">
        <v>1</v>
      </c>
    </row>
    <row r="20" spans="1:29" ht="15">
      <c r="A20" s="404"/>
      <c r="B20" s="631" t="s">
        <v>2701</v>
      </c>
      <c r="C20" s="260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4"/>
      <c r="Q20" s="1809" t="str">
        <f>B20</f>
        <v>自然及人文环境</v>
      </c>
      <c r="R20" s="773" t="s">
        <v>17</v>
      </c>
      <c r="S20" s="774">
        <f>F20</f>
        <v>100</v>
      </c>
      <c r="T20" s="773" t="s">
        <v>17</v>
      </c>
      <c r="U20" s="774">
        <f>H20</f>
        <v>100</v>
      </c>
      <c r="V20" s="773" t="s">
        <v>17</v>
      </c>
      <c r="W20" s="774">
        <f>J20</f>
        <v>100</v>
      </c>
      <c r="X20" s="1812"/>
      <c r="Y20" s="317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4"/>
      <c r="Q21" s="1809"/>
      <c r="R21" s="773"/>
      <c r="S21" s="774"/>
      <c r="T21" s="773"/>
      <c r="U21" s="774"/>
      <c r="V21" s="773"/>
      <c r="W21" s="774"/>
      <c r="X21" s="1812"/>
      <c r="Y21" s="3174"/>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4"/>
      <c r="Q22" s="1809" t="str">
        <f>B22</f>
        <v>楼层</v>
      </c>
      <c r="R22" s="773" t="s">
        <v>17</v>
      </c>
      <c r="S22" s="774">
        <f>F22</f>
        <v>100</v>
      </c>
      <c r="T22" s="773" t="s">
        <v>17</v>
      </c>
      <c r="U22" s="774">
        <f>H22</f>
        <v>100</v>
      </c>
      <c r="V22" s="773" t="s">
        <v>17</v>
      </c>
      <c r="W22" s="774">
        <f>J22</f>
        <v>100</v>
      </c>
      <c r="X22" s="1812"/>
      <c r="Y22" s="317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4"/>
      <c r="Q23" s="1809">
        <f>B23</f>
        <v>111</v>
      </c>
      <c r="R23" s="773" t="s">
        <v>17</v>
      </c>
      <c r="S23" s="774">
        <f>F23</f>
        <v>100</v>
      </c>
      <c r="T23" s="773" t="s">
        <v>17</v>
      </c>
      <c r="U23" s="774">
        <f>H23</f>
        <v>100</v>
      </c>
      <c r="V23" s="773" t="s">
        <v>17</v>
      </c>
      <c r="W23" s="774">
        <f>J23</f>
        <v>100</v>
      </c>
      <c r="X23" s="1812"/>
      <c r="Y23" s="317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4"/>
      <c r="Q24" s="1809">
        <f t="shared" ref="Q24:Q36" si="11">B24</f>
        <v>111</v>
      </c>
      <c r="R24" s="773" t="s">
        <v>17</v>
      </c>
      <c r="S24" s="774">
        <f>F24</f>
        <v>100</v>
      </c>
      <c r="T24" s="773" t="s">
        <v>17</v>
      </c>
      <c r="U24" s="774">
        <f>H24</f>
        <v>100</v>
      </c>
      <c r="V24" s="773" t="s">
        <v>17</v>
      </c>
      <c r="W24" s="774">
        <f>J24</f>
        <v>100</v>
      </c>
      <c r="X24" s="1812"/>
      <c r="Y24" s="317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4"/>
      <c r="Q25" s="1794">
        <f t="shared" si="11"/>
        <v>111</v>
      </c>
      <c r="R25" s="769" t="s">
        <v>17</v>
      </c>
      <c r="S25" s="770">
        <f>F25</f>
        <v>100</v>
      </c>
      <c r="T25" s="769" t="s">
        <v>17</v>
      </c>
      <c r="U25" s="770">
        <f>H25</f>
        <v>100</v>
      </c>
      <c r="V25" s="769" t="s">
        <v>17</v>
      </c>
      <c r="W25" s="770">
        <f>J25</f>
        <v>100</v>
      </c>
      <c r="X25" s="771"/>
      <c r="Y25" s="3174"/>
      <c r="Z25" s="55">
        <f>Q25</f>
        <v>111</v>
      </c>
      <c r="AA25" s="1810">
        <f>D25/F25</f>
        <v>1</v>
      </c>
      <c r="AB25" s="1810">
        <f>D25/H25</f>
        <v>1</v>
      </c>
      <c r="AC25" s="1810">
        <f>D25/J25</f>
        <v>1</v>
      </c>
    </row>
    <row r="26" spans="1:29" ht="28.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3" t="s">
        <v>2556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78"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8"/>
      <c r="Q27" s="775" t="str">
        <f t="shared" si="11"/>
        <v>项目停车位配比</v>
      </c>
      <c r="R27" s="776" t="s">
        <v>17</v>
      </c>
      <c r="S27" s="777">
        <f t="shared" si="12"/>
        <v>100</v>
      </c>
      <c r="T27" s="776" t="s">
        <v>17</v>
      </c>
      <c r="U27" s="777">
        <f t="shared" si="13"/>
        <v>100</v>
      </c>
      <c r="V27" s="776" t="s">
        <v>17</v>
      </c>
      <c r="W27" s="777">
        <f t="shared" si="14"/>
        <v>100</v>
      </c>
      <c r="X27" s="778"/>
      <c r="Y27" s="3178"/>
      <c r="Z27" s="779"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8"/>
      <c r="Q28" s="1809" t="str">
        <f t="shared" si="11"/>
        <v>公共部分装修</v>
      </c>
      <c r="R28" s="773" t="s">
        <v>17</v>
      </c>
      <c r="S28" s="774">
        <f t="shared" si="12"/>
        <v>100</v>
      </c>
      <c r="T28" s="773" t="s">
        <v>17</v>
      </c>
      <c r="U28" s="774">
        <f t="shared" si="13"/>
        <v>100</v>
      </c>
      <c r="V28" s="773" t="s">
        <v>17</v>
      </c>
      <c r="W28" s="774">
        <f t="shared" si="14"/>
        <v>100</v>
      </c>
      <c r="X28" s="1812"/>
      <c r="Y28" s="3178"/>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8"/>
      <c r="Q29" s="1809" t="str">
        <f t="shared" si="11"/>
        <v>成新率</v>
      </c>
      <c r="R29" s="773" t="s">
        <v>17</v>
      </c>
      <c r="S29" s="774" t="e">
        <f t="shared" si="12"/>
        <v>#N/A</v>
      </c>
      <c r="T29" s="773" t="s">
        <v>17</v>
      </c>
      <c r="U29" s="774" t="e">
        <f t="shared" si="13"/>
        <v>#N/A</v>
      </c>
      <c r="V29" s="773" t="s">
        <v>17</v>
      </c>
      <c r="W29" s="774" t="e">
        <f t="shared" si="14"/>
        <v>#N/A</v>
      </c>
      <c r="X29" s="1812"/>
      <c r="Y29" s="3178"/>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8"/>
      <c r="Q30" s="1809" t="str">
        <f t="shared" si="11"/>
        <v>物业等级</v>
      </c>
      <c r="R30" s="773" t="s">
        <v>17</v>
      </c>
      <c r="S30" s="774">
        <f t="shared" si="12"/>
        <v>100</v>
      </c>
      <c r="T30" s="773" t="s">
        <v>17</v>
      </c>
      <c r="U30" s="774">
        <f t="shared" si="13"/>
        <v>100</v>
      </c>
      <c r="V30" s="773" t="s">
        <v>17</v>
      </c>
      <c r="W30" s="774">
        <f t="shared" si="14"/>
        <v>100</v>
      </c>
      <c r="X30" s="1812"/>
      <c r="Y30" s="3178"/>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8"/>
      <c r="Q31" s="1794" t="str">
        <f t="shared" si="11"/>
        <v>停车位面积</v>
      </c>
      <c r="R31" s="769" t="s">
        <v>17</v>
      </c>
      <c r="S31" s="770" t="e">
        <f t="shared" si="12"/>
        <v>#N/A</v>
      </c>
      <c r="T31" s="769" t="s">
        <v>17</v>
      </c>
      <c r="U31" s="770" t="e">
        <f t="shared" si="13"/>
        <v>#N/A</v>
      </c>
      <c r="V31" s="769" t="s">
        <v>17</v>
      </c>
      <c r="W31" s="770" t="e">
        <f t="shared" si="14"/>
        <v>#N/A</v>
      </c>
      <c r="X31" s="771"/>
      <c r="Y31" s="3178"/>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8" t="s">
        <v>2556</v>
      </c>
      <c r="Q32" s="1809" t="str">
        <f t="shared" si="11"/>
        <v>车位类型</v>
      </c>
      <c r="R32" s="773" t="s">
        <v>17</v>
      </c>
      <c r="S32" s="774">
        <f t="shared" si="12"/>
        <v>100</v>
      </c>
      <c r="T32" s="773" t="s">
        <v>17</v>
      </c>
      <c r="U32" s="774">
        <f t="shared" si="13"/>
        <v>100</v>
      </c>
      <c r="V32" s="773" t="s">
        <v>17</v>
      </c>
      <c r="W32" s="774">
        <f t="shared" si="14"/>
        <v>100</v>
      </c>
      <c r="X32" s="1812"/>
      <c r="Y32" s="3178"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8"/>
      <c r="Q33" s="1809" t="str">
        <f t="shared" si="11"/>
        <v>是否直接入户</v>
      </c>
      <c r="R33" s="773" t="s">
        <v>17</v>
      </c>
      <c r="S33" s="774">
        <f t="shared" si="12"/>
        <v>100</v>
      </c>
      <c r="T33" s="773" t="s">
        <v>17</v>
      </c>
      <c r="U33" s="774">
        <f t="shared" si="13"/>
        <v>100</v>
      </c>
      <c r="V33" s="773" t="s">
        <v>17</v>
      </c>
      <c r="W33" s="774">
        <f t="shared" si="14"/>
        <v>100</v>
      </c>
      <c r="X33" s="1812"/>
      <c r="Y33" s="317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8"/>
      <c r="Q34" s="1809">
        <f t="shared" si="11"/>
        <v>111</v>
      </c>
      <c r="R34" s="773" t="s">
        <v>17</v>
      </c>
      <c r="S34" s="774">
        <f t="shared" si="12"/>
        <v>100</v>
      </c>
      <c r="T34" s="773" t="s">
        <v>17</v>
      </c>
      <c r="U34" s="774">
        <f t="shared" si="13"/>
        <v>100</v>
      </c>
      <c r="V34" s="773" t="s">
        <v>17</v>
      </c>
      <c r="W34" s="774">
        <f t="shared" si="14"/>
        <v>100</v>
      </c>
      <c r="X34" s="1812"/>
      <c r="Y34" s="317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8"/>
      <c r="Q35" s="775">
        <f t="shared" si="11"/>
        <v>111</v>
      </c>
      <c r="R35" s="776" t="s">
        <v>17</v>
      </c>
      <c r="S35" s="777">
        <f t="shared" si="12"/>
        <v>100</v>
      </c>
      <c r="T35" s="776" t="s">
        <v>17</v>
      </c>
      <c r="U35" s="777">
        <f t="shared" si="13"/>
        <v>100</v>
      </c>
      <c r="V35" s="776" t="s">
        <v>17</v>
      </c>
      <c r="W35" s="777">
        <f t="shared" si="14"/>
        <v>100</v>
      </c>
      <c r="X35" s="778"/>
      <c r="Y35" s="3178"/>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8"/>
      <c r="Q36" s="1809">
        <f t="shared" si="11"/>
        <v>111</v>
      </c>
      <c r="R36" s="773" t="s">
        <v>17</v>
      </c>
      <c r="S36" s="774">
        <f t="shared" si="12"/>
        <v>100</v>
      </c>
      <c r="T36" s="773" t="s">
        <v>17</v>
      </c>
      <c r="U36" s="774">
        <f t="shared" si="13"/>
        <v>100</v>
      </c>
      <c r="V36" s="773" t="s">
        <v>17</v>
      </c>
      <c r="W36" s="774">
        <f t="shared" si="14"/>
        <v>100</v>
      </c>
      <c r="X36" s="1812"/>
      <c r="Y36" s="3178"/>
      <c r="Z36" s="1813">
        <f t="shared" si="15"/>
        <v>111</v>
      </c>
      <c r="AA36" s="1810">
        <f t="shared" si="3"/>
        <v>1</v>
      </c>
      <c r="AB36" s="1810">
        <f t="shared" si="4"/>
        <v>1</v>
      </c>
      <c r="AC36" s="1810">
        <f t="shared" si="5"/>
        <v>1</v>
      </c>
    </row>
    <row r="37" spans="1:29" ht="15">
      <c r="A37" s="479" t="s">
        <v>2711</v>
      </c>
      <c r="B37" s="2692" t="s">
        <v>2712</v>
      </c>
      <c r="C37" s="1406" t="s">
        <v>1</v>
      </c>
      <c r="D37" s="1407"/>
      <c r="E37" s="1408"/>
      <c r="F37" s="1409"/>
      <c r="G37" s="1410"/>
      <c r="H37" s="1411"/>
      <c r="I37" s="1408"/>
      <c r="J37" s="1411"/>
      <c r="K37" s="619"/>
      <c r="L37" s="1142"/>
      <c r="M37" s="1143"/>
      <c r="N37" s="1130"/>
      <c r="O37" s="1143"/>
      <c r="P37" s="3171" t="str">
        <f>A37</f>
        <v>成交单价</v>
      </c>
      <c r="Q37" s="3171"/>
      <c r="R37" s="3172">
        <f>E37</f>
        <v>0</v>
      </c>
      <c r="S37" s="3172"/>
      <c r="T37" s="3172">
        <f>G37</f>
        <v>0</v>
      </c>
      <c r="U37" s="3172"/>
      <c r="V37" s="3172">
        <f>I37</f>
        <v>0</v>
      </c>
      <c r="W37" s="3172"/>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168" t="str">
        <f>A39</f>
        <v>估价对象XX用房的比较价值（楼面单价，元/平方米）</v>
      </c>
      <c r="Q39" s="3169"/>
      <c r="R39" s="3170" t="e">
        <f>IF(F1="售价",ROUND(AVERAGE(R38:V38),0),ROUND(AVERAGE(R38:V38),1))</f>
        <v>#DIV/0!</v>
      </c>
      <c r="S39" s="3170"/>
      <c r="T39" s="3170"/>
      <c r="U39" s="3170"/>
      <c r="V39" s="3170"/>
      <c r="W39" s="317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37" t="s">
        <v>2639</v>
      </c>
      <c r="AC4" s="3136" t="s">
        <v>2640</v>
      </c>
    </row>
    <row r="5" spans="1:29"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37"/>
      <c r="AC5" s="3137"/>
    </row>
    <row r="6" spans="1:29" ht="15.75" thickBot="1">
      <c r="A6" s="406"/>
      <c r="B6" s="407"/>
      <c r="C6" s="3149" t="s">
        <v>2537</v>
      </c>
      <c r="D6" s="3150"/>
      <c r="E6" s="3151" t="s">
        <v>2537</v>
      </c>
      <c r="F6" s="3152"/>
      <c r="G6" s="3149" t="s">
        <v>2537</v>
      </c>
      <c r="H6" s="3150"/>
      <c r="I6" s="3149" t="s">
        <v>2537</v>
      </c>
      <c r="J6" s="3150"/>
      <c r="K6" s="610" t="s">
        <v>2538</v>
      </c>
      <c r="L6" s="1129"/>
      <c r="M6" s="1130"/>
      <c r="N6" s="1130"/>
      <c r="O6" s="1130"/>
      <c r="P6" s="3162"/>
      <c r="Q6" s="3163"/>
      <c r="R6" s="3143"/>
      <c r="S6" s="3144"/>
      <c r="T6" s="3164"/>
      <c r="U6" s="3165"/>
      <c r="V6" s="3166"/>
      <c r="W6" s="3166"/>
      <c r="X6" s="1812"/>
      <c r="Y6" s="3164"/>
      <c r="Z6" s="3165"/>
      <c r="AA6" s="3138"/>
      <c r="AB6" s="3138"/>
      <c r="AC6" s="3138"/>
    </row>
    <row r="7" spans="1:29" s="117" customFormat="1" ht="15.75" thickBot="1">
      <c r="A7" s="408" t="s">
        <v>2539</v>
      </c>
      <c r="B7" s="409"/>
      <c r="C7" s="410">
        <f>'数据-取费表'!B2</f>
        <v>43763</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39" t="s">
        <v>2540</v>
      </c>
      <c r="Q7" s="3167"/>
      <c r="R7" s="769" t="s">
        <v>17</v>
      </c>
      <c r="S7" s="770">
        <f t="shared" ref="S7:S14" si="0">F7</f>
        <v>0</v>
      </c>
      <c r="T7" s="769" t="s">
        <v>17</v>
      </c>
      <c r="U7" s="770">
        <f t="shared" ref="U7:U14" si="1">H7</f>
        <v>0</v>
      </c>
      <c r="V7" s="769" t="s">
        <v>17</v>
      </c>
      <c r="W7" s="770">
        <f t="shared" ref="W7:W14" si="2">J7</f>
        <v>0</v>
      </c>
      <c r="X7" s="771"/>
      <c r="Y7" s="3139" t="s">
        <v>2540</v>
      </c>
      <c r="Z7" s="3140"/>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1" t="s">
        <v>2546</v>
      </c>
      <c r="Q9" s="1794" t="str">
        <f t="shared" ref="Q9:Q14" si="6">B9</f>
        <v>用途</v>
      </c>
      <c r="R9" s="769" t="s">
        <v>17</v>
      </c>
      <c r="S9" s="770">
        <f t="shared" si="0"/>
        <v>100</v>
      </c>
      <c r="T9" s="769" t="s">
        <v>17</v>
      </c>
      <c r="U9" s="770">
        <f t="shared" si="1"/>
        <v>100</v>
      </c>
      <c r="V9" s="769" t="s">
        <v>17</v>
      </c>
      <c r="W9" s="770">
        <f t="shared" si="2"/>
        <v>100</v>
      </c>
      <c r="X9" s="771"/>
      <c r="Y9" s="3080"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1"/>
      <c r="Q10" s="1794"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1"/>
      <c r="Q11" s="1794">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1"/>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71"/>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
      <c r="A14" s="440" t="s">
        <v>2550</v>
      </c>
      <c r="B14" s="69" t="s">
        <v>2700</v>
      </c>
      <c r="C14" s="269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3" t="s">
        <v>2551</v>
      </c>
      <c r="Q14" s="1809" t="str">
        <f t="shared" si="6"/>
        <v>交通便捷度</v>
      </c>
      <c r="R14" s="773" t="s">
        <v>17</v>
      </c>
      <c r="S14" s="774">
        <f t="shared" si="0"/>
        <v>100</v>
      </c>
      <c r="T14" s="773" t="s">
        <v>17</v>
      </c>
      <c r="U14" s="774">
        <f t="shared" si="1"/>
        <v>100</v>
      </c>
      <c r="V14" s="773" t="s">
        <v>17</v>
      </c>
      <c r="W14" s="774">
        <f t="shared" si="2"/>
        <v>100</v>
      </c>
      <c r="X14" s="1812"/>
      <c r="Y14" s="3173"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4"/>
      <c r="Q15" s="1809"/>
      <c r="R15" s="773"/>
      <c r="S15" s="774"/>
      <c r="T15" s="773"/>
      <c r="U15" s="774"/>
      <c r="V15" s="773"/>
      <c r="W15" s="774"/>
      <c r="X15" s="1812"/>
      <c r="Y15" s="3174"/>
      <c r="Z15" s="1813"/>
      <c r="AA15" s="1810">
        <v>1</v>
      </c>
      <c r="AB15" s="1810">
        <v>1</v>
      </c>
      <c r="AC15" s="1810">
        <v>1</v>
      </c>
    </row>
    <row r="16" spans="1:29" ht="15">
      <c r="A16" s="428"/>
      <c r="B16" s="451" t="s">
        <v>2679</v>
      </c>
      <c r="C16" s="260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4"/>
      <c r="Q16" s="1809" t="str">
        <f>B16</f>
        <v>公共配套设施</v>
      </c>
      <c r="R16" s="773" t="s">
        <v>17</v>
      </c>
      <c r="S16" s="774">
        <f>F16</f>
        <v>100</v>
      </c>
      <c r="T16" s="773" t="s">
        <v>17</v>
      </c>
      <c r="U16" s="774">
        <f>H16</f>
        <v>100</v>
      </c>
      <c r="V16" s="773" t="s">
        <v>17</v>
      </c>
      <c r="W16" s="774">
        <f>J16</f>
        <v>100</v>
      </c>
      <c r="X16" s="1812"/>
      <c r="Y16" s="3174"/>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74"/>
      <c r="Q17" s="1809"/>
      <c r="R17" s="773"/>
      <c r="S17" s="774"/>
      <c r="T17" s="773"/>
      <c r="U17" s="774"/>
      <c r="V17" s="773"/>
      <c r="W17" s="774"/>
      <c r="X17" s="1812"/>
      <c r="Y17" s="3174"/>
      <c r="Z17" s="1813"/>
      <c r="AA17" s="1810">
        <v>1</v>
      </c>
      <c r="AB17" s="1810">
        <v>1</v>
      </c>
      <c r="AC17" s="1810">
        <v>1</v>
      </c>
    </row>
    <row r="18" spans="1:29" ht="15">
      <c r="A18" s="428"/>
      <c r="B18" s="1383" t="s">
        <v>2680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4"/>
      <c r="Q18" s="1809" t="str">
        <f>B18</f>
        <v>基础设施水平</v>
      </c>
      <c r="R18" s="773" t="s">
        <v>17</v>
      </c>
      <c r="S18" s="774">
        <f>F18</f>
        <v>100</v>
      </c>
      <c r="T18" s="773" t="s">
        <v>17</v>
      </c>
      <c r="U18" s="774">
        <f>H18</f>
        <v>100</v>
      </c>
      <c r="V18" s="773" t="s">
        <v>17</v>
      </c>
      <c r="W18" s="774">
        <f>J18</f>
        <v>100</v>
      </c>
      <c r="X18" s="1812"/>
      <c r="Y18" s="3174"/>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74"/>
      <c r="Q19" s="1809"/>
      <c r="R19" s="773"/>
      <c r="S19" s="774"/>
      <c r="T19" s="773"/>
      <c r="U19" s="774"/>
      <c r="V19" s="773"/>
      <c r="W19" s="774"/>
      <c r="X19" s="1812"/>
      <c r="Y19" s="3174"/>
      <c r="Z19" s="1813"/>
      <c r="AA19" s="1810">
        <v>1</v>
      </c>
      <c r="AB19" s="1810">
        <v>1</v>
      </c>
      <c r="AC19" s="1810">
        <v>1</v>
      </c>
    </row>
    <row r="20" spans="1:29" ht="15">
      <c r="A20" s="428"/>
      <c r="B20" s="451" t="s">
        <v>2701</v>
      </c>
      <c r="C20" s="260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4"/>
      <c r="Q20" s="1809" t="str">
        <f>B20</f>
        <v>自然及人文环境</v>
      </c>
      <c r="R20" s="773" t="s">
        <v>17</v>
      </c>
      <c r="S20" s="774">
        <f>F20</f>
        <v>100</v>
      </c>
      <c r="T20" s="773" t="s">
        <v>17</v>
      </c>
      <c r="U20" s="774">
        <f>H20</f>
        <v>100</v>
      </c>
      <c r="V20" s="773" t="s">
        <v>17</v>
      </c>
      <c r="W20" s="774">
        <f>J20</f>
        <v>100</v>
      </c>
      <c r="X20" s="1812"/>
      <c r="Y20" s="317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4"/>
      <c r="Q21" s="1809"/>
      <c r="R21" s="773"/>
      <c r="S21" s="774"/>
      <c r="T21" s="773"/>
      <c r="U21" s="774"/>
      <c r="V21" s="773"/>
      <c r="W21" s="774"/>
      <c r="X21" s="1812"/>
      <c r="Y21" s="3174"/>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4"/>
      <c r="Q22" s="1809" t="str">
        <f>B22</f>
        <v>楼层</v>
      </c>
      <c r="R22" s="773" t="s">
        <v>17</v>
      </c>
      <c r="S22" s="774">
        <f>F22</f>
        <v>100</v>
      </c>
      <c r="T22" s="773" t="s">
        <v>17</v>
      </c>
      <c r="U22" s="774">
        <f>H22</f>
        <v>100</v>
      </c>
      <c r="V22" s="773" t="s">
        <v>17</v>
      </c>
      <c r="W22" s="774">
        <f>J22</f>
        <v>100</v>
      </c>
      <c r="X22" s="1812"/>
      <c r="Y22" s="3174"/>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4"/>
      <c r="Q23" s="1809">
        <f>B23</f>
        <v>111</v>
      </c>
      <c r="R23" s="773" t="s">
        <v>17</v>
      </c>
      <c r="S23" s="774">
        <f>F23</f>
        <v>100</v>
      </c>
      <c r="T23" s="773" t="s">
        <v>17</v>
      </c>
      <c r="U23" s="774">
        <f>H23</f>
        <v>100</v>
      </c>
      <c r="V23" s="773" t="s">
        <v>17</v>
      </c>
      <c r="W23" s="774">
        <f>J23</f>
        <v>100</v>
      </c>
      <c r="X23" s="1812"/>
      <c r="Y23" s="3174"/>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4"/>
      <c r="Q24" s="1809">
        <f t="shared" ref="Q24:Q34" si="11">B24</f>
        <v>111</v>
      </c>
      <c r="R24" s="773" t="s">
        <v>17</v>
      </c>
      <c r="S24" s="774">
        <f>F24</f>
        <v>100</v>
      </c>
      <c r="T24" s="773" t="s">
        <v>17</v>
      </c>
      <c r="U24" s="774">
        <f>H24</f>
        <v>100</v>
      </c>
      <c r="V24" s="773" t="s">
        <v>17</v>
      </c>
      <c r="W24" s="774">
        <f>J24</f>
        <v>100</v>
      </c>
      <c r="X24" s="1812"/>
      <c r="Y24" s="3174"/>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174"/>
      <c r="Q25" s="1794">
        <f t="shared" si="11"/>
        <v>111</v>
      </c>
      <c r="R25" s="769" t="s">
        <v>17</v>
      </c>
      <c r="S25" s="770">
        <f>F25</f>
        <v>100</v>
      </c>
      <c r="T25" s="769" t="s">
        <v>17</v>
      </c>
      <c r="U25" s="770">
        <f>H25</f>
        <v>100</v>
      </c>
      <c r="V25" s="769" t="s">
        <v>17</v>
      </c>
      <c r="W25" s="770">
        <f>J25</f>
        <v>100</v>
      </c>
      <c r="X25" s="771"/>
      <c r="Y25" s="3174"/>
      <c r="Z25" s="55">
        <f>Q25</f>
        <v>111</v>
      </c>
      <c r="AA25" s="1810">
        <f>D25/F25</f>
        <v>1</v>
      </c>
      <c r="AB25" s="1810">
        <f>D25/H25</f>
        <v>1</v>
      </c>
      <c r="AC25" s="1810">
        <f>D25/J25</f>
        <v>1</v>
      </c>
    </row>
    <row r="26" spans="1:29" ht="28.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293" t="s">
        <v>2556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8"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8"/>
      <c r="Q27" s="775" t="str">
        <f t="shared" si="11"/>
        <v>成新率</v>
      </c>
      <c r="R27" s="776" t="s">
        <v>17</v>
      </c>
      <c r="S27" s="777" t="e">
        <f t="shared" si="12"/>
        <v>#N/A</v>
      </c>
      <c r="T27" s="776" t="s">
        <v>17</v>
      </c>
      <c r="U27" s="777" t="e">
        <f t="shared" si="13"/>
        <v>#N/A</v>
      </c>
      <c r="V27" s="776" t="s">
        <v>17</v>
      </c>
      <c r="W27" s="777" t="e">
        <f t="shared" si="14"/>
        <v>#N/A</v>
      </c>
      <c r="X27" s="778"/>
      <c r="Y27" s="3178"/>
      <c r="Z27" s="779"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8"/>
      <c r="Q28" s="1809" t="str">
        <f t="shared" si="11"/>
        <v>物业等级</v>
      </c>
      <c r="R28" s="773" t="s">
        <v>17</v>
      </c>
      <c r="S28" s="774">
        <f t="shared" si="12"/>
        <v>100</v>
      </c>
      <c r="T28" s="773" t="s">
        <v>17</v>
      </c>
      <c r="U28" s="774">
        <f t="shared" si="13"/>
        <v>100</v>
      </c>
      <c r="V28" s="773" t="s">
        <v>17</v>
      </c>
      <c r="W28" s="774">
        <f t="shared" si="14"/>
        <v>100</v>
      </c>
      <c r="X28" s="1812"/>
      <c r="Y28" s="3178"/>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8"/>
      <c r="Q29" s="1809" t="str">
        <f t="shared" si="11"/>
        <v>有无电梯</v>
      </c>
      <c r="R29" s="773" t="s">
        <v>17</v>
      </c>
      <c r="S29" s="774">
        <f t="shared" si="12"/>
        <v>100</v>
      </c>
      <c r="T29" s="773" t="s">
        <v>17</v>
      </c>
      <c r="U29" s="774">
        <f t="shared" si="13"/>
        <v>100</v>
      </c>
      <c r="V29" s="773" t="s">
        <v>17</v>
      </c>
      <c r="W29" s="774">
        <f t="shared" si="14"/>
        <v>100</v>
      </c>
      <c r="X29" s="1812"/>
      <c r="Y29" s="3178"/>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8"/>
      <c r="Q30" s="1809" t="str">
        <f t="shared" si="11"/>
        <v>建筑面积</v>
      </c>
      <c r="R30" s="773" t="s">
        <v>17</v>
      </c>
      <c r="S30" s="774" t="e">
        <f t="shared" si="12"/>
        <v>#N/A</v>
      </c>
      <c r="T30" s="773" t="s">
        <v>17</v>
      </c>
      <c r="U30" s="774" t="e">
        <f t="shared" si="13"/>
        <v>#N/A</v>
      </c>
      <c r="V30" s="773" t="s">
        <v>17</v>
      </c>
      <c r="W30" s="774" t="e">
        <f t="shared" si="14"/>
        <v>#N/A</v>
      </c>
      <c r="X30" s="1812"/>
      <c r="Y30" s="3178"/>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8"/>
      <c r="Q31" s="1794" t="str">
        <f t="shared" si="11"/>
        <v>是否封闭</v>
      </c>
      <c r="R31" s="769" t="s">
        <v>17</v>
      </c>
      <c r="S31" s="770">
        <f t="shared" si="12"/>
        <v>100</v>
      </c>
      <c r="T31" s="769" t="s">
        <v>17</v>
      </c>
      <c r="U31" s="770">
        <f t="shared" si="13"/>
        <v>100</v>
      </c>
      <c r="V31" s="769" t="s">
        <v>17</v>
      </c>
      <c r="W31" s="770">
        <f t="shared" si="14"/>
        <v>100</v>
      </c>
      <c r="X31" s="771"/>
      <c r="Y31" s="3178"/>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8" t="s">
        <v>2556</v>
      </c>
      <c r="Q32" s="1809">
        <f t="shared" si="11"/>
        <v>111</v>
      </c>
      <c r="R32" s="773" t="s">
        <v>17</v>
      </c>
      <c r="S32" s="774">
        <f t="shared" si="12"/>
        <v>100</v>
      </c>
      <c r="T32" s="773" t="s">
        <v>17</v>
      </c>
      <c r="U32" s="774">
        <f t="shared" si="13"/>
        <v>100</v>
      </c>
      <c r="V32" s="773" t="s">
        <v>17</v>
      </c>
      <c r="W32" s="774">
        <f t="shared" si="14"/>
        <v>100</v>
      </c>
      <c r="X32" s="1812"/>
      <c r="Y32" s="3178" t="s">
        <v>2556</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8"/>
      <c r="Q33" s="1809">
        <f t="shared" si="11"/>
        <v>111</v>
      </c>
      <c r="R33" s="773" t="s">
        <v>17</v>
      </c>
      <c r="S33" s="774">
        <f t="shared" si="12"/>
        <v>100</v>
      </c>
      <c r="T33" s="773" t="s">
        <v>17</v>
      </c>
      <c r="U33" s="774">
        <f t="shared" si="13"/>
        <v>100</v>
      </c>
      <c r="V33" s="773" t="s">
        <v>17</v>
      </c>
      <c r="W33" s="774">
        <f t="shared" si="14"/>
        <v>100</v>
      </c>
      <c r="X33" s="1812"/>
      <c r="Y33" s="3178"/>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78"/>
      <c r="Q34" s="1809">
        <f t="shared" si="11"/>
        <v>111</v>
      </c>
      <c r="R34" s="773" t="s">
        <v>17</v>
      </c>
      <c r="S34" s="774">
        <f t="shared" si="12"/>
        <v>100</v>
      </c>
      <c r="T34" s="773" t="s">
        <v>17</v>
      </c>
      <c r="U34" s="774">
        <f t="shared" si="13"/>
        <v>100</v>
      </c>
      <c r="V34" s="773" t="s">
        <v>17</v>
      </c>
      <c r="W34" s="774">
        <f t="shared" si="14"/>
        <v>100</v>
      </c>
      <c r="X34" s="1812"/>
      <c r="Y34" s="3178"/>
      <c r="Z34" s="1813">
        <f t="shared" si="15"/>
        <v>111</v>
      </c>
      <c r="AA34" s="1810">
        <f t="shared" si="3"/>
        <v>1</v>
      </c>
      <c r="AB34" s="1810">
        <f t="shared" si="4"/>
        <v>1</v>
      </c>
      <c r="AC34" s="1810">
        <f t="shared" si="5"/>
        <v>1</v>
      </c>
    </row>
    <row r="35" spans="1:29" ht="15">
      <c r="A35" s="479" t="s">
        <v>2568</v>
      </c>
      <c r="B35" s="480"/>
      <c r="C35" s="1406" t="s">
        <v>1</v>
      </c>
      <c r="D35" s="1407"/>
      <c r="E35" s="1408"/>
      <c r="F35" s="1409"/>
      <c r="G35" s="1410"/>
      <c r="H35" s="1411"/>
      <c r="I35" s="1408"/>
      <c r="J35" s="1411"/>
      <c r="K35" s="782"/>
      <c r="L35" s="1142"/>
      <c r="M35" s="1143"/>
      <c r="N35" s="1130"/>
      <c r="O35" s="1143"/>
      <c r="P35" s="3171" t="str">
        <f>A35</f>
        <v>成交单价（元/平方米）</v>
      </c>
      <c r="Q35" s="3171"/>
      <c r="R35" s="3172">
        <f>E35</f>
        <v>0</v>
      </c>
      <c r="S35" s="3172"/>
      <c r="T35" s="3172">
        <f>G35</f>
        <v>0</v>
      </c>
      <c r="U35" s="3172"/>
      <c r="V35" s="3172">
        <f>I35</f>
        <v>0</v>
      </c>
      <c r="W35" s="3172"/>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168" t="str">
        <f>A37</f>
        <v>估价对象XX用房的比较价值（楼面单价，元/平方米）</v>
      </c>
      <c r="Q37" s="3169"/>
      <c r="R37" s="3170" t="e">
        <f>IF(F1="售价",ROUND(AVERAGE(R36:V36),0),ROUND(AVERAGE(R36:V36),1))</f>
        <v>#DIV/0!</v>
      </c>
      <c r="S37" s="3170"/>
      <c r="T37" s="3170"/>
      <c r="U37" s="3170"/>
      <c r="V37" s="3170"/>
      <c r="W37" s="317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9"/>
      <c r="B4" s="3018" t="s">
        <v>1625</v>
      </c>
      <c r="C4" s="3018"/>
      <c r="D4" s="3018"/>
      <c r="E4" s="1959"/>
    </row>
    <row r="5" spans="1:5" ht="16.5" thickTop="1">
      <c r="A5" s="1957"/>
      <c r="B5" s="3016" t="s">
        <v>1617</v>
      </c>
      <c r="C5" s="1960" t="s">
        <v>1618</v>
      </c>
      <c r="D5" s="1039">
        <f ca="1">结果表!H101</f>
        <v>90378</v>
      </c>
      <c r="E5" s="1957"/>
    </row>
    <row r="6" spans="1:5" ht="15.75">
      <c r="A6" s="1957"/>
      <c r="B6" s="3016"/>
      <c r="C6" s="1960" t="s">
        <v>1619</v>
      </c>
      <c r="D6" s="1039" t="str">
        <f ca="1">NUMBERSTRING(INT(D5*10000),2)&amp;"元整"</f>
        <v>玖亿零叁佰柒拾捌万元整</v>
      </c>
      <c r="E6" s="1957"/>
    </row>
    <row r="7" spans="1:5" ht="15.75">
      <c r="A7" s="1957"/>
      <c r="B7" s="3021"/>
      <c r="C7" s="1961" t="s">
        <v>1620</v>
      </c>
      <c r="D7" s="1040">
        <f ca="1">结果表!H102</f>
        <v>39873</v>
      </c>
      <c r="E7" s="1957"/>
    </row>
    <row r="8" spans="1:5" ht="15.75">
      <c r="A8" s="1957"/>
      <c r="B8" s="3022" t="str">
        <f>结果表!E103</f>
        <v>2.估价师知悉的法定优先受偿款</v>
      </c>
      <c r="C8" s="1962" t="s">
        <v>1621</v>
      </c>
      <c r="D8" s="1040">
        <f>结果表!H103</f>
        <v>0</v>
      </c>
      <c r="E8" s="1957"/>
    </row>
    <row r="9" spans="1:5" ht="15.75">
      <c r="A9" s="1957"/>
      <c r="B9" s="3024"/>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15" t="str">
        <f>结果表!E107</f>
        <v>3.房地产抵押价值</v>
      </c>
      <c r="C13" s="1965" t="s">
        <v>1618</v>
      </c>
      <c r="D13" s="1042">
        <f ca="1">结果表!H107</f>
        <v>90378</v>
      </c>
      <c r="E13" s="1957"/>
    </row>
    <row r="14" spans="1:5" ht="15.75">
      <c r="A14" s="1957"/>
      <c r="B14" s="3016"/>
      <c r="C14" s="1960" t="s">
        <v>1619</v>
      </c>
      <c r="D14" s="1039" t="str">
        <f ca="1">NUMBERSTRING(INT(D13*10000),2)&amp;"元整"</f>
        <v>玖亿零叁佰柒拾捌万元整</v>
      </c>
      <c r="E14" s="1957"/>
    </row>
    <row r="15" spans="1:5" ht="15">
      <c r="A15" s="1957"/>
      <c r="B15" s="3021"/>
      <c r="C15" s="1961" t="s">
        <v>1629</v>
      </c>
      <c r="D15" s="1051">
        <f ca="1">结果表!H108</f>
        <v>39873</v>
      </c>
      <c r="E15" s="1957"/>
    </row>
    <row r="16" spans="1:5" ht="15">
      <c r="A16" s="1957"/>
      <c r="B16" s="3022" t="str">
        <f>结果表!E109</f>
        <v>——</v>
      </c>
      <c r="C16" s="1965" t="s">
        <v>1630</v>
      </c>
      <c r="D16" s="1966" t="str">
        <f>结果表!H109</f>
        <v>——</v>
      </c>
      <c r="E16" s="1957"/>
    </row>
    <row r="17" spans="1:5" ht="15.75">
      <c r="A17" s="1957"/>
      <c r="B17" s="3023"/>
      <c r="C17" s="1960" t="s">
        <v>1631</v>
      </c>
      <c r="D17" s="1039" t="e">
        <f>NUMBERSTRING(INT(D16*10000),2)&amp;"元整"</f>
        <v>#VALUE!</v>
      </c>
      <c r="E17" s="1957"/>
    </row>
    <row r="18" spans="1:5" ht="15">
      <c r="A18" s="1957"/>
      <c r="B18" s="3024"/>
      <c r="C18" s="1961" t="s">
        <v>1620</v>
      </c>
      <c r="D18" s="1051" t="str">
        <f>结果表!H110</f>
        <v>——</v>
      </c>
      <c r="E18" s="1957"/>
    </row>
    <row r="19" spans="1:5" ht="15.75">
      <c r="A19" s="1957"/>
      <c r="B19" s="3015" t="str">
        <f>结果表!E111</f>
        <v>——</v>
      </c>
      <c r="C19" s="1965" t="s">
        <v>1618</v>
      </c>
      <c r="D19" s="1040" t="str">
        <f>结果表!H111</f>
        <v>——</v>
      </c>
      <c r="E19" s="1957"/>
    </row>
    <row r="20" spans="1:5" ht="15.75">
      <c r="A20" s="1957"/>
      <c r="B20" s="3016"/>
      <c r="C20" s="1960" t="s">
        <v>1631</v>
      </c>
      <c r="D20" s="1039" t="e">
        <f>NUMBERSTRING(INT(D19*10000),2)&amp;"元整"</f>
        <v>#VALUE!</v>
      </c>
      <c r="E20" s="1957"/>
    </row>
    <row r="21" spans="1:5" ht="15.75" thickBot="1">
      <c r="A21" s="1957"/>
      <c r="B21" s="3017"/>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37" t="s">
        <v>2639</v>
      </c>
      <c r="AC4" s="3136" t="s">
        <v>2640</v>
      </c>
    </row>
    <row r="5" spans="1:30"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37"/>
      <c r="AC5" s="3137"/>
    </row>
    <row r="6" spans="1:30" ht="15.75" thickBot="1">
      <c r="A6" s="406"/>
      <c r="B6" s="407"/>
      <c r="C6" s="3149" t="s">
        <v>2537</v>
      </c>
      <c r="D6" s="3150"/>
      <c r="E6" s="3151" t="s">
        <v>2537</v>
      </c>
      <c r="F6" s="3152"/>
      <c r="G6" s="3149" t="s">
        <v>2537</v>
      </c>
      <c r="H6" s="3150"/>
      <c r="I6" s="3149" t="s">
        <v>2537</v>
      </c>
      <c r="J6" s="3150"/>
      <c r="K6" s="610" t="s">
        <v>2538</v>
      </c>
      <c r="L6" s="1129"/>
      <c r="M6" s="1130"/>
      <c r="N6" s="1130"/>
      <c r="O6" s="1130"/>
      <c r="P6" s="3162"/>
      <c r="Q6" s="3163"/>
      <c r="R6" s="3143"/>
      <c r="S6" s="3144"/>
      <c r="T6" s="3164"/>
      <c r="U6" s="3165"/>
      <c r="V6" s="3166"/>
      <c r="W6" s="3166"/>
      <c r="X6" s="1812"/>
      <c r="Y6" s="3164"/>
      <c r="Z6" s="3165"/>
      <c r="AA6" s="3138"/>
      <c r="AB6" s="3138"/>
      <c r="AC6" s="3138"/>
    </row>
    <row r="7" spans="1:30" s="117" customFormat="1" ht="15.75" thickBot="1">
      <c r="A7" s="408" t="s">
        <v>2539</v>
      </c>
      <c r="B7" s="409"/>
      <c r="C7" s="410">
        <f>'数据-取费表'!B2</f>
        <v>43763</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139" t="s">
        <v>2540</v>
      </c>
      <c r="Q7" s="3167"/>
      <c r="R7" s="769" t="s">
        <v>17</v>
      </c>
      <c r="S7" s="770">
        <f t="shared" ref="S7:S15" si="0">F7</f>
        <v>0</v>
      </c>
      <c r="T7" s="769" t="s">
        <v>17</v>
      </c>
      <c r="U7" s="770">
        <f t="shared" ref="U7:U15" si="1">H7</f>
        <v>0</v>
      </c>
      <c r="V7" s="769" t="s">
        <v>17</v>
      </c>
      <c r="W7" s="770">
        <f t="shared" ref="W7:W15" si="2">J7</f>
        <v>0</v>
      </c>
      <c r="X7" s="771"/>
      <c r="Y7" s="3139" t="s">
        <v>2540</v>
      </c>
      <c r="Z7" s="3140"/>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45" si="3">D8/F8</f>
        <v>#DIV/0!</v>
      </c>
      <c r="AB8" s="772" t="e">
        <f t="shared" ref="AB8:AB45" si="4">D8/H8</f>
        <v>#DIV/0!</v>
      </c>
      <c r="AC8" s="772"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71"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 ca="1">ROUND(100/'数据-取费表'!G16,0)</f>
        <v>110</v>
      </c>
      <c r="G10" s="463"/>
      <c r="H10" s="136">
        <f ca="1">ROUND(100/'数据-取费表'!G16,0)</f>
        <v>110</v>
      </c>
      <c r="I10" s="463"/>
      <c r="J10" s="136">
        <f ca="1">ROUND(100/'数据-取费表'!G16,0)</f>
        <v>110</v>
      </c>
      <c r="K10" s="672"/>
      <c r="L10" s="1134"/>
      <c r="M10" s="1135"/>
      <c r="N10" s="1135"/>
      <c r="O10" s="1136"/>
      <c r="P10" s="3171"/>
      <c r="Q10" s="1794" t="str">
        <f t="shared" si="6"/>
        <v>土地使用年限（年）</v>
      </c>
      <c r="R10" s="769" t="s">
        <v>17</v>
      </c>
      <c r="S10" s="770">
        <f t="shared" ca="1" si="0"/>
        <v>110</v>
      </c>
      <c r="T10" s="769" t="s">
        <v>17</v>
      </c>
      <c r="U10" s="770">
        <f t="shared" ca="1" si="1"/>
        <v>110</v>
      </c>
      <c r="V10" s="769" t="s">
        <v>17</v>
      </c>
      <c r="W10" s="770">
        <f t="shared" ca="1" si="2"/>
        <v>110</v>
      </c>
      <c r="X10" s="771"/>
      <c r="Y10" s="3080"/>
      <c r="Z10" s="55" t="str">
        <f t="shared" si="7"/>
        <v>土地使用年限（年）</v>
      </c>
      <c r="AA10" s="772">
        <f t="shared" ca="1" si="3"/>
        <v>0.90909090909090906</v>
      </c>
      <c r="AB10" s="772">
        <f t="shared" ca="1" si="4"/>
        <v>0.90909090909090906</v>
      </c>
      <c r="AC10" s="772">
        <f t="shared" ca="1" si="5"/>
        <v>0.90909090909090906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1"/>
      <c r="Q11" s="1794"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1"/>
      <c r="Q12" s="1794" t="str">
        <f t="shared" si="6"/>
        <v>配建</v>
      </c>
      <c r="R12" s="769" t="s">
        <v>17</v>
      </c>
      <c r="S12" s="770">
        <f t="shared" si="0"/>
        <v>100</v>
      </c>
      <c r="T12" s="769" t="s">
        <v>17</v>
      </c>
      <c r="U12" s="770">
        <f t="shared" si="1"/>
        <v>100</v>
      </c>
      <c r="V12" s="769" t="s">
        <v>17</v>
      </c>
      <c r="W12" s="770">
        <f t="shared" si="2"/>
        <v>100</v>
      </c>
      <c r="X12" s="771"/>
      <c r="Y12" s="308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1"/>
      <c r="Q13" s="1794">
        <f t="shared" si="6"/>
        <v>111</v>
      </c>
      <c r="R13" s="769" t="s">
        <v>17</v>
      </c>
      <c r="S13" s="770">
        <f t="shared" si="0"/>
        <v>100</v>
      </c>
      <c r="T13" s="769" t="s">
        <v>17</v>
      </c>
      <c r="U13" s="770">
        <f t="shared" si="1"/>
        <v>100</v>
      </c>
      <c r="V13" s="769" t="s">
        <v>17</v>
      </c>
      <c r="W13" s="770">
        <f t="shared" si="2"/>
        <v>100</v>
      </c>
      <c r="X13" s="771"/>
      <c r="Y13" s="308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1"/>
      <c r="Q14" s="1794">
        <f t="shared" si="6"/>
        <v>111</v>
      </c>
      <c r="R14" s="769" t="s">
        <v>17</v>
      </c>
      <c r="S14" s="770">
        <f t="shared" si="0"/>
        <v>100</v>
      </c>
      <c r="T14" s="769" t="s">
        <v>17</v>
      </c>
      <c r="U14" s="770">
        <f t="shared" si="1"/>
        <v>100</v>
      </c>
      <c r="V14" s="769" t="s">
        <v>17</v>
      </c>
      <c r="W14" s="770">
        <f t="shared" si="2"/>
        <v>100</v>
      </c>
      <c r="X14" s="771"/>
      <c r="Y14" s="3080"/>
      <c r="Z14" s="55">
        <f t="shared" si="7"/>
        <v>111</v>
      </c>
      <c r="AA14" s="772">
        <f>D14/F14</f>
        <v>1</v>
      </c>
      <c r="AB14" s="772">
        <f>D14/H14</f>
        <v>1</v>
      </c>
      <c r="AC14" s="772">
        <f>D14/J14</f>
        <v>1</v>
      </c>
    </row>
    <row r="15" spans="1:30" ht="15">
      <c r="A15" s="440" t="s">
        <v>2550</v>
      </c>
      <c r="B15" s="69" t="s">
        <v>2079</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3" t="s">
        <v>2551</v>
      </c>
      <c r="Q15" s="1809" t="str">
        <f t="shared" si="6"/>
        <v>居住社区成熟度</v>
      </c>
      <c r="R15" s="773" t="s">
        <v>17</v>
      </c>
      <c r="S15" s="774">
        <f t="shared" si="0"/>
        <v>100</v>
      </c>
      <c r="T15" s="773" t="s">
        <v>17</v>
      </c>
      <c r="U15" s="774">
        <f t="shared" si="1"/>
        <v>100</v>
      </c>
      <c r="V15" s="773" t="s">
        <v>17</v>
      </c>
      <c r="W15" s="774">
        <f t="shared" si="2"/>
        <v>100</v>
      </c>
      <c r="X15" s="1812"/>
      <c r="Y15" s="3173" t="s">
        <v>2551</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174"/>
      <c r="Q16" s="1809"/>
      <c r="R16" s="773"/>
      <c r="S16" s="774"/>
      <c r="T16" s="773"/>
      <c r="U16" s="774"/>
      <c r="V16" s="773"/>
      <c r="W16" s="774"/>
      <c r="X16" s="1812"/>
      <c r="Y16" s="3174"/>
      <c r="Z16" s="1813"/>
      <c r="AA16" s="1810">
        <v>1</v>
      </c>
      <c r="AB16" s="1810">
        <v>1</v>
      </c>
      <c r="AC16" s="1810">
        <v>1</v>
      </c>
    </row>
    <row r="17" spans="1:29" ht="15">
      <c r="A17" s="428"/>
      <c r="B17" s="451" t="s">
        <v>2644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4"/>
      <c r="Q17" s="1809" t="str">
        <f>B17</f>
        <v>商业繁华度</v>
      </c>
      <c r="R17" s="773" t="s">
        <v>17</v>
      </c>
      <c r="S17" s="774">
        <f>F17</f>
        <v>100</v>
      </c>
      <c r="T17" s="773" t="s">
        <v>17</v>
      </c>
      <c r="U17" s="774">
        <f>H17</f>
        <v>100</v>
      </c>
      <c r="V17" s="773" t="s">
        <v>17</v>
      </c>
      <c r="W17" s="774">
        <f>J17</f>
        <v>100</v>
      </c>
      <c r="X17" s="1812"/>
      <c r="Y17" s="3174"/>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174"/>
      <c r="Q18" s="1809"/>
      <c r="R18" s="773"/>
      <c r="S18" s="774"/>
      <c r="T18" s="773"/>
      <c r="U18" s="774"/>
      <c r="V18" s="773"/>
      <c r="W18" s="774"/>
      <c r="X18" s="1812"/>
      <c r="Y18" s="3174"/>
      <c r="Z18" s="1813"/>
      <c r="AA18" s="1810">
        <v>1</v>
      </c>
      <c r="AB18" s="1810">
        <v>1</v>
      </c>
      <c r="AC18" s="1810">
        <v>1</v>
      </c>
    </row>
    <row r="19" spans="1:29" ht="15">
      <c r="A19" s="428"/>
      <c r="B19" s="451" t="s">
        <v>2678</v>
      </c>
      <c r="C19" s="2661"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4"/>
      <c r="Q19" s="1809" t="str">
        <f>B19</f>
        <v>办公集聚程度</v>
      </c>
      <c r="R19" s="773" t="s">
        <v>17</v>
      </c>
      <c r="S19" s="774">
        <f>F19</f>
        <v>100</v>
      </c>
      <c r="T19" s="773" t="s">
        <v>17</v>
      </c>
      <c r="U19" s="774">
        <f>H19</f>
        <v>100</v>
      </c>
      <c r="V19" s="773" t="s">
        <v>17</v>
      </c>
      <c r="W19" s="774">
        <f>J19</f>
        <v>100</v>
      </c>
      <c r="X19" s="1812"/>
      <c r="Y19" s="3174"/>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174"/>
      <c r="Q20" s="1809"/>
      <c r="R20" s="773"/>
      <c r="S20" s="774"/>
      <c r="T20" s="773"/>
      <c r="U20" s="774"/>
      <c r="V20" s="773"/>
      <c r="W20" s="774"/>
      <c r="X20" s="1812"/>
      <c r="Y20" s="3174"/>
      <c r="Z20" s="1813"/>
      <c r="AA20" s="1810">
        <v>1</v>
      </c>
      <c r="AB20" s="1810">
        <v>1</v>
      </c>
      <c r="AC20" s="1810">
        <v>1</v>
      </c>
    </row>
    <row r="21" spans="1:29" ht="15">
      <c r="A21" s="428"/>
      <c r="B21" s="451" t="s">
        <v>2700</v>
      </c>
      <c r="C21" s="2604"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4"/>
      <c r="Q21" s="1809" t="str">
        <f>B21</f>
        <v>交通便捷度</v>
      </c>
      <c r="R21" s="773" t="s">
        <v>17</v>
      </c>
      <c r="S21" s="774">
        <f>F21</f>
        <v>100</v>
      </c>
      <c r="T21" s="773" t="s">
        <v>17</v>
      </c>
      <c r="U21" s="774">
        <f>H21</f>
        <v>100</v>
      </c>
      <c r="V21" s="773" t="s">
        <v>17</v>
      </c>
      <c r="W21" s="774">
        <f>J21</f>
        <v>100</v>
      </c>
      <c r="X21" s="1812"/>
      <c r="Y21" s="3174"/>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174"/>
      <c r="Q22" s="1809"/>
      <c r="R22" s="773"/>
      <c r="S22" s="774"/>
      <c r="T22" s="773"/>
      <c r="U22" s="774"/>
      <c r="V22" s="773"/>
      <c r="W22" s="774"/>
      <c r="X22" s="1812"/>
      <c r="Y22" s="3174"/>
      <c r="Z22" s="1813"/>
      <c r="AA22" s="1810">
        <v>1</v>
      </c>
      <c r="AB22" s="1810">
        <v>1</v>
      </c>
      <c r="AC22" s="1810">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4"/>
      <c r="Q23" s="1809" t="str">
        <f t="shared" ref="Q23:Q37" si="8">B23</f>
        <v>区域土地利用方向</v>
      </c>
      <c r="R23" s="773" t="s">
        <v>17</v>
      </c>
      <c r="S23" s="774">
        <f>F23</f>
        <v>100</v>
      </c>
      <c r="T23" s="773" t="s">
        <v>17</v>
      </c>
      <c r="U23" s="774">
        <f>H23</f>
        <v>100</v>
      </c>
      <c r="V23" s="773" t="s">
        <v>17</v>
      </c>
      <c r="W23" s="774">
        <f>J23</f>
        <v>100</v>
      </c>
      <c r="X23" s="1812"/>
      <c r="Y23" s="3174"/>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74"/>
      <c r="Q24" s="1809"/>
      <c r="R24" s="773"/>
      <c r="S24" s="774"/>
      <c r="T24" s="773"/>
      <c r="U24" s="774"/>
      <c r="V24" s="773"/>
      <c r="W24" s="774"/>
      <c r="X24" s="1812"/>
      <c r="Y24" s="3174"/>
      <c r="Z24" s="1813"/>
      <c r="AA24" s="1810"/>
      <c r="AB24" s="1810"/>
      <c r="AC24" s="1810"/>
    </row>
    <row r="25" spans="1:29" ht="27">
      <c r="A25" s="404"/>
      <c r="B25" s="1383" t="s">
        <v>2740</v>
      </c>
      <c r="C25" s="2661"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4"/>
      <c r="Q25" s="1809" t="str">
        <f t="shared" si="8"/>
        <v>自然及人文环境状况</v>
      </c>
      <c r="R25" s="773" t="s">
        <v>17</v>
      </c>
      <c r="S25" s="774">
        <f>F25</f>
        <v>100</v>
      </c>
      <c r="T25" s="773" t="s">
        <v>17</v>
      </c>
      <c r="U25" s="774">
        <f>H25</f>
        <v>100</v>
      </c>
      <c r="V25" s="773" t="s">
        <v>17</v>
      </c>
      <c r="W25" s="774">
        <f>J25</f>
        <v>100</v>
      </c>
      <c r="X25" s="1812"/>
      <c r="Y25" s="3174"/>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174"/>
      <c r="Q26" s="1809"/>
      <c r="R26" s="773"/>
      <c r="S26" s="774"/>
      <c r="T26" s="773"/>
      <c r="U26" s="774"/>
      <c r="V26" s="773"/>
      <c r="W26" s="774"/>
      <c r="X26" s="1812"/>
      <c r="Y26" s="3174"/>
      <c r="Z26" s="1813"/>
      <c r="AA26" s="1810">
        <v>1</v>
      </c>
      <c r="AB26" s="1810">
        <v>1</v>
      </c>
      <c r="AC26" s="1810">
        <v>1</v>
      </c>
    </row>
    <row r="27" spans="1:29" s="117" customFormat="1" ht="15">
      <c r="A27" s="649"/>
      <c r="B27" s="1383" t="s">
        <v>2645</v>
      </c>
      <c r="C27" s="260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4"/>
      <c r="Q27" s="1794" t="str">
        <f t="shared" si="8"/>
        <v>公共配套设施</v>
      </c>
      <c r="R27" s="769" t="s">
        <v>17</v>
      </c>
      <c r="S27" s="770">
        <f>F27</f>
        <v>100</v>
      </c>
      <c r="T27" s="769" t="s">
        <v>17</v>
      </c>
      <c r="U27" s="770">
        <f>H27</f>
        <v>100</v>
      </c>
      <c r="V27" s="769" t="s">
        <v>17</v>
      </c>
      <c r="W27" s="770">
        <f>J27</f>
        <v>100</v>
      </c>
      <c r="X27" s="771"/>
      <c r="Y27" s="3174"/>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174"/>
      <c r="Q28" s="1794"/>
      <c r="R28" s="769"/>
      <c r="S28" s="770"/>
      <c r="T28" s="769"/>
      <c r="U28" s="770"/>
      <c r="V28" s="769"/>
      <c r="W28" s="770"/>
      <c r="X28" s="771"/>
      <c r="Y28" s="3174"/>
      <c r="Z28" s="55"/>
      <c r="AA28" s="1810">
        <v>1</v>
      </c>
      <c r="AB28" s="1810">
        <v>1</v>
      </c>
      <c r="AC28" s="1810">
        <v>1</v>
      </c>
    </row>
    <row r="29" spans="1:29" s="117" customFormat="1" ht="15">
      <c r="A29" s="649"/>
      <c r="B29" s="1383" t="s">
        <v>2646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4"/>
      <c r="Q29" s="1794" t="str">
        <f t="shared" ref="Q29" si="9">B29</f>
        <v>基础设施水平</v>
      </c>
      <c r="R29" s="769" t="s">
        <v>17</v>
      </c>
      <c r="S29" s="770">
        <f>F29</f>
        <v>100</v>
      </c>
      <c r="T29" s="769" t="s">
        <v>17</v>
      </c>
      <c r="U29" s="770">
        <f>H29</f>
        <v>100</v>
      </c>
      <c r="V29" s="769" t="s">
        <v>17</v>
      </c>
      <c r="W29" s="770">
        <f>J29</f>
        <v>100</v>
      </c>
      <c r="X29" s="771"/>
      <c r="Y29" s="3174"/>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174"/>
      <c r="Q30" s="1794"/>
      <c r="R30" s="769"/>
      <c r="S30" s="770"/>
      <c r="T30" s="769"/>
      <c r="U30" s="770"/>
      <c r="V30" s="769"/>
      <c r="W30" s="770"/>
      <c r="X30" s="771"/>
      <c r="Y30" s="3174"/>
      <c r="Z30" s="55"/>
      <c r="AA30" s="1810">
        <v>1</v>
      </c>
      <c r="AB30" s="1810">
        <v>1</v>
      </c>
      <c r="AC30" s="1810">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4"/>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74"/>
      <c r="Z31" s="1813" t="str">
        <f t="shared" ref="Z31:Z45" si="13">Q31</f>
        <v>临街状况</v>
      </c>
      <c r="AA31" s="1810">
        <f t="shared" si="3"/>
        <v>1</v>
      </c>
      <c r="AB31" s="1810">
        <f t="shared" si="4"/>
        <v>1</v>
      </c>
      <c r="AC31" s="1810">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4"/>
      <c r="Q32" s="1809" t="str">
        <f t="shared" si="8"/>
        <v>毗邻道路的类型与等级</v>
      </c>
      <c r="R32" s="773" t="s">
        <v>17</v>
      </c>
      <c r="S32" s="774">
        <f t="shared" si="10"/>
        <v>100</v>
      </c>
      <c r="T32" s="773" t="s">
        <v>17</v>
      </c>
      <c r="U32" s="774">
        <f t="shared" si="11"/>
        <v>100</v>
      </c>
      <c r="V32" s="773" t="s">
        <v>17</v>
      </c>
      <c r="W32" s="774">
        <f t="shared" si="12"/>
        <v>100</v>
      </c>
      <c r="X32" s="1812"/>
      <c r="Y32" s="3174"/>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74"/>
      <c r="Q33" s="1809"/>
      <c r="R33" s="773"/>
      <c r="S33" s="774"/>
      <c r="T33" s="773"/>
      <c r="U33" s="774"/>
      <c r="V33" s="773"/>
      <c r="W33" s="774"/>
      <c r="X33" s="1812"/>
      <c r="Y33" s="3174"/>
      <c r="Z33" s="1813"/>
      <c r="AA33" s="1810">
        <v>1</v>
      </c>
      <c r="AB33" s="1810">
        <v>1</v>
      </c>
      <c r="AC33" s="1810">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4"/>
      <c r="Q34" s="1809" t="str">
        <f t="shared" si="8"/>
        <v>土地级别</v>
      </c>
      <c r="R34" s="773" t="s">
        <v>17</v>
      </c>
      <c r="S34" s="774">
        <f t="shared" si="10"/>
        <v>100</v>
      </c>
      <c r="T34" s="773" t="s">
        <v>17</v>
      </c>
      <c r="U34" s="774">
        <f t="shared" si="11"/>
        <v>100</v>
      </c>
      <c r="V34" s="773" t="s">
        <v>17</v>
      </c>
      <c r="W34" s="774">
        <f t="shared" si="12"/>
        <v>100</v>
      </c>
      <c r="X34" s="1812"/>
      <c r="Y34" s="317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4"/>
      <c r="Q35" s="1809">
        <f t="shared" si="8"/>
        <v>111</v>
      </c>
      <c r="R35" s="773" t="s">
        <v>17</v>
      </c>
      <c r="S35" s="774">
        <f t="shared" si="10"/>
        <v>100</v>
      </c>
      <c r="T35" s="773" t="s">
        <v>17</v>
      </c>
      <c r="U35" s="774">
        <f t="shared" si="11"/>
        <v>100</v>
      </c>
      <c r="V35" s="773" t="s">
        <v>17</v>
      </c>
      <c r="W35" s="774">
        <f t="shared" si="12"/>
        <v>100</v>
      </c>
      <c r="X35" s="1812"/>
      <c r="Y35" s="317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3" t="s">
        <v>2556</v>
      </c>
      <c r="Q36" s="1809">
        <f t="shared" si="8"/>
        <v>111</v>
      </c>
      <c r="R36" s="773" t="s">
        <v>17</v>
      </c>
      <c r="S36" s="774">
        <f t="shared" si="10"/>
        <v>100</v>
      </c>
      <c r="T36" s="773" t="s">
        <v>17</v>
      </c>
      <c r="U36" s="774">
        <f t="shared" si="11"/>
        <v>100</v>
      </c>
      <c r="V36" s="773" t="s">
        <v>17</v>
      </c>
      <c r="W36" s="774">
        <f t="shared" si="12"/>
        <v>100</v>
      </c>
      <c r="X36" s="1812"/>
      <c r="Y36" s="3178" t="s">
        <v>2556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8"/>
      <c r="Q37" s="1809">
        <f t="shared" si="8"/>
        <v>111</v>
      </c>
      <c r="R37" s="776" t="s">
        <v>17</v>
      </c>
      <c r="S37" s="777">
        <f t="shared" si="10"/>
        <v>100</v>
      </c>
      <c r="T37" s="776" t="s">
        <v>17</v>
      </c>
      <c r="U37" s="777">
        <f t="shared" si="11"/>
        <v>100</v>
      </c>
      <c r="V37" s="776" t="s">
        <v>17</v>
      </c>
      <c r="W37" s="777">
        <f t="shared" si="12"/>
        <v>100</v>
      </c>
      <c r="X37" s="778"/>
      <c r="Y37" s="3178"/>
      <c r="Z37" s="779">
        <f t="shared" si="13"/>
        <v>111</v>
      </c>
      <c r="AA37" s="1810">
        <f t="shared" si="3"/>
        <v>1</v>
      </c>
      <c r="AB37" s="1810">
        <f t="shared" si="4"/>
        <v>1</v>
      </c>
      <c r="AC37" s="1810">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78"/>
      <c r="Q38" s="1809" t="str">
        <f>B38</f>
        <v>宗地面积</v>
      </c>
      <c r="R38" s="773" t="s">
        <v>17</v>
      </c>
      <c r="S38" s="774" t="e">
        <f t="shared" si="10"/>
        <v>#N/A</v>
      </c>
      <c r="T38" s="773" t="s">
        <v>17</v>
      </c>
      <c r="U38" s="774" t="e">
        <f t="shared" si="11"/>
        <v>#N/A</v>
      </c>
      <c r="V38" s="773" t="s">
        <v>17</v>
      </c>
      <c r="W38" s="774" t="e">
        <f t="shared" si="12"/>
        <v>#N/A</v>
      </c>
      <c r="X38" s="1812"/>
      <c r="Y38" s="3178"/>
      <c r="Z38" s="1813" t="str">
        <f t="shared" si="13"/>
        <v>宗地面积</v>
      </c>
      <c r="AA38" s="1810" t="e">
        <f t="shared" si="3"/>
        <v>#N/A</v>
      </c>
      <c r="AB38" s="1810" t="e">
        <f t="shared" si="4"/>
        <v>#N/A</v>
      </c>
      <c r="AC38" s="1810"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178"/>
      <c r="Q39" s="1809" t="str">
        <f t="shared" ref="Q39:Q45" si="14">B39</f>
        <v>宗地形状</v>
      </c>
      <c r="R39" s="773" t="s">
        <v>17</v>
      </c>
      <c r="S39" s="774">
        <f t="shared" si="10"/>
        <v>100</v>
      </c>
      <c r="T39" s="773" t="s">
        <v>17</v>
      </c>
      <c r="U39" s="774">
        <f t="shared" si="11"/>
        <v>100</v>
      </c>
      <c r="V39" s="773" t="s">
        <v>17</v>
      </c>
      <c r="W39" s="774">
        <f t="shared" si="12"/>
        <v>100</v>
      </c>
      <c r="X39" s="1812"/>
      <c r="Y39" s="3178"/>
      <c r="Z39" s="1813" t="str">
        <f t="shared" si="13"/>
        <v>宗地形状</v>
      </c>
      <c r="AA39" s="1810">
        <f t="shared" si="3"/>
        <v>1</v>
      </c>
      <c r="AB39" s="1810">
        <f t="shared" si="4"/>
        <v>1</v>
      </c>
      <c r="AC39" s="1810">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78"/>
      <c r="Q40" s="1809" t="str">
        <f t="shared" si="14"/>
        <v>临街宽度及深度</v>
      </c>
      <c r="R40" s="773" t="s">
        <v>17</v>
      </c>
      <c r="S40" s="774">
        <f t="shared" si="10"/>
        <v>100</v>
      </c>
      <c r="T40" s="773" t="s">
        <v>17</v>
      </c>
      <c r="U40" s="774">
        <f t="shared" si="11"/>
        <v>100</v>
      </c>
      <c r="V40" s="773" t="s">
        <v>17</v>
      </c>
      <c r="W40" s="774">
        <f t="shared" si="12"/>
        <v>100</v>
      </c>
      <c r="X40" s="1812"/>
      <c r="Y40" s="3178"/>
      <c r="Z40" s="1813" t="str">
        <f t="shared" si="13"/>
        <v>临街宽度及深度</v>
      </c>
      <c r="AA40" s="1810">
        <f t="shared" si="3"/>
        <v>1</v>
      </c>
      <c r="AB40" s="1810">
        <f t="shared" si="4"/>
        <v>1</v>
      </c>
      <c r="AC40" s="1810">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178"/>
      <c r="Q41" s="1809" t="str">
        <f t="shared" si="14"/>
        <v>宗地开发程度</v>
      </c>
      <c r="R41" s="769" t="s">
        <v>17</v>
      </c>
      <c r="S41" s="770">
        <f t="shared" si="10"/>
        <v>100</v>
      </c>
      <c r="T41" s="769" t="s">
        <v>17</v>
      </c>
      <c r="U41" s="770">
        <f t="shared" si="11"/>
        <v>100</v>
      </c>
      <c r="V41" s="769" t="s">
        <v>17</v>
      </c>
      <c r="W41" s="770">
        <f t="shared" si="12"/>
        <v>100</v>
      </c>
      <c r="X41" s="771"/>
      <c r="Y41" s="3178"/>
      <c r="Z41" s="55" t="str">
        <f t="shared" si="13"/>
        <v>宗地开发程度</v>
      </c>
      <c r="AA41" s="772">
        <f t="shared" si="3"/>
        <v>1</v>
      </c>
      <c r="AB41" s="772">
        <f t="shared" si="4"/>
        <v>1</v>
      </c>
      <c r="AC41" s="772">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78" t="s">
        <v>2556</v>
      </c>
      <c r="Q42" s="1809" t="str">
        <f t="shared" si="14"/>
        <v>工程地质条件</v>
      </c>
      <c r="R42" s="773" t="s">
        <v>17</v>
      </c>
      <c r="S42" s="774">
        <f t="shared" si="10"/>
        <v>100</v>
      </c>
      <c r="T42" s="773" t="s">
        <v>17</v>
      </c>
      <c r="U42" s="774">
        <f t="shared" si="11"/>
        <v>100</v>
      </c>
      <c r="V42" s="773" t="s">
        <v>17</v>
      </c>
      <c r="W42" s="774">
        <f t="shared" si="12"/>
        <v>100</v>
      </c>
      <c r="X42" s="1812"/>
      <c r="Y42" s="3178" t="s">
        <v>2556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8"/>
      <c r="Q43" s="1809">
        <f t="shared" si="14"/>
        <v>111</v>
      </c>
      <c r="R43" s="773" t="s">
        <v>17</v>
      </c>
      <c r="S43" s="774">
        <f t="shared" si="10"/>
        <v>100</v>
      </c>
      <c r="T43" s="773" t="s">
        <v>17</v>
      </c>
      <c r="U43" s="774">
        <f t="shared" si="11"/>
        <v>100</v>
      </c>
      <c r="V43" s="773" t="s">
        <v>17</v>
      </c>
      <c r="W43" s="774">
        <f t="shared" si="12"/>
        <v>100</v>
      </c>
      <c r="X43" s="1812"/>
      <c r="Y43" s="317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8"/>
      <c r="Q44" s="1809">
        <f t="shared" si="14"/>
        <v>111</v>
      </c>
      <c r="R44" s="773" t="s">
        <v>17</v>
      </c>
      <c r="S44" s="774">
        <f t="shared" si="10"/>
        <v>100</v>
      </c>
      <c r="T44" s="773" t="s">
        <v>17</v>
      </c>
      <c r="U44" s="774">
        <f t="shared" si="11"/>
        <v>100</v>
      </c>
      <c r="V44" s="773" t="s">
        <v>17</v>
      </c>
      <c r="W44" s="774">
        <f t="shared" si="12"/>
        <v>100</v>
      </c>
      <c r="X44" s="1812"/>
      <c r="Y44" s="3178"/>
      <c r="Z44" s="1813">
        <f t="shared" si="13"/>
        <v>111</v>
      </c>
      <c r="AA44" s="1810">
        <f t="shared" si="3"/>
        <v>1</v>
      </c>
      <c r="AB44" s="1810">
        <f t="shared" si="4"/>
        <v>1</v>
      </c>
      <c r="AC44" s="1810">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8"/>
      <c r="Q45" s="1809">
        <f t="shared" si="14"/>
        <v>111</v>
      </c>
      <c r="R45" s="776" t="s">
        <v>17</v>
      </c>
      <c r="S45" s="777">
        <f t="shared" si="10"/>
        <v>100</v>
      </c>
      <c r="T45" s="776" t="s">
        <v>17</v>
      </c>
      <c r="U45" s="777">
        <f t="shared" si="11"/>
        <v>100</v>
      </c>
      <c r="V45" s="776" t="s">
        <v>17</v>
      </c>
      <c r="W45" s="777">
        <f t="shared" si="12"/>
        <v>100</v>
      </c>
      <c r="X45" s="778"/>
      <c r="Y45" s="3178"/>
      <c r="Z45" s="779">
        <f t="shared" si="13"/>
        <v>111</v>
      </c>
      <c r="AA45" s="1810">
        <f t="shared" si="3"/>
        <v>1</v>
      </c>
      <c r="AB45" s="1810">
        <f t="shared" si="4"/>
        <v>1</v>
      </c>
      <c r="AC45" s="1810">
        <f t="shared" si="5"/>
        <v>1</v>
      </c>
    </row>
    <row r="46" spans="1:29" ht="15">
      <c r="A46" s="479" t="s">
        <v>2711</v>
      </c>
      <c r="B46" s="2701" t="s">
        <v>2747</v>
      </c>
      <c r="C46" s="682" t="s">
        <v>1</v>
      </c>
      <c r="D46" s="481"/>
      <c r="E46" s="482"/>
      <c r="F46" s="483"/>
      <c r="G46" s="484"/>
      <c r="H46" s="485"/>
      <c r="I46" s="482"/>
      <c r="J46" s="485"/>
      <c r="K46" s="782"/>
      <c r="L46" s="1142"/>
      <c r="M46" s="1143"/>
      <c r="N46" s="1130"/>
      <c r="O46" s="1143"/>
      <c r="P46" s="3171" t="str">
        <f>A46</f>
        <v>成交单价</v>
      </c>
      <c r="Q46" s="3171"/>
      <c r="R46" s="3166">
        <f>E46</f>
        <v>0</v>
      </c>
      <c r="S46" s="3166"/>
      <c r="T46" s="3166">
        <f>G46</f>
        <v>0</v>
      </c>
      <c r="U46" s="3166"/>
      <c r="V46" s="3166">
        <f>I46</f>
        <v>0</v>
      </c>
      <c r="W46" s="3166"/>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171" t="str">
        <f>A47</f>
        <v>比较价值（元/平方米）</v>
      </c>
      <c r="Q47" s="3171"/>
      <c r="R47" s="3321" t="e">
        <f>ROUND(PRODUCT(R46,AA7:AA45),0)</f>
        <v>#DIV/0!</v>
      </c>
      <c r="S47" s="3321"/>
      <c r="T47" s="3321" t="e">
        <f>ROUND(PRODUCT(T46,AB7:AB45),0)</f>
        <v>#DIV/0!</v>
      </c>
      <c r="U47" s="3321"/>
      <c r="V47" s="3321" t="e">
        <f>ROUND(PRODUCT(V46,AC7:AC45),0)</f>
        <v>#DIV/0!</v>
      </c>
      <c r="W47" s="3321"/>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168" t="str">
        <f>A48</f>
        <v>估价对象XX用房的比较价值（楼面单价，元/平方米）</v>
      </c>
      <c r="Q48" s="3169"/>
      <c r="R48" s="3322" t="e">
        <f>ROUND(AVERAGE(R47:V47),0)</f>
        <v>#DIV/0!</v>
      </c>
      <c r="S48" s="3322"/>
      <c r="T48" s="3322"/>
      <c r="U48" s="3322"/>
      <c r="V48" s="3322"/>
      <c r="W48" s="332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702" t="s">
        <v>2751</v>
      </c>
      <c r="D55" s="2703" t="s">
        <v>2752</v>
      </c>
      <c r="E55" s="686" t="s">
        <v>2753</v>
      </c>
      <c r="F55" s="1106" t="s">
        <v>2754</v>
      </c>
      <c r="G55" s="3154" t="s">
        <v>2755</v>
      </c>
      <c r="H55" s="3323"/>
      <c r="I55" s="144" t="s">
        <v>2756</v>
      </c>
      <c r="J55" s="2704">
        <f>项目基本情况!F35</f>
        <v>0</v>
      </c>
      <c r="K55" s="2705" t="s">
        <v>2757</v>
      </c>
      <c r="L55" s="1105"/>
      <c r="M55" s="1143"/>
      <c r="N55" s="1143"/>
      <c r="O55" s="1143"/>
    </row>
    <row r="56" spans="1:15" s="692" customFormat="1">
      <c r="A56" s="688" t="s">
        <v>2758</v>
      </c>
      <c r="B56" s="689" t="e">
        <f>C48</f>
        <v>#DIV/0!</v>
      </c>
      <c r="C56" s="690">
        <v>1</v>
      </c>
      <c r="D56" s="1162">
        <v>1</v>
      </c>
      <c r="E56" s="690">
        <f>'数据-汇总表'!E8+'数据-汇总表'!E9</f>
        <v>18053.419999999998</v>
      </c>
      <c r="F56" s="1102" t="e">
        <f t="shared" ref="F56:F65" si="15">ROUND(B56*E56/10000,0)</f>
        <v>#DIV/0!</v>
      </c>
      <c r="G56" s="3153"/>
      <c r="H56" s="3171"/>
      <c r="I56" s="1107">
        <v>1</v>
      </c>
      <c r="J56" s="1110">
        <v>1</v>
      </c>
      <c r="K56" s="1144"/>
      <c r="L56" s="940"/>
      <c r="M56" s="940"/>
      <c r="N56" s="940"/>
      <c r="O56" s="940"/>
    </row>
    <row r="57" spans="1:15" s="692" customFormat="1">
      <c r="A57" s="693" t="s">
        <v>2759</v>
      </c>
      <c r="B57" s="262" t="e">
        <f>ROUND($C$48*C57*D57,0)</f>
        <v>#DIV/0!</v>
      </c>
      <c r="C57" s="200">
        <f t="shared" ref="C57:C65" si="16">IF($C$55="北京市系数",I57,J57)</f>
        <v>0</v>
      </c>
      <c r="D57" s="1163">
        <v>0.25</v>
      </c>
      <c r="E57" s="694"/>
      <c r="F57" s="1102" t="e">
        <f t="shared" si="15"/>
        <v>#DIV/0!</v>
      </c>
      <c r="G57" s="3324" t="s">
        <v>2760</v>
      </c>
      <c r="H57" s="1103">
        <f>项目基本情况!B37</f>
        <v>0</v>
      </c>
      <c r="I57" s="1107">
        <f>SUMIF(修正!A45:A56,H57,修正!B45:B56)</f>
        <v>0</v>
      </c>
      <c r="J57" s="1111"/>
      <c r="K57" s="1143"/>
      <c r="L57" s="940"/>
      <c r="M57" s="940"/>
      <c r="N57" s="940"/>
      <c r="O57" s="940"/>
    </row>
    <row r="58" spans="1:15" s="692" customFormat="1">
      <c r="A58" s="693" t="s">
        <v>2761</v>
      </c>
      <c r="B58" s="262" t="e">
        <f t="shared" ref="B58:B65" si="17">ROUND($C$48*C58*D58,0)</f>
        <v>#DIV/0!</v>
      </c>
      <c r="C58" s="200">
        <f t="shared" si="16"/>
        <v>0</v>
      </c>
      <c r="D58" s="1163">
        <v>0.25</v>
      </c>
      <c r="E58" s="694"/>
      <c r="F58" s="1102" t="e">
        <f t="shared" si="15"/>
        <v>#DIV/0!</v>
      </c>
      <c r="G58" s="3324"/>
      <c r="H58" s="1103">
        <f>项目基本情况!B37</f>
        <v>0</v>
      </c>
      <c r="I58" s="1107">
        <f>SUMIF(修正!A45:A56,H58,修正!C45:C56)</f>
        <v>0</v>
      </c>
      <c r="J58" s="1111"/>
      <c r="K58" s="1144"/>
      <c r="L58" s="940"/>
      <c r="M58" s="940"/>
      <c r="N58" s="940"/>
      <c r="O58" s="940"/>
    </row>
    <row r="59" spans="1:15" s="692" customFormat="1">
      <c r="A59" s="693" t="s">
        <v>2762</v>
      </c>
      <c r="B59" s="262" t="e">
        <f t="shared" si="17"/>
        <v>#DIV/0!</v>
      </c>
      <c r="C59" s="200">
        <f t="shared" si="16"/>
        <v>0</v>
      </c>
      <c r="D59" s="1163">
        <v>0.25</v>
      </c>
      <c r="E59" s="694"/>
      <c r="F59" s="1102" t="e">
        <f t="shared" si="15"/>
        <v>#DIV/0!</v>
      </c>
      <c r="G59" s="3324"/>
      <c r="H59" s="1103">
        <f>项目基本情况!B37</f>
        <v>0</v>
      </c>
      <c r="I59" s="1107">
        <f>SUMIF(修正!A45:A56,H59,修正!D45:D56)</f>
        <v>0</v>
      </c>
      <c r="J59" s="1111"/>
      <c r="K59" s="1143"/>
      <c r="L59" s="940"/>
      <c r="M59" s="940"/>
      <c r="N59" s="940"/>
      <c r="O59" s="940"/>
    </row>
    <row r="60" spans="1:15" s="692" customFormat="1">
      <c r="A60" s="693" t="s">
        <v>2763</v>
      </c>
      <c r="B60" s="262" t="e">
        <f t="shared" si="17"/>
        <v>#DIV/0!</v>
      </c>
      <c r="C60" s="200">
        <f t="shared" si="16"/>
        <v>0</v>
      </c>
      <c r="D60" s="1163">
        <v>0.25</v>
      </c>
      <c r="E60" s="694"/>
      <c r="F60" s="1102" t="e">
        <f t="shared" si="15"/>
        <v>#DIV/0!</v>
      </c>
      <c r="G60" s="3324"/>
      <c r="H60" s="1103">
        <f>项目基本情况!B37</f>
        <v>0</v>
      </c>
      <c r="I60" s="1107">
        <f>SUMIF(修正!A45:A56,H60,修正!E45:E56)</f>
        <v>0</v>
      </c>
      <c r="J60" s="1111"/>
      <c r="K60" s="1144"/>
      <c r="L60" s="940"/>
      <c r="M60" s="940"/>
      <c r="N60" s="940"/>
      <c r="O60" s="940"/>
    </row>
    <row r="61" spans="1:15" s="692" customFormat="1">
      <c r="A61" s="693" t="s">
        <v>2764</v>
      </c>
      <c r="B61" s="262" t="e">
        <f t="shared" si="17"/>
        <v>#DIV/0!</v>
      </c>
      <c r="C61" s="200">
        <f t="shared" si="16"/>
        <v>0.25</v>
      </c>
      <c r="D61" s="1163">
        <v>0.25</v>
      </c>
      <c r="E61" s="261">
        <f>'数据-汇总表'!E11</f>
        <v>1248.6200000000001</v>
      </c>
      <c r="F61" s="1102" t="e">
        <f t="shared" si="15"/>
        <v>#DIV/0!</v>
      </c>
      <c r="G61" s="2706" t="s">
        <v>2765</v>
      </c>
      <c r="H61" s="1103" t="str">
        <f>项目基本情况!C37</f>
        <v>五级</v>
      </c>
      <c r="I61" s="1107">
        <f>SUMIF(修正!A45:A56,H61,修正!F45:F56)</f>
        <v>0.25</v>
      </c>
      <c r="J61" s="1111"/>
      <c r="K61" s="1143"/>
      <c r="L61" s="940"/>
      <c r="M61" s="940"/>
      <c r="N61" s="940"/>
      <c r="O61" s="940"/>
    </row>
    <row r="62" spans="1:15" s="692" customFormat="1">
      <c r="A62" s="693" t="s">
        <v>2766</v>
      </c>
      <c r="B62" s="262" t="e">
        <f t="shared" si="17"/>
        <v>#DIV/0!</v>
      </c>
      <c r="C62" s="200">
        <f t="shared" si="16"/>
        <v>0.25</v>
      </c>
      <c r="D62" s="1163">
        <v>0.25</v>
      </c>
      <c r="E62" s="261">
        <f>'数据-汇总表'!E12</f>
        <v>0</v>
      </c>
      <c r="F62" s="1102" t="e">
        <f t="shared" si="15"/>
        <v>#DIV/0!</v>
      </c>
      <c r="G62" s="1108" t="s">
        <v>2767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2768</v>
      </c>
      <c r="B63" s="262" t="e">
        <f t="shared" si="17"/>
        <v>#DIV/0!</v>
      </c>
      <c r="C63" s="200">
        <f t="shared" si="16"/>
        <v>0</v>
      </c>
      <c r="D63" s="1163">
        <v>0.25</v>
      </c>
      <c r="E63" s="261">
        <f>'数据-汇总表'!E13</f>
        <v>3282.62</v>
      </c>
      <c r="F63" s="1102" t="e">
        <f t="shared" si="15"/>
        <v>#DIV/0!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t="e">
        <f t="shared" si="17"/>
        <v>#DIV/0!</v>
      </c>
      <c r="C64" s="200">
        <f t="shared" si="16"/>
        <v>0</v>
      </c>
      <c r="D64" s="1163">
        <v>0.25</v>
      </c>
      <c r="E64" s="261">
        <f>'数据-汇总表'!E14</f>
        <v>0</v>
      </c>
      <c r="F64" s="1102" t="e">
        <f t="shared" si="15"/>
        <v>#DIV/0!</v>
      </c>
      <c r="G64" s="2706" t="s">
        <v>2760</v>
      </c>
      <c r="H64" s="1103">
        <f>项目基本情况!B37</f>
        <v>0</v>
      </c>
      <c r="I64" s="1107">
        <f>SUMIF(修正!A45:A56,H64,修正!H45:H56)</f>
        <v>0</v>
      </c>
      <c r="J64" s="1111"/>
      <c r="K64" s="1144"/>
      <c r="L64" s="940"/>
      <c r="M64" s="940"/>
      <c r="N64" s="940"/>
      <c r="O64" s="940"/>
    </row>
    <row r="65" spans="1:17" s="692" customFormat="1" ht="15" thickBot="1">
      <c r="A65" s="693" t="s">
        <v>2771</v>
      </c>
      <c r="B65" s="262" t="e">
        <f t="shared" si="17"/>
        <v>#DIV/0!</v>
      </c>
      <c r="C65" s="200">
        <f t="shared" si="16"/>
        <v>0.2</v>
      </c>
      <c r="D65" s="1163">
        <v>0.25</v>
      </c>
      <c r="E65" s="261">
        <f>'数据-汇总表'!E15</f>
        <v>0</v>
      </c>
      <c r="F65" s="1102" t="e">
        <f t="shared" si="15"/>
        <v>#DIV/0!</v>
      </c>
      <c r="G65" s="2707" t="s">
        <v>2765</v>
      </c>
      <c r="H65" s="1113" t="str">
        <f>项目基本情况!C37</f>
        <v>五级</v>
      </c>
      <c r="I65" s="1109">
        <f>SUMIF(修正!A45:A56,H65,修正!H45:H56)</f>
        <v>0.2</v>
      </c>
      <c r="J65" s="1112"/>
      <c r="K65" s="1143"/>
      <c r="L65" s="940"/>
      <c r="M65" s="940"/>
      <c r="N65" s="940"/>
      <c r="O65" s="940"/>
    </row>
    <row r="66" spans="1:17" s="692" customFormat="1" ht="13.5" thickBot="1">
      <c r="A66" s="695" t="s">
        <v>2772</v>
      </c>
      <c r="B66" s="696" t="s">
        <v>28</v>
      </c>
      <c r="C66" s="696" t="s">
        <v>29</v>
      </c>
      <c r="D66" s="696" t="s">
        <v>1026</v>
      </c>
      <c r="E66" s="696">
        <f>IF(B46="楼面地价",SUM(E56:E65),'数据-汇总表'!D3)</f>
        <v>22584.659999999996</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8" t="s">
        <v>2773</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09" t="s">
        <v>2774</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41" t="s">
        <v>2638</v>
      </c>
      <c r="S4" s="3142"/>
      <c r="T4" s="3141" t="s">
        <v>2639</v>
      </c>
      <c r="U4" s="3142"/>
      <c r="V4" s="3166" t="s">
        <v>2640</v>
      </c>
      <c r="W4" s="3166"/>
      <c r="X4" s="1812"/>
      <c r="Y4" s="3141" t="s">
        <v>2642</v>
      </c>
      <c r="Z4" s="3142"/>
      <c r="AA4" s="3136" t="s">
        <v>2638</v>
      </c>
      <c r="AB4" s="3137" t="s">
        <v>2639</v>
      </c>
      <c r="AC4" s="3136" t="s">
        <v>2640</v>
      </c>
    </row>
    <row r="5" spans="1:29" ht="15">
      <c r="A5" s="404"/>
      <c r="B5" s="405"/>
      <c r="C5" s="3147" t="s">
        <v>2533</v>
      </c>
      <c r="D5" s="3148"/>
      <c r="E5" s="3145" t="s">
        <v>2534</v>
      </c>
      <c r="F5" s="3146"/>
      <c r="G5" s="3147" t="s">
        <v>2535</v>
      </c>
      <c r="H5" s="3148"/>
      <c r="I5" s="3147" t="s">
        <v>2536</v>
      </c>
      <c r="J5" s="3148"/>
      <c r="K5" s="610"/>
      <c r="L5" s="1129"/>
      <c r="M5" s="1130"/>
      <c r="N5" s="1130"/>
      <c r="O5" s="1130"/>
      <c r="P5" s="3160"/>
      <c r="Q5" s="3161"/>
      <c r="R5" s="3143"/>
      <c r="S5" s="3144"/>
      <c r="T5" s="3143"/>
      <c r="U5" s="3144"/>
      <c r="V5" s="3166"/>
      <c r="W5" s="3166"/>
      <c r="X5" s="1812"/>
      <c r="Y5" s="3143"/>
      <c r="Z5" s="3144"/>
      <c r="AA5" s="3137"/>
      <c r="AB5" s="3137"/>
      <c r="AC5" s="3137"/>
    </row>
    <row r="6" spans="1:29" ht="15.75" thickBot="1">
      <c r="A6" s="406"/>
      <c r="B6" s="407"/>
      <c r="C6" s="3325" t="s">
        <v>2788</v>
      </c>
      <c r="D6" s="3326"/>
      <c r="E6" s="3327" t="s">
        <v>2788</v>
      </c>
      <c r="F6" s="3328"/>
      <c r="G6" s="3325" t="s">
        <v>2788</v>
      </c>
      <c r="H6" s="3326"/>
      <c r="I6" s="3325" t="s">
        <v>2788</v>
      </c>
      <c r="J6" s="3326"/>
      <c r="K6" s="610" t="s">
        <v>2538</v>
      </c>
      <c r="L6" s="1129"/>
      <c r="M6" s="1130"/>
      <c r="N6" s="1130"/>
      <c r="O6" s="1130"/>
      <c r="P6" s="3162"/>
      <c r="Q6" s="3163"/>
      <c r="R6" s="3143"/>
      <c r="S6" s="3144"/>
      <c r="T6" s="3164"/>
      <c r="U6" s="3165"/>
      <c r="V6" s="3166"/>
      <c r="W6" s="3166"/>
      <c r="X6" s="1812"/>
      <c r="Y6" s="3164"/>
      <c r="Z6" s="3165"/>
      <c r="AA6" s="3138"/>
      <c r="AB6" s="3138"/>
      <c r="AC6" s="3138"/>
    </row>
    <row r="7" spans="1:29" s="117" customFormat="1" ht="15.75" thickBot="1">
      <c r="A7" s="408" t="s">
        <v>2539</v>
      </c>
      <c r="B7" s="409"/>
      <c r="C7" s="410">
        <f>'数据-取费表'!B2</f>
        <v>43763</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39" t="s">
        <v>2540</v>
      </c>
      <c r="Q7" s="3167"/>
      <c r="R7" s="769" t="s">
        <v>17</v>
      </c>
      <c r="S7" s="770">
        <f t="shared" ref="S7:S15" si="0">F7</f>
        <v>0</v>
      </c>
      <c r="T7" s="769" t="s">
        <v>17</v>
      </c>
      <c r="U7" s="770">
        <f t="shared" ref="U7:U15" si="1">H7</f>
        <v>0</v>
      </c>
      <c r="V7" s="769" t="s">
        <v>17</v>
      </c>
      <c r="W7" s="770">
        <f t="shared" ref="W7:W15" si="2">J7</f>
        <v>0</v>
      </c>
      <c r="X7" s="771"/>
      <c r="Y7" s="3139" t="s">
        <v>2540</v>
      </c>
      <c r="Z7" s="3140"/>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39" t="s">
        <v>2543</v>
      </c>
      <c r="Q8" s="3140"/>
      <c r="R8" s="769" t="s">
        <v>17</v>
      </c>
      <c r="S8" s="770">
        <f t="shared" si="0"/>
        <v>0</v>
      </c>
      <c r="T8" s="769" t="s">
        <v>17</v>
      </c>
      <c r="U8" s="770">
        <f t="shared" si="1"/>
        <v>0</v>
      </c>
      <c r="V8" s="769" t="s">
        <v>17</v>
      </c>
      <c r="W8" s="770">
        <f t="shared" si="2"/>
        <v>0</v>
      </c>
      <c r="X8" s="771"/>
      <c r="Y8" s="3139" t="s">
        <v>2543</v>
      </c>
      <c r="Z8" s="3140"/>
      <c r="AA8" s="772" t="e">
        <f t="shared" ref="AA8:AA40" si="3">D8/F8</f>
        <v>#DIV/0!</v>
      </c>
      <c r="AB8" s="772" t="e">
        <f t="shared" ref="AB8:AB40" si="4">D8/H8</f>
        <v>#DIV/0!</v>
      </c>
      <c r="AC8" s="772"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71" t="s">
        <v>2546</v>
      </c>
      <c r="Q9" s="1794" t="str">
        <f t="shared" ref="Q9:Q15" si="6">B9</f>
        <v>用途</v>
      </c>
      <c r="R9" s="769" t="s">
        <v>17</v>
      </c>
      <c r="S9" s="770">
        <f t="shared" si="0"/>
        <v>100</v>
      </c>
      <c r="T9" s="769" t="s">
        <v>17</v>
      </c>
      <c r="U9" s="770">
        <f t="shared" si="1"/>
        <v>100</v>
      </c>
      <c r="V9" s="769" t="s">
        <v>17</v>
      </c>
      <c r="W9" s="770">
        <f t="shared" si="2"/>
        <v>100</v>
      </c>
      <c r="X9" s="771"/>
      <c r="Y9" s="3080"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 ca="1">ROUND(100/'数据-取费表'!G16,0)</f>
        <v>110</v>
      </c>
      <c r="G10" s="432"/>
      <c r="H10" s="136">
        <f ca="1">ROUND(100/'数据-取费表'!G16,0)</f>
        <v>110</v>
      </c>
      <c r="I10" s="432"/>
      <c r="J10" s="136">
        <f ca="1">ROUND(100/'数据-取费表'!G16,0)</f>
        <v>110</v>
      </c>
      <c r="K10" s="672"/>
      <c r="L10" s="1134"/>
      <c r="M10" s="1135"/>
      <c r="N10" s="1135"/>
      <c r="O10" s="1136"/>
      <c r="P10" s="3171"/>
      <c r="Q10" s="1794" t="str">
        <f t="shared" si="6"/>
        <v>土地使用年限（年）</v>
      </c>
      <c r="R10" s="769" t="s">
        <v>17</v>
      </c>
      <c r="S10" s="770">
        <f t="shared" ca="1" si="0"/>
        <v>110</v>
      </c>
      <c r="T10" s="769" t="s">
        <v>17</v>
      </c>
      <c r="U10" s="770">
        <f t="shared" ca="1" si="1"/>
        <v>110</v>
      </c>
      <c r="V10" s="769" t="s">
        <v>17</v>
      </c>
      <c r="W10" s="770">
        <f t="shared" ca="1" si="2"/>
        <v>110</v>
      </c>
      <c r="X10" s="771"/>
      <c r="Y10" s="3080"/>
      <c r="Z10" s="55" t="str">
        <f t="shared" si="7"/>
        <v>土地使用年限（年）</v>
      </c>
      <c r="AA10" s="772">
        <f t="shared" ca="1" si="3"/>
        <v>0.90909090909090906</v>
      </c>
      <c r="AB10" s="772">
        <f t="shared" ca="1" si="4"/>
        <v>0.90909090909090906</v>
      </c>
      <c r="AC10" s="772">
        <f t="shared" ca="1" si="5"/>
        <v>0.90909090909090906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1"/>
      <c r="Q11" s="1794"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1"/>
      <c r="Q12" s="1794">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1"/>
      <c r="Q13" s="1794">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1"/>
      <c r="Q14" s="1794">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3" t="s">
        <v>2551</v>
      </c>
      <c r="Q15" s="1809" t="str">
        <f t="shared" si="6"/>
        <v>产业集聚程度</v>
      </c>
      <c r="R15" s="773" t="s">
        <v>17</v>
      </c>
      <c r="S15" s="774">
        <f t="shared" si="0"/>
        <v>100</v>
      </c>
      <c r="T15" s="773" t="s">
        <v>17</v>
      </c>
      <c r="U15" s="774">
        <f t="shared" si="1"/>
        <v>100</v>
      </c>
      <c r="V15" s="773" t="s">
        <v>17</v>
      </c>
      <c r="W15" s="774">
        <f t="shared" si="2"/>
        <v>100</v>
      </c>
      <c r="X15" s="1812"/>
      <c r="Y15" s="3173" t="s">
        <v>2551</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174"/>
      <c r="Q16" s="1809"/>
      <c r="R16" s="773"/>
      <c r="S16" s="774"/>
      <c r="T16" s="773"/>
      <c r="U16" s="774"/>
      <c r="V16" s="773"/>
      <c r="W16" s="774"/>
      <c r="X16" s="1812"/>
      <c r="Y16" s="3174"/>
      <c r="Z16" s="1813"/>
      <c r="AA16" s="1810">
        <v>1</v>
      </c>
      <c r="AB16" s="1810">
        <v>1</v>
      </c>
      <c r="AC16" s="1810">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4"/>
      <c r="Q17" s="1809" t="str">
        <f>B17</f>
        <v>交通便捷度</v>
      </c>
      <c r="R17" s="773" t="s">
        <v>17</v>
      </c>
      <c r="S17" s="774">
        <f>F17</f>
        <v>100</v>
      </c>
      <c r="T17" s="773" t="s">
        <v>17</v>
      </c>
      <c r="U17" s="774">
        <f>H17</f>
        <v>100</v>
      </c>
      <c r="V17" s="773" t="s">
        <v>17</v>
      </c>
      <c r="W17" s="774">
        <f>J17</f>
        <v>100</v>
      </c>
      <c r="X17" s="1812"/>
      <c r="Y17" s="3174"/>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174"/>
      <c r="Q18" s="1809"/>
      <c r="R18" s="773"/>
      <c r="S18" s="774"/>
      <c r="T18" s="773"/>
      <c r="U18" s="774"/>
      <c r="V18" s="773"/>
      <c r="W18" s="774"/>
      <c r="X18" s="1812"/>
      <c r="Y18" s="3174"/>
      <c r="Z18" s="1813"/>
      <c r="AA18" s="1810">
        <v>1</v>
      </c>
      <c r="AB18" s="1810">
        <v>1</v>
      </c>
      <c r="AC18" s="1810">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4"/>
      <c r="Q19" s="1809" t="str">
        <f t="shared" ref="Q19:Q33" si="8">B19</f>
        <v>区域土地利用方向</v>
      </c>
      <c r="R19" s="773" t="s">
        <v>17</v>
      </c>
      <c r="S19" s="774">
        <f>F19</f>
        <v>100</v>
      </c>
      <c r="T19" s="773" t="s">
        <v>17</v>
      </c>
      <c r="U19" s="774">
        <f>H19</f>
        <v>100</v>
      </c>
      <c r="V19" s="773" t="s">
        <v>17</v>
      </c>
      <c r="W19" s="774">
        <f>J19</f>
        <v>100</v>
      </c>
      <c r="X19" s="1812"/>
      <c r="Y19" s="3174"/>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1"/>
      <c r="L20" s="1139"/>
      <c r="M20" s="1130"/>
      <c r="N20" s="1130"/>
      <c r="O20" s="1138"/>
      <c r="P20" s="3174"/>
      <c r="Q20" s="1809"/>
      <c r="R20" s="773"/>
      <c r="S20" s="774"/>
      <c r="T20" s="773"/>
      <c r="U20" s="774"/>
      <c r="V20" s="773"/>
      <c r="W20" s="774"/>
      <c r="X20" s="1812"/>
      <c r="Y20" s="3174"/>
      <c r="Z20" s="1813"/>
      <c r="AA20" s="1810"/>
      <c r="AB20" s="1810"/>
      <c r="AC20" s="1810"/>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4"/>
      <c r="Q21" s="1809" t="str">
        <f t="shared" si="8"/>
        <v>环境状况</v>
      </c>
      <c r="R21" s="773" t="s">
        <v>17</v>
      </c>
      <c r="S21" s="774">
        <f>F21</f>
        <v>100</v>
      </c>
      <c r="T21" s="773" t="s">
        <v>17</v>
      </c>
      <c r="U21" s="774">
        <f>H21</f>
        <v>100</v>
      </c>
      <c r="V21" s="773" t="s">
        <v>17</v>
      </c>
      <c r="W21" s="774">
        <f>J21</f>
        <v>100</v>
      </c>
      <c r="X21" s="1812"/>
      <c r="Y21" s="3174"/>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174"/>
      <c r="Q22" s="1809"/>
      <c r="R22" s="773"/>
      <c r="S22" s="774"/>
      <c r="T22" s="773"/>
      <c r="U22" s="774"/>
      <c r="V22" s="773"/>
      <c r="W22" s="774"/>
      <c r="X22" s="1812"/>
      <c r="Y22" s="3174"/>
      <c r="Z22" s="1813"/>
      <c r="AA22" s="1810">
        <v>1</v>
      </c>
      <c r="AB22" s="1810">
        <v>1</v>
      </c>
      <c r="AC22" s="1810">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4"/>
      <c r="Q23" s="1794" t="str">
        <f t="shared" si="8"/>
        <v>公共配套设施</v>
      </c>
      <c r="R23" s="769" t="s">
        <v>17</v>
      </c>
      <c r="S23" s="770">
        <f>F23</f>
        <v>100</v>
      </c>
      <c r="T23" s="769" t="s">
        <v>17</v>
      </c>
      <c r="U23" s="770">
        <f>H23</f>
        <v>100</v>
      </c>
      <c r="V23" s="769" t="s">
        <v>17</v>
      </c>
      <c r="W23" s="770">
        <f>J23</f>
        <v>100</v>
      </c>
      <c r="X23" s="771"/>
      <c r="Y23" s="3174"/>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174"/>
      <c r="Q24" s="1794"/>
      <c r="R24" s="769"/>
      <c r="S24" s="770"/>
      <c r="T24" s="769"/>
      <c r="U24" s="770"/>
      <c r="V24" s="769"/>
      <c r="W24" s="770"/>
      <c r="X24" s="771"/>
      <c r="Y24" s="3174"/>
      <c r="Z24" s="55"/>
      <c r="AA24" s="772">
        <v>1</v>
      </c>
      <c r="AB24" s="772">
        <v>1</v>
      </c>
      <c r="AC24" s="772">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4"/>
      <c r="Q25" s="1794" t="str">
        <f t="shared" ref="Q25" si="9">B25</f>
        <v>基础设施水平</v>
      </c>
      <c r="R25" s="769" t="s">
        <v>17</v>
      </c>
      <c r="S25" s="770">
        <f>F25</f>
        <v>100</v>
      </c>
      <c r="T25" s="769" t="s">
        <v>17</v>
      </c>
      <c r="U25" s="770">
        <f>H25</f>
        <v>100</v>
      </c>
      <c r="V25" s="769" t="s">
        <v>17</v>
      </c>
      <c r="W25" s="770">
        <f>J25</f>
        <v>100</v>
      </c>
      <c r="X25" s="771"/>
      <c r="Y25" s="3174"/>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174"/>
      <c r="Q26" s="1794"/>
      <c r="R26" s="769"/>
      <c r="S26" s="770"/>
      <c r="T26" s="769"/>
      <c r="U26" s="770"/>
      <c r="V26" s="769"/>
      <c r="W26" s="770"/>
      <c r="X26" s="771"/>
      <c r="Y26" s="3174"/>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4"/>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4"/>
      <c r="Z27" s="1813" t="str">
        <f t="shared" ref="Z27:Z40" si="13">Q27</f>
        <v>临街状况</v>
      </c>
      <c r="AA27" s="1810">
        <f t="shared" si="3"/>
        <v>1</v>
      </c>
      <c r="AB27" s="1810">
        <f t="shared" si="4"/>
        <v>1</v>
      </c>
      <c r="AC27" s="1810">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4"/>
      <c r="Q28" s="1809" t="str">
        <f t="shared" si="8"/>
        <v>毗邻道路的类型与等级</v>
      </c>
      <c r="R28" s="773" t="s">
        <v>17</v>
      </c>
      <c r="S28" s="774">
        <f t="shared" si="10"/>
        <v>100</v>
      </c>
      <c r="T28" s="773" t="s">
        <v>17</v>
      </c>
      <c r="U28" s="774">
        <f t="shared" si="11"/>
        <v>100</v>
      </c>
      <c r="V28" s="773" t="s">
        <v>17</v>
      </c>
      <c r="W28" s="774">
        <f t="shared" si="12"/>
        <v>100</v>
      </c>
      <c r="X28" s="1812"/>
      <c r="Y28" s="3174"/>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174"/>
      <c r="Q29" s="1809"/>
      <c r="R29" s="773"/>
      <c r="S29" s="774"/>
      <c r="T29" s="773"/>
      <c r="U29" s="774"/>
      <c r="V29" s="773"/>
      <c r="W29" s="774"/>
      <c r="X29" s="1812"/>
      <c r="Y29" s="3174"/>
      <c r="Z29" s="1813"/>
      <c r="AA29" s="1810">
        <v>1</v>
      </c>
      <c r="AB29" s="1810">
        <v>1</v>
      </c>
      <c r="AC29" s="1810">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4"/>
      <c r="Q30" s="1809" t="str">
        <f t="shared" si="8"/>
        <v>土地级别</v>
      </c>
      <c r="R30" s="773" t="s">
        <v>17</v>
      </c>
      <c r="S30" s="774">
        <f t="shared" si="10"/>
        <v>100</v>
      </c>
      <c r="T30" s="773" t="s">
        <v>17</v>
      </c>
      <c r="U30" s="774">
        <f t="shared" si="11"/>
        <v>100</v>
      </c>
      <c r="V30" s="773" t="s">
        <v>17</v>
      </c>
      <c r="W30" s="774">
        <f t="shared" si="12"/>
        <v>100</v>
      </c>
      <c r="X30" s="1812"/>
      <c r="Y30" s="3174"/>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4"/>
      <c r="Q31" s="1809">
        <f t="shared" si="8"/>
        <v>111</v>
      </c>
      <c r="R31" s="773" t="s">
        <v>17</v>
      </c>
      <c r="S31" s="774">
        <f t="shared" si="10"/>
        <v>100</v>
      </c>
      <c r="T31" s="773" t="s">
        <v>17</v>
      </c>
      <c r="U31" s="774">
        <f t="shared" si="11"/>
        <v>100</v>
      </c>
      <c r="V31" s="773" t="s">
        <v>17</v>
      </c>
      <c r="W31" s="774">
        <f t="shared" si="12"/>
        <v>100</v>
      </c>
      <c r="X31" s="1812"/>
      <c r="Y31" s="3174"/>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3" t="s">
        <v>2556</v>
      </c>
      <c r="Q32" s="1809">
        <f t="shared" si="8"/>
        <v>111</v>
      </c>
      <c r="R32" s="773" t="s">
        <v>17</v>
      </c>
      <c r="S32" s="774">
        <f t="shared" si="10"/>
        <v>100</v>
      </c>
      <c r="T32" s="773" t="s">
        <v>17</v>
      </c>
      <c r="U32" s="774">
        <f t="shared" si="11"/>
        <v>100</v>
      </c>
      <c r="V32" s="773" t="s">
        <v>17</v>
      </c>
      <c r="W32" s="774">
        <f t="shared" si="12"/>
        <v>100</v>
      </c>
      <c r="X32" s="1812"/>
      <c r="Y32" s="3178" t="s">
        <v>2556</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8"/>
      <c r="Q33" s="1809">
        <f t="shared" si="8"/>
        <v>111</v>
      </c>
      <c r="R33" s="776" t="s">
        <v>17</v>
      </c>
      <c r="S33" s="777">
        <f t="shared" si="10"/>
        <v>100</v>
      </c>
      <c r="T33" s="776" t="s">
        <v>17</v>
      </c>
      <c r="U33" s="777">
        <f t="shared" si="11"/>
        <v>100</v>
      </c>
      <c r="V33" s="776" t="s">
        <v>17</v>
      </c>
      <c r="W33" s="777">
        <f t="shared" si="12"/>
        <v>100</v>
      </c>
      <c r="X33" s="778"/>
      <c r="Y33" s="3178"/>
      <c r="Z33" s="779">
        <f t="shared" si="13"/>
        <v>111</v>
      </c>
      <c r="AA33" s="1810">
        <f t="shared" si="3"/>
        <v>1</v>
      </c>
      <c r="AB33" s="1810">
        <f t="shared" si="4"/>
        <v>1</v>
      </c>
      <c r="AC33" s="1810">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8"/>
      <c r="Q34" s="1809" t="str">
        <f>B34</f>
        <v>宗地面积</v>
      </c>
      <c r="R34" s="773" t="s">
        <v>17</v>
      </c>
      <c r="S34" s="774" t="e">
        <f t="shared" si="10"/>
        <v>#N/A</v>
      </c>
      <c r="T34" s="773" t="s">
        <v>17</v>
      </c>
      <c r="U34" s="774" t="e">
        <f t="shared" si="11"/>
        <v>#N/A</v>
      </c>
      <c r="V34" s="773" t="s">
        <v>17</v>
      </c>
      <c r="W34" s="774" t="e">
        <f t="shared" si="12"/>
        <v>#N/A</v>
      </c>
      <c r="X34" s="1812"/>
      <c r="Y34" s="3178"/>
      <c r="Z34" s="1813" t="str">
        <f t="shared" si="13"/>
        <v>宗地面积</v>
      </c>
      <c r="AA34" s="1810" t="e">
        <f t="shared" si="3"/>
        <v>#N/A</v>
      </c>
      <c r="AB34" s="1810" t="e">
        <f t="shared" si="4"/>
        <v>#N/A</v>
      </c>
      <c r="AC34" s="1810"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78"/>
      <c r="Q35" s="1809" t="str">
        <f t="shared" ref="Q35:Q40" si="14">B35</f>
        <v>宗地形状</v>
      </c>
      <c r="R35" s="773" t="s">
        <v>17</v>
      </c>
      <c r="S35" s="774">
        <f t="shared" si="10"/>
        <v>100</v>
      </c>
      <c r="T35" s="773" t="s">
        <v>17</v>
      </c>
      <c r="U35" s="774">
        <f t="shared" si="11"/>
        <v>100</v>
      </c>
      <c r="V35" s="773" t="s">
        <v>17</v>
      </c>
      <c r="W35" s="774">
        <f t="shared" si="12"/>
        <v>100</v>
      </c>
      <c r="X35" s="1812"/>
      <c r="Y35" s="3178"/>
      <c r="Z35" s="1813" t="str">
        <f t="shared" si="13"/>
        <v>宗地形状</v>
      </c>
      <c r="AA35" s="1810">
        <f t="shared" si="3"/>
        <v>1</v>
      </c>
      <c r="AB35" s="1810">
        <f t="shared" si="4"/>
        <v>1</v>
      </c>
      <c r="AC35" s="1810">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78"/>
      <c r="Q36" s="1809" t="str">
        <f t="shared" si="14"/>
        <v>宗地开发程度</v>
      </c>
      <c r="R36" s="769" t="s">
        <v>17</v>
      </c>
      <c r="S36" s="770">
        <f t="shared" si="10"/>
        <v>100</v>
      </c>
      <c r="T36" s="769" t="s">
        <v>17</v>
      </c>
      <c r="U36" s="770">
        <f t="shared" si="11"/>
        <v>100</v>
      </c>
      <c r="V36" s="769" t="s">
        <v>17</v>
      </c>
      <c r="W36" s="770">
        <f t="shared" si="12"/>
        <v>100</v>
      </c>
      <c r="X36" s="771"/>
      <c r="Y36" s="3178"/>
      <c r="Z36" s="55" t="str">
        <f t="shared" si="13"/>
        <v>宗地开发程度</v>
      </c>
      <c r="AA36" s="772">
        <f t="shared" si="3"/>
        <v>1</v>
      </c>
      <c r="AB36" s="772">
        <f t="shared" si="4"/>
        <v>1</v>
      </c>
      <c r="AC36" s="772">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78" t="s">
        <v>2556</v>
      </c>
      <c r="Q37" s="1809" t="str">
        <f t="shared" si="14"/>
        <v>工程地质条件</v>
      </c>
      <c r="R37" s="773" t="s">
        <v>17</v>
      </c>
      <c r="S37" s="774">
        <f t="shared" si="10"/>
        <v>100</v>
      </c>
      <c r="T37" s="773" t="s">
        <v>17</v>
      </c>
      <c r="U37" s="774">
        <f t="shared" si="11"/>
        <v>100</v>
      </c>
      <c r="V37" s="773" t="s">
        <v>17</v>
      </c>
      <c r="W37" s="774">
        <f t="shared" si="12"/>
        <v>100</v>
      </c>
      <c r="X37" s="1812"/>
      <c r="Y37" s="3178" t="s">
        <v>2556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8"/>
      <c r="Q38" s="1809">
        <f t="shared" si="14"/>
        <v>111</v>
      </c>
      <c r="R38" s="773" t="s">
        <v>17</v>
      </c>
      <c r="S38" s="774">
        <f t="shared" si="10"/>
        <v>100</v>
      </c>
      <c r="T38" s="773" t="s">
        <v>17</v>
      </c>
      <c r="U38" s="774">
        <f t="shared" si="11"/>
        <v>100</v>
      </c>
      <c r="V38" s="773" t="s">
        <v>17</v>
      </c>
      <c r="W38" s="774">
        <f t="shared" si="12"/>
        <v>100</v>
      </c>
      <c r="X38" s="1812"/>
      <c r="Y38" s="317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8"/>
      <c r="Q39" s="1809">
        <f t="shared" si="14"/>
        <v>111</v>
      </c>
      <c r="R39" s="773" t="s">
        <v>17</v>
      </c>
      <c r="S39" s="774">
        <f t="shared" si="10"/>
        <v>100</v>
      </c>
      <c r="T39" s="773" t="s">
        <v>17</v>
      </c>
      <c r="U39" s="774">
        <f t="shared" si="11"/>
        <v>100</v>
      </c>
      <c r="V39" s="773" t="s">
        <v>17</v>
      </c>
      <c r="W39" s="774">
        <f t="shared" si="12"/>
        <v>100</v>
      </c>
      <c r="X39" s="1812"/>
      <c r="Y39" s="3178"/>
      <c r="Z39" s="1813">
        <f t="shared" si="13"/>
        <v>111</v>
      </c>
      <c r="AA39" s="1810">
        <f t="shared" si="3"/>
        <v>1</v>
      </c>
      <c r="AB39" s="1810">
        <f t="shared" si="4"/>
        <v>1</v>
      </c>
      <c r="AC39" s="1810">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8"/>
      <c r="Q40" s="1809">
        <f t="shared" si="14"/>
        <v>111</v>
      </c>
      <c r="R40" s="776" t="s">
        <v>17</v>
      </c>
      <c r="S40" s="777">
        <f t="shared" si="10"/>
        <v>100</v>
      </c>
      <c r="T40" s="776" t="s">
        <v>17</v>
      </c>
      <c r="U40" s="777">
        <f t="shared" si="11"/>
        <v>100</v>
      </c>
      <c r="V40" s="776" t="s">
        <v>17</v>
      </c>
      <c r="W40" s="777">
        <f t="shared" si="12"/>
        <v>100</v>
      </c>
      <c r="X40" s="778"/>
      <c r="Y40" s="3178"/>
      <c r="Z40" s="779">
        <f t="shared" si="13"/>
        <v>111</v>
      </c>
      <c r="AA40" s="1810">
        <f t="shared" si="3"/>
        <v>1</v>
      </c>
      <c r="AB40" s="1810">
        <f t="shared" si="4"/>
        <v>1</v>
      </c>
      <c r="AC40" s="1810">
        <f t="shared" si="5"/>
        <v>1</v>
      </c>
    </row>
    <row r="41" spans="1:29" ht="15">
      <c r="A41" s="479" t="s">
        <v>2711</v>
      </c>
      <c r="B41" s="2701" t="s">
        <v>2791</v>
      </c>
      <c r="C41" s="682" t="s">
        <v>1</v>
      </c>
      <c r="D41" s="481"/>
      <c r="E41" s="482"/>
      <c r="F41" s="483"/>
      <c r="G41" s="484"/>
      <c r="H41" s="485"/>
      <c r="I41" s="482"/>
      <c r="J41" s="485"/>
      <c r="K41" s="782"/>
      <c r="L41" s="1142"/>
      <c r="M41" s="1130"/>
      <c r="N41" s="1130"/>
      <c r="O41" s="1143"/>
      <c r="P41" s="3171" t="str">
        <f>A41</f>
        <v>成交单价</v>
      </c>
      <c r="Q41" s="3171"/>
      <c r="R41" s="3166">
        <f>E41</f>
        <v>0</v>
      </c>
      <c r="S41" s="3166"/>
      <c r="T41" s="3166">
        <f>G41</f>
        <v>0</v>
      </c>
      <c r="U41" s="3166"/>
      <c r="V41" s="3166">
        <f>I41</f>
        <v>0</v>
      </c>
      <c r="W41" s="3166"/>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71" t="str">
        <f>A42</f>
        <v>比较价值（元/平方米）</v>
      </c>
      <c r="Q42" s="3171"/>
      <c r="R42" s="3321" t="e">
        <f>ROUND(PRODUCT(R41,AA7:AA40),0)</f>
        <v>#DIV/0!</v>
      </c>
      <c r="S42" s="3321"/>
      <c r="T42" s="3321" t="e">
        <f>ROUND(PRODUCT(T41,AB7:AB40),0)</f>
        <v>#DIV/0!</v>
      </c>
      <c r="U42" s="3321"/>
      <c r="V42" s="3321" t="e">
        <f>ROUND(PRODUCT(V41,AC7:AC40),0)</f>
        <v>#DIV/0!</v>
      </c>
      <c r="W42" s="3321"/>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168" t="str">
        <f>A43</f>
        <v>估价对象XX用房的比较价值（楼面单价，元/平方米）</v>
      </c>
      <c r="Q43" s="3169"/>
      <c r="R43" s="3322" t="e">
        <f>ROUND(AVERAGE(R42:V42),0)</f>
        <v>#DIV/0!</v>
      </c>
      <c r="S43" s="3322"/>
      <c r="T43" s="3322"/>
      <c r="U43" s="3322"/>
      <c r="V43" s="3322"/>
      <c r="W43" s="332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702" t="s">
        <v>2751</v>
      </c>
      <c r="D50" s="2703" t="s">
        <v>2752</v>
      </c>
      <c r="E50" s="686" t="s">
        <v>2753</v>
      </c>
      <c r="F50" s="687" t="s">
        <v>2754</v>
      </c>
      <c r="G50" s="3154" t="s">
        <v>2755</v>
      </c>
      <c r="H50" s="3323"/>
      <c r="I50" s="1813" t="s">
        <v>2792</v>
      </c>
      <c r="J50" s="1813">
        <f>项目基本情况!F35</f>
        <v>0</v>
      </c>
      <c r="K50" s="2705" t="s">
        <v>2757</v>
      </c>
      <c r="L50" s="1105"/>
      <c r="M50" s="1143"/>
      <c r="N50" s="1143"/>
      <c r="O50" s="1143"/>
    </row>
    <row r="51" spans="1:17" s="692" customFormat="1">
      <c r="A51" s="688" t="s">
        <v>2758</v>
      </c>
      <c r="B51" s="689" t="e">
        <f>C43</f>
        <v>#DIV/0!</v>
      </c>
      <c r="C51" s="690">
        <v>1</v>
      </c>
      <c r="D51" s="1162">
        <v>1</v>
      </c>
      <c r="E51" s="690">
        <f>'数据-汇总表'!E8+'数据-汇总表'!E9</f>
        <v>18053.419999999998</v>
      </c>
      <c r="F51" s="691" t="e">
        <f t="shared" ref="F51:F60" si="15">ROUND(B51*E51/10000,0)</f>
        <v>#DIV/0!</v>
      </c>
      <c r="G51" s="3153"/>
      <c r="H51" s="3171"/>
      <c r="I51" s="941">
        <v>1</v>
      </c>
      <c r="J51" s="941">
        <v>1</v>
      </c>
      <c r="K51" s="1144"/>
      <c r="L51" s="940"/>
      <c r="M51" s="940"/>
      <c r="N51" s="940"/>
      <c r="O51" s="940"/>
    </row>
    <row r="52" spans="1:17" s="692" customFormat="1">
      <c r="A52" s="693" t="s">
        <v>2759</v>
      </c>
      <c r="B52" s="262" t="e">
        <f>ROUND($C$43*C52*D52,0)</f>
        <v>#DIV/0!</v>
      </c>
      <c r="C52" s="200">
        <f t="shared" ref="C52:C60" si="16">IF($C$50="北京市系数",I52,J52)</f>
        <v>0</v>
      </c>
      <c r="D52" s="1163">
        <v>0.25</v>
      </c>
      <c r="E52" s="694"/>
      <c r="F52" s="691" t="e">
        <f t="shared" si="15"/>
        <v>#DIV/0!</v>
      </c>
      <c r="G52" s="3324" t="s">
        <v>2760</v>
      </c>
      <c r="H52" s="1103">
        <f>项目基本情况!B37</f>
        <v>0</v>
      </c>
      <c r="I52" s="941">
        <f>SUMIF(修正!A45:A56,H52,修正!B45:B56)</f>
        <v>0</v>
      </c>
      <c r="J52" s="942"/>
      <c r="K52" s="1143"/>
      <c r="L52" s="940"/>
      <c r="M52" s="940"/>
      <c r="N52" s="940"/>
      <c r="O52" s="940"/>
    </row>
    <row r="53" spans="1:17" s="692" customFormat="1">
      <c r="A53" s="693" t="s">
        <v>2761</v>
      </c>
      <c r="B53" s="262" t="e">
        <f t="shared" ref="B53:B60" si="17">ROUND($C$43*C53*D53,0)</f>
        <v>#DIV/0!</v>
      </c>
      <c r="C53" s="200">
        <f t="shared" si="16"/>
        <v>0</v>
      </c>
      <c r="D53" s="1163">
        <v>0.25</v>
      </c>
      <c r="E53" s="694"/>
      <c r="F53" s="691" t="e">
        <f t="shared" si="15"/>
        <v>#DIV/0!</v>
      </c>
      <c r="G53" s="3324"/>
      <c r="H53" s="1103">
        <f>项目基本情况!B37</f>
        <v>0</v>
      </c>
      <c r="I53" s="941">
        <f>SUMIF(修正!A45:A56,H53,修正!C45:C56)</f>
        <v>0</v>
      </c>
      <c r="J53" s="942"/>
      <c r="K53" s="1144"/>
      <c r="L53" s="940"/>
      <c r="M53" s="940"/>
      <c r="N53" s="940"/>
      <c r="O53" s="940"/>
    </row>
    <row r="54" spans="1:17" s="692" customFormat="1">
      <c r="A54" s="693" t="s">
        <v>2762</v>
      </c>
      <c r="B54" s="262" t="e">
        <f t="shared" si="17"/>
        <v>#DIV/0!</v>
      </c>
      <c r="C54" s="200">
        <f t="shared" si="16"/>
        <v>0</v>
      </c>
      <c r="D54" s="1163">
        <v>0.25</v>
      </c>
      <c r="E54" s="694"/>
      <c r="F54" s="691" t="e">
        <f t="shared" si="15"/>
        <v>#DIV/0!</v>
      </c>
      <c r="G54" s="3324"/>
      <c r="H54" s="1103">
        <f>项目基本情况!B37</f>
        <v>0</v>
      </c>
      <c r="I54" s="941">
        <f>SUMIF(修正!A45:A56,H54,修正!D45:D56)</f>
        <v>0</v>
      </c>
      <c r="J54" s="942"/>
      <c r="K54" s="1143"/>
      <c r="L54" s="940"/>
      <c r="M54" s="940"/>
      <c r="N54" s="940"/>
      <c r="O54" s="940"/>
    </row>
    <row r="55" spans="1:17" s="692" customFormat="1">
      <c r="A55" s="693" t="s">
        <v>2763</v>
      </c>
      <c r="B55" s="262" t="e">
        <f t="shared" si="17"/>
        <v>#DIV/0!</v>
      </c>
      <c r="C55" s="200">
        <f t="shared" si="16"/>
        <v>0</v>
      </c>
      <c r="D55" s="1163">
        <v>0.25</v>
      </c>
      <c r="E55" s="694"/>
      <c r="F55" s="691" t="e">
        <f t="shared" si="15"/>
        <v>#DIV/0!</v>
      </c>
      <c r="G55" s="3324"/>
      <c r="H55" s="1103">
        <f>项目基本情况!B37</f>
        <v>0</v>
      </c>
      <c r="I55" s="941">
        <f>SUMIF(修正!A45:A56,H55,修正!E45:E56)</f>
        <v>0</v>
      </c>
      <c r="J55" s="942"/>
      <c r="K55" s="1144"/>
      <c r="L55" s="940"/>
      <c r="M55" s="940"/>
      <c r="N55" s="940"/>
      <c r="O55" s="940"/>
    </row>
    <row r="56" spans="1:17" s="692" customFormat="1">
      <c r="A56" s="693" t="s">
        <v>2764</v>
      </c>
      <c r="B56" s="262" t="e">
        <f t="shared" si="17"/>
        <v>#DIV/0!</v>
      </c>
      <c r="C56" s="200">
        <f t="shared" si="16"/>
        <v>0.25</v>
      </c>
      <c r="D56" s="1163">
        <v>0.25</v>
      </c>
      <c r="E56" s="261">
        <f>'数据-汇总表'!E11</f>
        <v>1248.6200000000001</v>
      </c>
      <c r="F56" s="691" t="e">
        <f t="shared" si="15"/>
        <v>#DIV/0!</v>
      </c>
      <c r="G56" s="2706" t="s">
        <v>2765</v>
      </c>
      <c r="H56" s="1103" t="str">
        <f>项目基本情况!C37</f>
        <v>五级</v>
      </c>
      <c r="I56" s="941">
        <f>SUMIF(修正!A45:A56,H56,修正!F45:F56)</f>
        <v>0.25</v>
      </c>
      <c r="J56" s="942"/>
      <c r="K56" s="1143"/>
      <c r="L56" s="940"/>
      <c r="M56" s="940"/>
      <c r="N56" s="940"/>
      <c r="O56" s="940"/>
    </row>
    <row r="57" spans="1:17" s="692" customFormat="1">
      <c r="A57" s="693" t="s">
        <v>2766</v>
      </c>
      <c r="B57" s="262" t="e">
        <f t="shared" si="17"/>
        <v>#DIV/0!</v>
      </c>
      <c r="C57" s="200">
        <f t="shared" si="16"/>
        <v>0.25</v>
      </c>
      <c r="D57" s="1163">
        <v>0.25</v>
      </c>
      <c r="E57" s="261">
        <f>'数据-汇总表'!E12</f>
        <v>0</v>
      </c>
      <c r="F57" s="691" t="e">
        <f t="shared" si="15"/>
        <v>#DIV/0!</v>
      </c>
      <c r="G57" s="1108" t="s">
        <v>2767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2768</v>
      </c>
      <c r="B58" s="262" t="e">
        <f t="shared" si="17"/>
        <v>#DIV/0!</v>
      </c>
      <c r="C58" s="200">
        <f t="shared" si="16"/>
        <v>0</v>
      </c>
      <c r="D58" s="1163">
        <v>0.25</v>
      </c>
      <c r="E58" s="261">
        <f>'数据-汇总表'!E13</f>
        <v>3282.62</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v>
      </c>
      <c r="D59" s="1163">
        <v>0.25</v>
      </c>
      <c r="E59" s="261">
        <f>'数据-汇总表'!E14</f>
        <v>0</v>
      </c>
      <c r="F59" s="691" t="e">
        <f t="shared" si="15"/>
        <v>#DIV/0!</v>
      </c>
      <c r="G59" s="2706" t="s">
        <v>2760</v>
      </c>
      <c r="H59" s="1103">
        <f>项目基本情况!B37</f>
        <v>0</v>
      </c>
      <c r="I59" s="941">
        <f>SUMIF(修正!A45:A56,H59,修正!H45:H56)</f>
        <v>0</v>
      </c>
      <c r="J59" s="942"/>
      <c r="K59" s="1144"/>
      <c r="L59" s="940"/>
      <c r="M59" s="940"/>
      <c r="N59" s="940"/>
      <c r="O59" s="940"/>
    </row>
    <row r="60" spans="1:17" s="692" customFormat="1" ht="15" thickBot="1">
      <c r="A60" s="693" t="s">
        <v>2771</v>
      </c>
      <c r="B60" s="262" t="e">
        <f t="shared" si="17"/>
        <v>#DIV/0!</v>
      </c>
      <c r="C60" s="200">
        <f t="shared" si="16"/>
        <v>0.2</v>
      </c>
      <c r="D60" s="1163">
        <v>0.25</v>
      </c>
      <c r="E60" s="261">
        <f>'数据-汇总表'!E15</f>
        <v>0</v>
      </c>
      <c r="F60" s="691" t="e">
        <f t="shared" si="15"/>
        <v>#DIV/0!</v>
      </c>
      <c r="G60" s="2707" t="s">
        <v>2765</v>
      </c>
      <c r="H60" s="1113" t="str">
        <f>项目基本情况!C37</f>
        <v>五级</v>
      </c>
      <c r="I60" s="941">
        <f>SUMIF(修正!A45:A56,H60,修正!H45:H56)</f>
        <v>0.2</v>
      </c>
      <c r="J60" s="942"/>
      <c r="K60" s="1143"/>
      <c r="L60" s="940"/>
      <c r="M60" s="940"/>
      <c r="N60" s="940"/>
      <c r="O60" s="940"/>
    </row>
    <row r="61" spans="1:17" s="692" customFormat="1" ht="15" thickBot="1">
      <c r="A61" s="695" t="s">
        <v>2772</v>
      </c>
      <c r="B61" s="696" t="s">
        <v>28</v>
      </c>
      <c r="C61" s="696" t="s">
        <v>29</v>
      </c>
      <c r="D61" s="696" t="s">
        <v>1026</v>
      </c>
      <c r="E61" s="696">
        <f>IF(B41="楼面地价",SUM(E51:E60),'数据-汇总表'!D3)</f>
        <v>26823.14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8" t="s">
        <v>2773</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3" t="s">
        <v>2793</v>
      </c>
      <c r="B66" s="332" t="str">
        <f>"北京市平均增长率"&amp;TEXT(基准地价修正!P24,"0.00%")</f>
        <v>北京市平均增长率1.34%</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9" t="s">
        <v>183</v>
      </c>
      <c r="B18" s="881" t="s">
        <v>560</v>
      </c>
      <c r="C18" s="882" t="s">
        <v>561</v>
      </c>
      <c r="D18" s="883"/>
      <c r="E18" s="881">
        <v>1</v>
      </c>
      <c r="F18" s="884" t="s">
        <v>562</v>
      </c>
      <c r="G18" s="885"/>
      <c r="H18" s="877"/>
      <c r="I18" s="877"/>
    </row>
    <row r="19" spans="1:9" s="886" customFormat="1" ht="19.5" customHeight="1">
      <c r="A19" s="3329"/>
      <c r="B19" s="3329" t="s">
        <v>563</v>
      </c>
      <c r="C19" s="882" t="s">
        <v>564</v>
      </c>
      <c r="D19" s="883"/>
      <c r="E19" s="881">
        <v>0.9</v>
      </c>
      <c r="F19" s="884" t="s">
        <v>565</v>
      </c>
      <c r="G19" s="885"/>
      <c r="H19" s="877"/>
      <c r="I19" s="877"/>
    </row>
    <row r="20" spans="1:9" s="886" customFormat="1" ht="19.5" customHeight="1">
      <c r="A20" s="3329"/>
      <c r="B20" s="3329"/>
      <c r="C20" s="882" t="s">
        <v>566</v>
      </c>
      <c r="D20" s="883"/>
      <c r="E20" s="881">
        <v>1.1000000000000001</v>
      </c>
      <c r="F20" s="884" t="s">
        <v>567</v>
      </c>
      <c r="G20" s="885"/>
      <c r="H20" s="877"/>
      <c r="I20" s="877"/>
    </row>
    <row r="21" spans="1:9" s="886" customFormat="1" ht="19.5" customHeight="1">
      <c r="A21" s="3329"/>
      <c r="B21" s="3329"/>
      <c r="C21" s="882" t="s">
        <v>568</v>
      </c>
      <c r="D21" s="883"/>
      <c r="E21" s="881">
        <v>0.8</v>
      </c>
      <c r="F21" s="884" t="s">
        <v>569</v>
      </c>
      <c r="G21" s="885"/>
      <c r="H21" s="877"/>
      <c r="I21" s="877"/>
    </row>
    <row r="22" spans="1:9" s="886" customFormat="1" ht="19.5" customHeight="1">
      <c r="A22" s="3329"/>
      <c r="B22" s="3329"/>
      <c r="C22" s="882" t="s">
        <v>570</v>
      </c>
      <c r="D22" s="883"/>
      <c r="E22" s="881">
        <v>0.5</v>
      </c>
      <c r="F22" s="884"/>
      <c r="G22" s="885"/>
      <c r="H22" s="877"/>
      <c r="I22" s="877"/>
    </row>
    <row r="23" spans="1:9" s="886" customFormat="1" ht="19.5" customHeight="1">
      <c r="A23" s="3329" t="s">
        <v>184</v>
      </c>
      <c r="B23" s="881" t="s">
        <v>560</v>
      </c>
      <c r="C23" s="882" t="s">
        <v>571</v>
      </c>
      <c r="D23" s="883"/>
      <c r="E23" s="881">
        <v>1</v>
      </c>
      <c r="F23" s="884" t="s">
        <v>572</v>
      </c>
      <c r="G23" s="885"/>
      <c r="H23" s="877"/>
      <c r="I23" s="877"/>
    </row>
    <row r="24" spans="1:9" s="886" customFormat="1" ht="19.5" customHeight="1">
      <c r="A24" s="3329"/>
      <c r="B24" s="3329" t="s">
        <v>563</v>
      </c>
      <c r="C24" s="882" t="s">
        <v>573</v>
      </c>
      <c r="D24" s="883"/>
      <c r="E24" s="881">
        <v>0.5</v>
      </c>
      <c r="F24" s="884"/>
      <c r="G24" s="885"/>
      <c r="H24" s="877"/>
      <c r="I24" s="877"/>
    </row>
    <row r="25" spans="1:9" s="886" customFormat="1" ht="19.5" customHeight="1">
      <c r="A25" s="3329"/>
      <c r="B25" s="3329"/>
      <c r="C25" s="882" t="s">
        <v>574</v>
      </c>
      <c r="D25" s="883"/>
      <c r="E25" s="881">
        <v>1.1000000000000001</v>
      </c>
      <c r="F25" s="884"/>
      <c r="G25" s="885"/>
      <c r="H25" s="877"/>
      <c r="I25" s="877"/>
    </row>
    <row r="26" spans="1:9" s="886" customFormat="1" ht="19.5" customHeight="1">
      <c r="A26" s="3329"/>
      <c r="B26" s="3329"/>
      <c r="C26" s="882" t="s">
        <v>575</v>
      </c>
      <c r="D26" s="883"/>
      <c r="E26" s="881">
        <v>1.1000000000000001</v>
      </c>
      <c r="F26" s="884"/>
      <c r="G26" s="885"/>
      <c r="H26" s="877"/>
      <c r="I26" s="877"/>
    </row>
    <row r="27" spans="1:9" s="886" customFormat="1" ht="19.5" customHeight="1">
      <c r="A27" s="3329"/>
      <c r="B27" s="3329"/>
      <c r="C27" s="882" t="s">
        <v>576</v>
      </c>
      <c r="D27" s="883"/>
      <c r="E27" s="881">
        <v>0.9</v>
      </c>
      <c r="F27" s="884" t="s">
        <v>577</v>
      </c>
      <c r="G27" s="885"/>
      <c r="H27" s="877"/>
      <c r="I27" s="877"/>
    </row>
    <row r="28" spans="1:9" s="886" customFormat="1" ht="19.5" customHeight="1">
      <c r="A28" s="3329"/>
      <c r="B28" s="3329"/>
      <c r="C28" s="882" t="s">
        <v>578</v>
      </c>
      <c r="D28" s="883"/>
      <c r="E28" s="881">
        <v>0.9</v>
      </c>
      <c r="F28" s="884" t="s">
        <v>579</v>
      </c>
      <c r="G28" s="885"/>
      <c r="H28" s="877"/>
      <c r="I28" s="877"/>
    </row>
    <row r="29" spans="1:9" s="886" customFormat="1" ht="19.5" customHeight="1">
      <c r="A29" s="3329"/>
      <c r="B29" s="3329"/>
      <c r="C29" s="882" t="s">
        <v>580</v>
      </c>
      <c r="D29" s="883"/>
      <c r="E29" s="881">
        <v>0.9</v>
      </c>
      <c r="F29" s="884" t="s">
        <v>581</v>
      </c>
      <c r="G29" s="885"/>
      <c r="H29" s="877"/>
      <c r="I29" s="877"/>
    </row>
    <row r="30" spans="1:9" s="886" customFormat="1" ht="19.5" customHeight="1">
      <c r="A30" s="3329"/>
      <c r="B30" s="3329"/>
      <c r="C30" s="882" t="s">
        <v>582</v>
      </c>
      <c r="D30" s="883"/>
      <c r="E30" s="881">
        <v>0.9</v>
      </c>
      <c r="F30" s="884" t="s">
        <v>583</v>
      </c>
      <c r="G30" s="885"/>
      <c r="H30" s="877"/>
      <c r="I30" s="877"/>
    </row>
    <row r="31" spans="1:9" s="886" customFormat="1" ht="19.5" customHeight="1">
      <c r="A31" s="3329"/>
      <c r="B31" s="3329"/>
      <c r="C31" s="882" t="s">
        <v>584</v>
      </c>
      <c r="D31" s="883"/>
      <c r="E31" s="881">
        <v>0.8</v>
      </c>
      <c r="F31" s="884" t="s">
        <v>585</v>
      </c>
      <c r="G31" s="885"/>
      <c r="H31" s="877"/>
      <c r="I31" s="877"/>
    </row>
    <row r="32" spans="1:9" s="886" customFormat="1" ht="19.5" customHeight="1">
      <c r="A32" s="3329"/>
      <c r="B32" s="3329"/>
      <c r="C32" s="882" t="s">
        <v>586</v>
      </c>
      <c r="D32" s="883"/>
      <c r="E32" s="881">
        <v>0.8</v>
      </c>
      <c r="F32" s="884" t="s">
        <v>587</v>
      </c>
      <c r="G32" s="885"/>
      <c r="H32" s="877"/>
      <c r="I32" s="877"/>
    </row>
    <row r="33" spans="1:9" s="886" customFormat="1" ht="19.5" customHeight="1">
      <c r="A33" s="3329" t="s">
        <v>185</v>
      </c>
      <c r="B33" s="881" t="s">
        <v>560</v>
      </c>
      <c r="C33" s="882" t="s">
        <v>588</v>
      </c>
      <c r="D33" s="883"/>
      <c r="E33" s="881">
        <v>1</v>
      </c>
      <c r="F33" s="884" t="s">
        <v>589</v>
      </c>
      <c r="G33" s="885"/>
      <c r="H33" s="877"/>
      <c r="I33" s="877"/>
    </row>
    <row r="34" spans="1:9" s="886" customFormat="1" ht="19.5" customHeight="1">
      <c r="A34" s="3329"/>
      <c r="B34" s="881" t="s">
        <v>563</v>
      </c>
      <c r="C34" s="882" t="s">
        <v>590</v>
      </c>
      <c r="D34" s="883"/>
      <c r="E34" s="881">
        <v>1.5</v>
      </c>
      <c r="F34" s="884" t="s">
        <v>591</v>
      </c>
      <c r="G34" s="885"/>
      <c r="H34" s="877"/>
      <c r="I34" s="877"/>
    </row>
    <row r="35" spans="1:9" s="886" customFormat="1" ht="19.5" customHeight="1">
      <c r="A35" s="3329" t="s">
        <v>186</v>
      </c>
      <c r="B35" s="881" t="s">
        <v>560</v>
      </c>
      <c r="C35" s="882" t="s">
        <v>592</v>
      </c>
      <c r="D35" s="883"/>
      <c r="E35" s="881">
        <v>1</v>
      </c>
      <c r="F35" s="884" t="s">
        <v>593</v>
      </c>
      <c r="G35" s="885"/>
      <c r="H35" s="877"/>
      <c r="I35" s="877"/>
    </row>
    <row r="36" spans="1:9" s="886" customFormat="1" ht="19.5" customHeight="1">
      <c r="A36" s="3329"/>
      <c r="B36" s="3329" t="s">
        <v>563</v>
      </c>
      <c r="C36" s="882" t="s">
        <v>594</v>
      </c>
      <c r="D36" s="883"/>
      <c r="E36" s="881">
        <v>1</v>
      </c>
      <c r="F36" s="884" t="s">
        <v>595</v>
      </c>
      <c r="G36" s="885"/>
      <c r="H36" s="877"/>
      <c r="I36" s="877"/>
    </row>
    <row r="37" spans="1:9" s="886" customFormat="1" ht="19.5" customHeight="1">
      <c r="A37" s="3329"/>
      <c r="B37" s="3329"/>
      <c r="C37" s="882" t="s">
        <v>596</v>
      </c>
      <c r="D37" s="883"/>
      <c r="E37" s="881">
        <v>1.5</v>
      </c>
      <c r="F37" s="884" t="s">
        <v>597</v>
      </c>
      <c r="G37" s="885"/>
      <c r="H37" s="877"/>
      <c r="I37" s="877"/>
    </row>
    <row r="38" spans="1:9" s="886" customFormat="1" ht="19.5" customHeight="1">
      <c r="A38" s="3329"/>
      <c r="B38" s="3329"/>
      <c r="C38" s="882" t="s">
        <v>598</v>
      </c>
      <c r="D38" s="883"/>
      <c r="E38" s="881">
        <v>1</v>
      </c>
      <c r="F38" s="884" t="s">
        <v>599</v>
      </c>
      <c r="G38" s="885"/>
      <c r="H38" s="877"/>
      <c r="I38" s="877"/>
    </row>
    <row r="39" spans="1:9" s="886" customFormat="1" ht="19.5" customHeight="1">
      <c r="A39" s="3329"/>
      <c r="B39" s="332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9" t="s">
        <v>614</v>
      </c>
      <c r="C61" s="817" t="s">
        <v>615</v>
      </c>
      <c r="D61" s="817" t="s">
        <v>616</v>
      </c>
      <c r="E61" s="894">
        <v>0.5</v>
      </c>
      <c r="F61" s="881">
        <v>80</v>
      </c>
    </row>
    <row r="62" spans="1:8" s="877" customFormat="1" ht="24">
      <c r="A62" s="881">
        <v>2</v>
      </c>
      <c r="B62" s="3329"/>
      <c r="C62" s="817" t="s">
        <v>617</v>
      </c>
      <c r="D62" s="817" t="s">
        <v>618</v>
      </c>
      <c r="E62" s="894">
        <v>0.5</v>
      </c>
      <c r="F62" s="881">
        <v>80</v>
      </c>
    </row>
    <row r="63" spans="1:8" s="877" customFormat="1" ht="36">
      <c r="A63" s="881">
        <v>3</v>
      </c>
      <c r="B63" s="3329"/>
      <c r="C63" s="817" t="s">
        <v>619</v>
      </c>
      <c r="D63" s="817" t="s">
        <v>620</v>
      </c>
      <c r="E63" s="894">
        <v>0.5</v>
      </c>
      <c r="F63" s="881">
        <v>80</v>
      </c>
    </row>
    <row r="64" spans="1:8" s="877" customFormat="1" ht="36">
      <c r="A64" s="881">
        <v>4</v>
      </c>
      <c r="B64" s="3329"/>
      <c r="C64" s="817" t="s">
        <v>621</v>
      </c>
      <c r="D64" s="817" t="s">
        <v>622</v>
      </c>
      <c r="E64" s="894">
        <v>0.4</v>
      </c>
      <c r="F64" s="881">
        <v>60</v>
      </c>
    </row>
    <row r="65" spans="1:6" s="877" customFormat="1" ht="36">
      <c r="A65" s="881">
        <v>5</v>
      </c>
      <c r="B65" s="3329"/>
      <c r="C65" s="817" t="s">
        <v>623</v>
      </c>
      <c r="D65" s="817" t="s">
        <v>624</v>
      </c>
      <c r="E65" s="894">
        <v>0.2</v>
      </c>
      <c r="F65" s="881">
        <v>30</v>
      </c>
    </row>
    <row r="66" spans="1:6" s="877" customFormat="1" ht="36">
      <c r="A66" s="881">
        <v>6</v>
      </c>
      <c r="B66" s="3329"/>
      <c r="C66" s="817" t="s">
        <v>625</v>
      </c>
      <c r="D66" s="817" t="s">
        <v>626</v>
      </c>
      <c r="E66" s="894">
        <v>0.3</v>
      </c>
      <c r="F66" s="881">
        <v>50</v>
      </c>
    </row>
    <row r="67" spans="1:6" s="877" customFormat="1" ht="36">
      <c r="A67" s="881">
        <v>7</v>
      </c>
      <c r="B67" s="3329"/>
      <c r="C67" s="817" t="s">
        <v>627</v>
      </c>
      <c r="D67" s="817" t="s">
        <v>628</v>
      </c>
      <c r="E67" s="894">
        <v>0.2</v>
      </c>
      <c r="F67" s="881">
        <v>30</v>
      </c>
    </row>
    <row r="68" spans="1:6" s="877" customFormat="1" ht="36">
      <c r="A68" s="881">
        <v>8</v>
      </c>
      <c r="B68" s="3329"/>
      <c r="C68" s="817" t="s">
        <v>629</v>
      </c>
      <c r="D68" s="817" t="s">
        <v>630</v>
      </c>
      <c r="E68" s="894">
        <v>0.2</v>
      </c>
      <c r="F68" s="881">
        <v>30</v>
      </c>
    </row>
    <row r="69" spans="1:6" s="877" customFormat="1" ht="36">
      <c r="A69" s="881">
        <v>9</v>
      </c>
      <c r="B69" s="3329"/>
      <c r="C69" s="817" t="s">
        <v>631</v>
      </c>
      <c r="D69" s="817" t="s">
        <v>632</v>
      </c>
      <c r="E69" s="894">
        <v>0.2</v>
      </c>
      <c r="F69" s="881">
        <v>30</v>
      </c>
    </row>
    <row r="70" spans="1:6" s="877" customFormat="1" ht="48">
      <c r="A70" s="881">
        <v>10</v>
      </c>
      <c r="B70" s="3329"/>
      <c r="C70" s="817" t="s">
        <v>633</v>
      </c>
      <c r="D70" s="817" t="s">
        <v>634</v>
      </c>
      <c r="E70" s="894">
        <v>0.2</v>
      </c>
      <c r="F70" s="881">
        <v>30</v>
      </c>
    </row>
    <row r="71" spans="1:6" s="877" customFormat="1" ht="48">
      <c r="A71" s="881">
        <v>11</v>
      </c>
      <c r="B71" s="3329"/>
      <c r="C71" s="817" t="s">
        <v>635</v>
      </c>
      <c r="D71" s="817" t="s">
        <v>636</v>
      </c>
      <c r="E71" s="894">
        <v>0.2</v>
      </c>
      <c r="F71" s="881">
        <v>30</v>
      </c>
    </row>
    <row r="72" spans="1:6" s="877" customFormat="1" ht="36">
      <c r="A72" s="881">
        <v>12</v>
      </c>
      <c r="B72" s="3329"/>
      <c r="C72" s="817" t="s">
        <v>637</v>
      </c>
      <c r="D72" s="817" t="s">
        <v>638</v>
      </c>
      <c r="E72" s="894">
        <v>0.5</v>
      </c>
      <c r="F72" s="881">
        <v>80</v>
      </c>
    </row>
    <row r="73" spans="1:6" s="877" customFormat="1" ht="24">
      <c r="A73" s="881">
        <v>13</v>
      </c>
      <c r="B73" s="3329"/>
      <c r="C73" s="817" t="s">
        <v>639</v>
      </c>
      <c r="D73" s="817" t="s">
        <v>640</v>
      </c>
      <c r="E73" s="894">
        <v>0.4</v>
      </c>
      <c r="F73" s="881">
        <v>60</v>
      </c>
    </row>
    <row r="74" spans="1:6" s="877" customFormat="1" ht="24">
      <c r="A74" s="881">
        <v>14</v>
      </c>
      <c r="B74" s="3329"/>
      <c r="C74" s="817" t="s">
        <v>641</v>
      </c>
      <c r="D74" s="817" t="s">
        <v>642</v>
      </c>
      <c r="E74" s="894">
        <v>0.2</v>
      </c>
      <c r="F74" s="881">
        <v>30</v>
      </c>
    </row>
    <row r="75" spans="1:6" s="877" customFormat="1" ht="24">
      <c r="A75" s="881">
        <v>15</v>
      </c>
      <c r="B75" s="3329"/>
      <c r="C75" s="817" t="s">
        <v>643</v>
      </c>
      <c r="D75" s="817" t="s">
        <v>644</v>
      </c>
      <c r="E75" s="894">
        <v>0.2</v>
      </c>
      <c r="F75" s="881">
        <v>30</v>
      </c>
    </row>
    <row r="76" spans="1:6" s="877" customFormat="1" ht="24">
      <c r="A76" s="881">
        <v>16</v>
      </c>
      <c r="B76" s="3329" t="s">
        <v>645</v>
      </c>
      <c r="C76" s="817" t="s">
        <v>646</v>
      </c>
      <c r="D76" s="817" t="s">
        <v>647</v>
      </c>
      <c r="E76" s="894">
        <v>0.5</v>
      </c>
      <c r="F76" s="881">
        <v>80</v>
      </c>
    </row>
    <row r="77" spans="1:6" s="877" customFormat="1" ht="24">
      <c r="A77" s="881">
        <v>17</v>
      </c>
      <c r="B77" s="3329"/>
      <c r="C77" s="817" t="s">
        <v>648</v>
      </c>
      <c r="D77" s="817" t="s">
        <v>649</v>
      </c>
      <c r="E77" s="894">
        <v>0.5</v>
      </c>
      <c r="F77" s="881">
        <v>80</v>
      </c>
    </row>
    <row r="78" spans="1:6" s="877" customFormat="1" ht="24">
      <c r="A78" s="881">
        <v>18</v>
      </c>
      <c r="B78" s="3329"/>
      <c r="C78" s="817" t="s">
        <v>650</v>
      </c>
      <c r="D78" s="817" t="s">
        <v>651</v>
      </c>
      <c r="E78" s="894">
        <v>0.2</v>
      </c>
      <c r="F78" s="881">
        <v>30</v>
      </c>
    </row>
    <row r="79" spans="1:6" s="877" customFormat="1" ht="24">
      <c r="A79" s="881">
        <v>19</v>
      </c>
      <c r="B79" s="3329"/>
      <c r="C79" s="817" t="s">
        <v>652</v>
      </c>
      <c r="D79" s="817" t="s">
        <v>653</v>
      </c>
      <c r="E79" s="894">
        <v>0.5</v>
      </c>
      <c r="F79" s="881">
        <v>80</v>
      </c>
    </row>
    <row r="80" spans="1:6" s="877" customFormat="1" ht="36">
      <c r="A80" s="881">
        <v>20</v>
      </c>
      <c r="B80" s="3329"/>
      <c r="C80" s="817" t="s">
        <v>654</v>
      </c>
      <c r="D80" s="817" t="s">
        <v>655</v>
      </c>
      <c r="E80" s="894">
        <v>0.2</v>
      </c>
      <c r="F80" s="881">
        <v>30</v>
      </c>
    </row>
    <row r="81" spans="1:6" s="877" customFormat="1" ht="36">
      <c r="A81" s="881">
        <v>21</v>
      </c>
      <c r="B81" s="3329"/>
      <c r="C81" s="817" t="s">
        <v>656</v>
      </c>
      <c r="D81" s="817" t="s">
        <v>657</v>
      </c>
      <c r="E81" s="894">
        <v>0.2</v>
      </c>
      <c r="F81" s="881">
        <v>30</v>
      </c>
    </row>
    <row r="82" spans="1:6" s="877" customFormat="1" ht="48">
      <c r="A82" s="881">
        <v>22</v>
      </c>
      <c r="B82" s="3329"/>
      <c r="C82" s="817" t="s">
        <v>658</v>
      </c>
      <c r="D82" s="817" t="s">
        <v>659</v>
      </c>
      <c r="E82" s="894">
        <v>0.2</v>
      </c>
      <c r="F82" s="881">
        <v>30</v>
      </c>
    </row>
    <row r="83" spans="1:6" s="877" customFormat="1" ht="48">
      <c r="A83" s="881">
        <v>23</v>
      </c>
      <c r="B83" s="3329"/>
      <c r="C83" s="817" t="s">
        <v>660</v>
      </c>
      <c r="D83" s="817" t="s">
        <v>661</v>
      </c>
      <c r="E83" s="894">
        <v>0.2</v>
      </c>
      <c r="F83" s="881">
        <v>30</v>
      </c>
    </row>
    <row r="84" spans="1:6" s="877" customFormat="1" ht="36">
      <c r="A84" s="881">
        <v>24</v>
      </c>
      <c r="B84" s="3329"/>
      <c r="C84" s="817" t="s">
        <v>662</v>
      </c>
      <c r="D84" s="817" t="s">
        <v>663</v>
      </c>
      <c r="E84" s="894">
        <v>0.2</v>
      </c>
      <c r="F84" s="881">
        <v>30</v>
      </c>
    </row>
    <row r="85" spans="1:6" s="877" customFormat="1" ht="36">
      <c r="A85" s="881">
        <v>25</v>
      </c>
      <c r="B85" s="3329"/>
      <c r="C85" s="817" t="s">
        <v>664</v>
      </c>
      <c r="D85" s="817" t="s">
        <v>665</v>
      </c>
      <c r="E85" s="894">
        <v>0.5</v>
      </c>
      <c r="F85" s="881">
        <v>80</v>
      </c>
    </row>
    <row r="86" spans="1:6" s="877" customFormat="1" ht="36">
      <c r="A86" s="881">
        <v>26</v>
      </c>
      <c r="B86" s="3329"/>
      <c r="C86" s="817" t="s">
        <v>666</v>
      </c>
      <c r="D86" s="817" t="s">
        <v>667</v>
      </c>
      <c r="E86" s="894">
        <v>0.2</v>
      </c>
      <c r="F86" s="881">
        <v>30</v>
      </c>
    </row>
    <row r="87" spans="1:6" s="877" customFormat="1" ht="36">
      <c r="A87" s="881">
        <v>27</v>
      </c>
      <c r="B87" s="3329"/>
      <c r="C87" s="817" t="s">
        <v>668</v>
      </c>
      <c r="D87" s="817" t="s">
        <v>669</v>
      </c>
      <c r="E87" s="894">
        <v>0.2</v>
      </c>
      <c r="F87" s="881">
        <v>30</v>
      </c>
    </row>
    <row r="88" spans="1:6" s="877" customFormat="1" ht="36">
      <c r="A88" s="881">
        <v>28</v>
      </c>
      <c r="B88" s="3329"/>
      <c r="C88" s="817" t="s">
        <v>670</v>
      </c>
      <c r="D88" s="817" t="s">
        <v>671</v>
      </c>
      <c r="E88" s="894">
        <v>0.2</v>
      </c>
      <c r="F88" s="881">
        <v>30</v>
      </c>
    </row>
    <row r="89" spans="1:6" s="877" customFormat="1" ht="24">
      <c r="A89" s="881">
        <v>29</v>
      </c>
      <c r="B89" s="3329"/>
      <c r="C89" s="817" t="s">
        <v>672</v>
      </c>
      <c r="D89" s="817" t="s">
        <v>673</v>
      </c>
      <c r="E89" s="894">
        <v>0.2</v>
      </c>
      <c r="F89" s="881">
        <v>30</v>
      </c>
    </row>
    <row r="90" spans="1:6" s="877" customFormat="1" ht="24">
      <c r="A90" s="881">
        <v>30</v>
      </c>
      <c r="B90" s="3329"/>
      <c r="C90" s="817" t="s">
        <v>674</v>
      </c>
      <c r="D90" s="817" t="s">
        <v>675</v>
      </c>
      <c r="E90" s="894">
        <v>0.2</v>
      </c>
      <c r="F90" s="881">
        <v>30</v>
      </c>
    </row>
    <row r="91" spans="1:6" s="877" customFormat="1" ht="36">
      <c r="A91" s="881">
        <v>31</v>
      </c>
      <c r="B91" s="3329"/>
      <c r="C91" s="817" t="s">
        <v>676</v>
      </c>
      <c r="D91" s="817" t="s">
        <v>677</v>
      </c>
      <c r="E91" s="894">
        <v>0.2</v>
      </c>
      <c r="F91" s="881">
        <v>30</v>
      </c>
    </row>
    <row r="92" spans="1:6" s="877" customFormat="1" ht="24">
      <c r="A92" s="881">
        <v>32</v>
      </c>
      <c r="B92" s="3329" t="s">
        <v>678</v>
      </c>
      <c r="C92" s="881" t="s">
        <v>679</v>
      </c>
      <c r="D92" s="817" t="s">
        <v>680</v>
      </c>
      <c r="E92" s="894">
        <v>0.2</v>
      </c>
      <c r="F92" s="881">
        <v>30</v>
      </c>
    </row>
    <row r="93" spans="1:6" s="877" customFormat="1" ht="36">
      <c r="A93" s="881">
        <v>33</v>
      </c>
      <c r="B93" s="3329"/>
      <c r="C93" s="881" t="s">
        <v>681</v>
      </c>
      <c r="D93" s="817" t="s">
        <v>682</v>
      </c>
      <c r="E93" s="894">
        <v>0.2</v>
      </c>
      <c r="F93" s="881">
        <v>30</v>
      </c>
    </row>
    <row r="94" spans="1:6" s="877" customFormat="1" ht="48">
      <c r="A94" s="881">
        <v>34</v>
      </c>
      <c r="B94" s="3329"/>
      <c r="C94" s="881" t="s">
        <v>683</v>
      </c>
      <c r="D94" s="817" t="s">
        <v>684</v>
      </c>
      <c r="E94" s="894">
        <v>0.2</v>
      </c>
      <c r="F94" s="881">
        <v>30</v>
      </c>
    </row>
    <row r="95" spans="1:6" s="877" customFormat="1" ht="36">
      <c r="A95" s="881">
        <v>35</v>
      </c>
      <c r="B95" s="3329"/>
      <c r="C95" s="881" t="s">
        <v>685</v>
      </c>
      <c r="D95" s="817" t="s">
        <v>686</v>
      </c>
      <c r="E95" s="894">
        <v>0.2</v>
      </c>
      <c r="F95" s="881">
        <v>30</v>
      </c>
    </row>
    <row r="96" spans="1:6" s="877" customFormat="1" ht="48">
      <c r="A96" s="881">
        <v>36</v>
      </c>
      <c r="B96" s="3329"/>
      <c r="C96" s="817" t="s">
        <v>687</v>
      </c>
      <c r="D96" s="817" t="s">
        <v>688</v>
      </c>
      <c r="E96" s="894">
        <v>0.2</v>
      </c>
      <c r="F96" s="881">
        <v>30</v>
      </c>
    </row>
    <row r="97" spans="1:6" s="877" customFormat="1" ht="36">
      <c r="A97" s="881">
        <v>37</v>
      </c>
      <c r="B97" s="3329"/>
      <c r="C97" s="881" t="s">
        <v>689</v>
      </c>
      <c r="D97" s="817" t="s">
        <v>690</v>
      </c>
      <c r="E97" s="894">
        <v>0.2</v>
      </c>
      <c r="F97" s="881">
        <v>30</v>
      </c>
    </row>
    <row r="98" spans="1:6" s="877" customFormat="1" ht="36">
      <c r="A98" s="881">
        <v>38</v>
      </c>
      <c r="B98" s="3329"/>
      <c r="C98" s="881" t="s">
        <v>691</v>
      </c>
      <c r="D98" s="817" t="s">
        <v>692</v>
      </c>
      <c r="E98" s="894">
        <v>0.2</v>
      </c>
      <c r="F98" s="881">
        <v>30</v>
      </c>
    </row>
    <row r="99" spans="1:6" s="877" customFormat="1" ht="36">
      <c r="A99" s="881">
        <v>39</v>
      </c>
      <c r="B99" s="3329" t="s">
        <v>693</v>
      </c>
      <c r="C99" s="881" t="s">
        <v>694</v>
      </c>
      <c r="D99" s="817" t="s">
        <v>695</v>
      </c>
      <c r="E99" s="894">
        <v>0.3</v>
      </c>
      <c r="F99" s="881">
        <v>50</v>
      </c>
    </row>
    <row r="100" spans="1:6" s="877" customFormat="1" ht="24">
      <c r="A100" s="881">
        <v>40</v>
      </c>
      <c r="B100" s="3329"/>
      <c r="C100" s="881" t="s">
        <v>696</v>
      </c>
      <c r="D100" s="817" t="s">
        <v>697</v>
      </c>
      <c r="E100" s="894">
        <v>0.2</v>
      </c>
      <c r="F100" s="881">
        <v>30</v>
      </c>
    </row>
    <row r="101" spans="1:6" s="877" customFormat="1" ht="36">
      <c r="A101" s="881">
        <v>41</v>
      </c>
      <c r="B101" s="332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9" t="s">
        <v>708</v>
      </c>
      <c r="C105" s="881" t="s">
        <v>709</v>
      </c>
      <c r="D105" s="817" t="s">
        <v>710</v>
      </c>
      <c r="E105" s="894">
        <v>0.2</v>
      </c>
      <c r="F105" s="881">
        <v>30</v>
      </c>
    </row>
    <row r="106" spans="1:6" s="877" customFormat="1" ht="36">
      <c r="A106" s="881">
        <v>46</v>
      </c>
      <c r="B106" s="3329"/>
      <c r="C106" s="881" t="s">
        <v>711</v>
      </c>
      <c r="D106" s="817" t="s">
        <v>712</v>
      </c>
      <c r="E106" s="894">
        <v>0.2</v>
      </c>
      <c r="F106" s="881">
        <v>30</v>
      </c>
    </row>
    <row r="107" spans="1:6" s="877" customFormat="1" ht="36">
      <c r="A107" s="881">
        <v>47</v>
      </c>
      <c r="B107" s="3329" t="s">
        <v>713</v>
      </c>
      <c r="C107" s="881" t="s">
        <v>714</v>
      </c>
      <c r="D107" s="817" t="s">
        <v>715</v>
      </c>
      <c r="E107" s="894">
        <v>0.3</v>
      </c>
      <c r="F107" s="881">
        <v>50</v>
      </c>
    </row>
    <row r="108" spans="1:6" s="877" customFormat="1" ht="36">
      <c r="A108" s="881">
        <v>48</v>
      </c>
      <c r="B108" s="332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9" t="s">
        <v>724</v>
      </c>
      <c r="C111" s="881" t="s">
        <v>725</v>
      </c>
      <c r="D111" s="817" t="s">
        <v>726</v>
      </c>
      <c r="E111" s="894">
        <v>0.2</v>
      </c>
      <c r="F111" s="881">
        <v>30</v>
      </c>
    </row>
    <row r="112" spans="1:6" s="877" customFormat="1" ht="24">
      <c r="A112" s="881">
        <v>52</v>
      </c>
      <c r="B112" s="3329"/>
      <c r="C112" s="881" t="s">
        <v>727</v>
      </c>
      <c r="D112" s="817" t="s">
        <v>728</v>
      </c>
      <c r="E112" s="894">
        <v>0.2</v>
      </c>
      <c r="F112" s="881">
        <v>30</v>
      </c>
    </row>
    <row r="113" spans="1:6" s="877" customFormat="1" ht="24">
      <c r="A113" s="881">
        <v>53</v>
      </c>
      <c r="B113" s="332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9" t="s">
        <v>737</v>
      </c>
      <c r="C116" s="881" t="s">
        <v>738</v>
      </c>
      <c r="D116" s="817" t="s">
        <v>739</v>
      </c>
      <c r="E116" s="894">
        <v>0.2</v>
      </c>
      <c r="F116" s="881">
        <v>30</v>
      </c>
    </row>
    <row r="117" spans="1:6" ht="36">
      <c r="A117" s="881">
        <v>57</v>
      </c>
      <c r="B117" s="332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2992</v>
      </c>
    </row>
    <row r="2" spans="1:5" ht="15.75">
      <c r="A2" s="2899" t="s">
        <v>2984</v>
      </c>
      <c r="B2" s="2900">
        <f ca="1">SUMIF(B6:B13,"&lt;&gt;#ref!",B6:B13)</f>
        <v>0</v>
      </c>
      <c r="C2" s="2899" t="s">
        <v>2985</v>
      </c>
      <c r="D2" s="2899" t="s">
        <v>2986</v>
      </c>
      <c r="E2" s="2900">
        <f ca="1">SUMIF(E6:E13,"&lt;&gt;#ref!",E6:E13)</f>
        <v>0</v>
      </c>
    </row>
    <row r="3" spans="1:5" ht="15.75">
      <c r="A3" s="2899" t="s">
        <v>2987</v>
      </c>
      <c r="B3" s="2900" t="e">
        <f ca="1">ROUND(B2*10000/E2,0)</f>
        <v>#DIV/0!</v>
      </c>
      <c r="C3" s="2899" t="s">
        <v>2993</v>
      </c>
      <c r="D3" s="2901"/>
      <c r="E3" s="2901"/>
    </row>
    <row r="4" spans="1:5" ht="15.75">
      <c r="A4" s="2902"/>
      <c r="B4" s="2901"/>
      <c r="C4" s="2901"/>
      <c r="D4" s="2901"/>
      <c r="E4" s="2901"/>
    </row>
    <row r="5" spans="1:5" ht="28.5">
      <c r="A5" s="2903" t="s">
        <v>2988</v>
      </c>
      <c r="B5" s="2899" t="s">
        <v>2989</v>
      </c>
      <c r="C5" s="2900"/>
      <c r="D5" s="2901"/>
      <c r="E5" s="2899" t="s">
        <v>2990</v>
      </c>
    </row>
    <row r="6" spans="1:5" ht="15.75">
      <c r="A6" s="2904" t="s">
        <v>2991</v>
      </c>
      <c r="B6" s="2900">
        <f ca="1">SUMIF(INDIRECT("'"&amp;A6&amp;"'"&amp;"!A:A"),"总价",INDIRECT("'"&amp;A6&amp;"'"&amp;"!B:B"))</f>
        <v>0</v>
      </c>
      <c r="C6" s="2899" t="s">
        <v>2985</v>
      </c>
      <c r="D6" s="2901"/>
      <c r="E6" s="2572">
        <f ca="1">SUMIF(INDIRECT("'"&amp;A6&amp;"'"&amp;"!C:C"),"建筑面积",INDIRECT("'"&amp;A6&amp;"'"&amp;"!D:D"))</f>
        <v>0</v>
      </c>
    </row>
    <row r="7" spans="1:5" ht="15.75">
      <c r="A7" s="2904"/>
      <c r="B7" s="2900" t="e">
        <f ca="1">SUMIF(INDIRECT("'"&amp;A7&amp;"'"&amp;"!A:A"),"总价",INDIRECT("'"&amp;A7&amp;"'"&amp;"!B:B"))</f>
        <v>#REF!</v>
      </c>
      <c r="C7" s="2899" t="s">
        <v>2985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2985</v>
      </c>
      <c r="D8" s="2901"/>
      <c r="E8" s="2572" t="e">
        <f t="shared" ca="1" si="0"/>
        <v>#REF!</v>
      </c>
    </row>
    <row r="9" spans="1:5" ht="15.75">
      <c r="A9" s="2904"/>
      <c r="B9" s="2900" t="e">
        <f t="shared" ca="1" si="1"/>
        <v>#REF!</v>
      </c>
      <c r="C9" s="2899" t="s">
        <v>2985</v>
      </c>
      <c r="D9" s="2901"/>
      <c r="E9" s="2572" t="e">
        <f t="shared" ca="1" si="0"/>
        <v>#REF!</v>
      </c>
    </row>
    <row r="10" spans="1:5" ht="15.75">
      <c r="A10" s="2904"/>
      <c r="B10" s="2900" t="e">
        <f t="shared" ca="1" si="1"/>
        <v>#REF!</v>
      </c>
      <c r="C10" s="2899" t="s">
        <v>2985</v>
      </c>
      <c r="D10" s="2901"/>
      <c r="E10" s="2572" t="e">
        <f t="shared" ca="1" si="0"/>
        <v>#REF!</v>
      </c>
    </row>
    <row r="11" spans="1:5" ht="15.75">
      <c r="A11" s="2904"/>
      <c r="B11" s="2900" t="e">
        <f t="shared" ca="1" si="1"/>
        <v>#REF!</v>
      </c>
      <c r="C11" s="2899" t="s">
        <v>2985</v>
      </c>
      <c r="D11" s="2901"/>
      <c r="E11" s="2572" t="e">
        <f t="shared" ca="1" si="0"/>
        <v>#REF!</v>
      </c>
    </row>
    <row r="12" spans="1:5" ht="15.75">
      <c r="A12" s="2904"/>
      <c r="B12" s="2900" t="e">
        <f t="shared" ca="1" si="1"/>
        <v>#REF!</v>
      </c>
      <c r="C12" s="2899" t="s">
        <v>2985</v>
      </c>
      <c r="D12" s="2901"/>
      <c r="E12" s="2572" t="e">
        <f t="shared" ca="1" si="0"/>
        <v>#REF!</v>
      </c>
    </row>
    <row r="13" spans="1:5" ht="15.75">
      <c r="A13" s="2904"/>
      <c r="B13" s="2900" t="e">
        <f t="shared" ca="1" si="1"/>
        <v>#REF!</v>
      </c>
      <c r="C13" s="2899" t="s">
        <v>2985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5" t="s">
        <v>1146</v>
      </c>
      <c r="C1" s="3335"/>
      <c r="D1" s="3335"/>
      <c r="E1" s="3335"/>
      <c r="F1" s="3335"/>
      <c r="G1" s="3331" t="s">
        <v>1147</v>
      </c>
      <c r="H1" s="3331"/>
      <c r="I1" s="3331"/>
      <c r="J1" s="3331"/>
      <c r="K1" s="3331"/>
      <c r="L1" s="3331"/>
      <c r="N1" s="3331" t="s">
        <v>1148</v>
      </c>
      <c r="O1" s="3331"/>
      <c r="P1" s="3331"/>
      <c r="Q1" s="3331"/>
      <c r="R1" s="1445"/>
      <c r="S1" s="3331" t="s">
        <v>1149</v>
      </c>
      <c r="T1" s="3331"/>
      <c r="U1" s="3331"/>
      <c r="V1" s="3331"/>
      <c r="X1" s="3330" t="s">
        <v>1150</v>
      </c>
      <c r="Y1" s="3331"/>
      <c r="Z1" s="3331"/>
      <c r="AA1" s="3331"/>
      <c r="AB1" s="3331"/>
      <c r="AD1" s="3330" t="s">
        <v>1151</v>
      </c>
      <c r="AE1" s="3331"/>
      <c r="AF1" s="3331"/>
      <c r="AG1" s="3331"/>
      <c r="AH1" s="3331"/>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5" customFormat="1" ht="14.25">
      <c r="A3" s="2924" t="s">
        <v>3027</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0">
        <v>2019</v>
      </c>
      <c r="H5" s="1729">
        <v>4</v>
      </c>
      <c r="I5" s="2911">
        <v>0</v>
      </c>
      <c r="J5" s="2911">
        <v>0</v>
      </c>
      <c r="K5" s="2911">
        <v>0</v>
      </c>
      <c r="L5" s="2911">
        <v>0</v>
      </c>
      <c r="N5" s="1466">
        <f t="shared" ref="N5:N10" si="7">I5/100</f>
        <v>0</v>
      </c>
      <c r="O5" s="1466">
        <f t="shared" ref="O5" si="8">J5/100</f>
        <v>0</v>
      </c>
      <c r="P5" s="1466">
        <f t="shared" ref="P5" si="9">K5/100</f>
        <v>0</v>
      </c>
      <c r="Q5" s="1466">
        <f t="shared" ref="Q5" si="10">L5/100</f>
        <v>0</v>
      </c>
      <c r="R5" s="1731"/>
      <c r="S5" s="1732"/>
      <c r="T5" s="1731"/>
      <c r="U5" s="1731"/>
      <c r="V5" s="1731"/>
      <c r="W5" s="2914" t="s">
        <v>3028</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3045</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50">
        <v>2019</v>
      </c>
      <c r="H6" s="1461">
        <v>3</v>
      </c>
      <c r="I6" s="2948">
        <v>0</v>
      </c>
      <c r="J6" s="2948">
        <v>0</v>
      </c>
      <c r="K6" s="2948">
        <v>0</v>
      </c>
      <c r="L6" s="2949">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3043</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4">
        <v>2019</v>
      </c>
      <c r="H7" s="1461">
        <v>2</v>
      </c>
      <c r="I7" s="2948">
        <v>1.53</v>
      </c>
      <c r="J7" s="2948">
        <v>1.01</v>
      </c>
      <c r="K7" s="2948">
        <v>1.62</v>
      </c>
      <c r="L7" s="2949">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8">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333">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33"/>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33"/>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40"/>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3023</v>
      </c>
      <c r="B13" s="1468">
        <v>439</v>
      </c>
      <c r="C13" s="1468">
        <v>327</v>
      </c>
      <c r="D13" s="1468">
        <f>C13</f>
        <v>327</v>
      </c>
      <c r="E13" s="1468">
        <v>627</v>
      </c>
      <c r="F13" s="1469">
        <v>283</v>
      </c>
      <c r="G13" s="3336">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33"/>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33"/>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40"/>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36">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33"/>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33"/>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34"/>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32">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33"/>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33"/>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34"/>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32">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33"/>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33"/>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34"/>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37">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38"/>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38"/>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39"/>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32">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33"/>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33"/>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34"/>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32">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33">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33">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34">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32">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33">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33">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34">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32">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33">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33">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34">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32">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33">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33">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34">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32">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33">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33">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34">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32">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33">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33">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34">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32">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33">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33">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34">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32">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33">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33">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34">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32">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33">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33">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34">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32">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33">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33">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34">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41402</v>
      </c>
      <c r="C2" s="2" t="s">
        <v>133</v>
      </c>
      <c r="D2" s="243"/>
      <c r="E2" s="243"/>
      <c r="F2" s="243"/>
      <c r="G2" s="243"/>
    </row>
    <row r="3" spans="1:7" s="244" customFormat="1" ht="18" customHeight="1" thickBot="1">
      <c r="A3" s="247" t="s">
        <v>85</v>
      </c>
      <c r="B3" s="248">
        <f ca="1">ROUND(B2*10000/'数据-汇总表'!E3,0)</f>
        <v>18266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453</v>
      </c>
      <c r="D10" s="1031">
        <f>'数据-汇总表'!E6</f>
        <v>22666.709999999995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453</v>
      </c>
      <c r="D19" s="1035">
        <f>'数据-汇总表'!E3</f>
        <v>22666.709999999995</v>
      </c>
      <c r="E19" s="255">
        <f>'数据-取费表'!B31</f>
        <v>200</v>
      </c>
      <c r="F19" s="275"/>
      <c r="G19" s="1" t="s">
        <v>1071</v>
      </c>
    </row>
    <row r="20" spans="1:7" s="258" customFormat="1" ht="13.5" customHeight="1">
      <c r="A20" s="947" t="s">
        <v>1054</v>
      </c>
      <c r="B20" s="254" t="s">
        <v>104</v>
      </c>
      <c r="C20" s="276">
        <f>ROUND((C5+C19)*F20,0)</f>
        <v>632</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44</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5424</v>
      </c>
      <c r="D27" s="279">
        <f>C29</f>
        <v>7.4999999999999997E-3</v>
      </c>
      <c r="E27" s="280" t="s">
        <v>126</v>
      </c>
      <c r="F27" s="290">
        <f>'数据-取费表'!Q16</f>
        <v>0.25</v>
      </c>
      <c r="G27" s="291" t="s">
        <v>1066</v>
      </c>
    </row>
    <row r="28" spans="1:7" s="258" customFormat="1" ht="13.5" customHeight="1">
      <c r="A28" s="950" t="s">
        <v>794</v>
      </c>
      <c r="B28" s="292" t="s">
        <v>1059</v>
      </c>
      <c r="C28" s="293">
        <f>ROUND((C5+C19+C20)*F27*'数据-取费表'!B21/'数据-取费表'!B20,0)</f>
        <v>5424</v>
      </c>
      <c r="D28" s="279"/>
      <c r="E28" s="280"/>
      <c r="F28" s="290"/>
      <c r="G28" s="291"/>
    </row>
    <row r="29" spans="1:7" s="258" customFormat="1" ht="13.5" customHeight="1">
      <c r="A29" s="950" t="s">
        <v>792</v>
      </c>
      <c r="B29" s="292" t="s">
        <v>1060</v>
      </c>
      <c r="C29" s="282">
        <f>ROUND(C21*F27*'数据-取费表'!B21/'数据-取费表'!B20,4)</f>
        <v>7.4999999999999997E-3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7559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6800</v>
      </c>
      <c r="D34" s="261"/>
      <c r="E34" s="264"/>
      <c r="F34" s="301">
        <f>IF('数据-取费表'!B24=0,1,'数据-取费表'!N16)</f>
        <v>1</v>
      </c>
      <c r="G34" s="263" t="s">
        <v>116</v>
      </c>
    </row>
    <row r="35" spans="1:7" ht="13.5" customHeight="1">
      <c r="A35" s="950" t="s">
        <v>796</v>
      </c>
      <c r="B35" s="259" t="s">
        <v>60</v>
      </c>
      <c r="C35" s="264">
        <f>ROUND(C34*F35,0)</f>
        <v>204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453</v>
      </c>
      <c r="D37" s="261">
        <f>'数据-汇总表'!E3</f>
        <v>22666.709999999995</v>
      </c>
      <c r="E37" s="293">
        <f>'数据-取费表'!B35</f>
        <v>200</v>
      </c>
      <c r="F37" s="303"/>
      <c r="G37" s="305" t="s">
        <v>119</v>
      </c>
    </row>
    <row r="38" spans="1:7" ht="13.5" customHeight="1">
      <c r="A38" s="950" t="s">
        <v>799</v>
      </c>
      <c r="B38" s="259" t="s">
        <v>63</v>
      </c>
      <c r="C38" s="264">
        <f>ROUND(C34*F38,0)</f>
        <v>102</v>
      </c>
      <c r="D38" s="264"/>
      <c r="E38" s="264"/>
      <c r="F38" s="303">
        <f>'数据-取费表'!B36</f>
        <v>1.4999999999999999E-2</v>
      </c>
      <c r="G38" s="263" t="s">
        <v>117</v>
      </c>
    </row>
    <row r="39" spans="1:7" s="258" customFormat="1" ht="13.5" customHeight="1">
      <c r="A39" s="947" t="s">
        <v>783</v>
      </c>
      <c r="B39" s="254" t="s">
        <v>104</v>
      </c>
      <c r="C39" s="276">
        <f>ROUND(C33*F20,0)</f>
        <v>227</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370</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359</v>
      </c>
      <c r="D42" s="282"/>
      <c r="E42" s="282"/>
      <c r="F42" s="283"/>
      <c r="G42" s="3107" t="s">
        <v>121</v>
      </c>
    </row>
    <row r="43" spans="1:7" ht="13.5" customHeight="1">
      <c r="A43" s="950" t="s">
        <v>792</v>
      </c>
      <c r="B43" s="259" t="s">
        <v>1061</v>
      </c>
      <c r="C43" s="282">
        <f ca="1">ROUND(IF('数据-取费表'!B22&lt;=1,C39*F22*'数据-取费表'!B21/2,C39*(POWER((1+F22),'数据-取费表'!B21/2)-1)),0)</f>
        <v>11</v>
      </c>
      <c r="D43" s="282"/>
      <c r="E43" s="282"/>
      <c r="F43" s="283"/>
      <c r="G43" s="3108"/>
    </row>
    <row r="44" spans="1:7" ht="13.5" customHeight="1">
      <c r="A44" s="950" t="s">
        <v>793</v>
      </c>
      <c r="B44" s="259" t="s">
        <v>1063</v>
      </c>
      <c r="C44" s="282">
        <f ca="1">ROUND(IF('数据-取费表'!B22&lt;=1,C40*F22*'数据-取费表'!B21/2,C40*(POWER((1+F22),'数据-取费表'!B21/2)-1)),4)</f>
        <v>1.4E-3</v>
      </c>
      <c r="D44" s="282"/>
      <c r="E44" s="282"/>
      <c r="F44" s="283"/>
      <c r="G44" s="3109"/>
    </row>
    <row r="45" spans="1:7" s="258" customFormat="1" ht="13.5" customHeight="1">
      <c r="A45" s="947" t="s">
        <v>786</v>
      </c>
      <c r="B45" s="288" t="s">
        <v>112</v>
      </c>
      <c r="C45" s="289">
        <f>C46</f>
        <v>1947</v>
      </c>
      <c r="D45" s="279">
        <f>C47</f>
        <v>7.4999999999999997E-3</v>
      </c>
      <c r="E45" s="280" t="s">
        <v>129</v>
      </c>
      <c r="F45" s="290"/>
      <c r="G45" s="291" t="s">
        <v>1069</v>
      </c>
    </row>
    <row r="46" spans="1:7" s="258" customFormat="1" ht="13.5" customHeight="1">
      <c r="A46" s="950" t="s">
        <v>794</v>
      </c>
      <c r="B46" s="292" t="s">
        <v>1062</v>
      </c>
      <c r="C46" s="293">
        <f>ROUND((C33+C39)*F27,0)</f>
        <v>1947</v>
      </c>
      <c r="D46" s="307"/>
      <c r="E46" s="280"/>
      <c r="F46" s="290"/>
      <c r="G46" s="291"/>
    </row>
    <row r="47" spans="1:7" s="258" customFormat="1" ht="13.5" customHeight="1">
      <c r="A47" s="950" t="s">
        <v>792</v>
      </c>
      <c r="B47" s="292" t="s">
        <v>1064</v>
      </c>
      <c r="C47" s="282">
        <f>ROUND(C40*F27,4)</f>
        <v>7.4999999999999997E-3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11130</v>
      </c>
      <c r="D49" s="276"/>
      <c r="E49" s="276"/>
      <c r="F49" s="308"/>
      <c r="G49" s="278" t="s">
        <v>1070</v>
      </c>
    </row>
    <row r="50" spans="1:7" s="302" customFormat="1" ht="24">
      <c r="A50" s="947" t="s">
        <v>789</v>
      </c>
      <c r="B50" s="254" t="s">
        <v>124</v>
      </c>
      <c r="C50" s="276"/>
      <c r="D50" s="276"/>
      <c r="E50" s="276"/>
      <c r="F50" s="308">
        <f>IF('数据-取费表'!B24=0,'数据-取费表'!N16,1)</f>
        <v>0.83</v>
      </c>
      <c r="G50" s="291" t="s">
        <v>125</v>
      </c>
    </row>
    <row r="51" spans="1:7" ht="16.5" customHeight="1">
      <c r="A51" s="947" t="s">
        <v>790</v>
      </c>
      <c r="B51" s="254" t="s">
        <v>132</v>
      </c>
      <c r="C51" s="276">
        <f ca="1">ROUND(C49*F50,0)</f>
        <v>9238</v>
      </c>
      <c r="D51" s="276"/>
      <c r="E51" s="276"/>
      <c r="F51" s="308"/>
      <c r="G51" s="278" t="s">
        <v>64</v>
      </c>
    </row>
    <row r="52" spans="1:7" s="252" customFormat="1" ht="16.5" thickBot="1">
      <c r="A52" s="309" t="s">
        <v>65</v>
      </c>
      <c r="B52" s="310"/>
      <c r="C52" s="311">
        <f ca="1">C31+C51</f>
        <v>41402</v>
      </c>
      <c r="D52" s="310"/>
      <c r="E52" s="310"/>
      <c r="F52" s="310"/>
      <c r="G52" s="312"/>
    </row>
    <row r="55" spans="1:7" ht="15">
      <c r="B55" s="314" t="s">
        <v>66</v>
      </c>
      <c r="C55" s="315"/>
    </row>
    <row r="56" spans="1:7">
      <c r="B56" s="317" t="s">
        <v>67</v>
      </c>
      <c r="C56" s="318">
        <f ca="1">ROUND(C51/C52,3)</f>
        <v>0.223</v>
      </c>
    </row>
    <row r="57" spans="1:7">
      <c r="B57" s="317" t="s">
        <v>68</v>
      </c>
      <c r="C57" s="319">
        <f ca="1">1-C56</f>
        <v>0.77700000000000002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868</v>
      </c>
      <c r="B1" s="334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43763</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1636</v>
      </c>
      <c r="B2" s="3026" t="s">
        <v>1637</v>
      </c>
      <c r="C2" s="3026" t="s">
        <v>1638</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7"/>
      <c r="B3" s="3027"/>
      <c r="C3" s="3027"/>
      <c r="D3" s="1043" t="s">
        <v>1633</v>
      </c>
      <c r="E3" s="1043" t="s">
        <v>1639</v>
      </c>
      <c r="F3" s="1043" t="s">
        <v>1633</v>
      </c>
      <c r="G3" s="1043" t="s">
        <v>1634</v>
      </c>
      <c r="H3" s="1043" t="s">
        <v>1633</v>
      </c>
      <c r="I3" s="1043" t="s">
        <v>1634</v>
      </c>
    </row>
    <row r="4" spans="1:9" ht="30">
      <c r="A4" s="1971" t="str">
        <f>项目基本情况!S2</f>
        <v>北京市海淀区东北旺西路8号19号楼房地产</v>
      </c>
      <c r="B4" s="1043">
        <f>项目基本情况!C17</f>
        <v>22666.709999999995</v>
      </c>
      <c r="C4" s="1043">
        <f>项目基本情况!C18</f>
        <v>26823.14</v>
      </c>
      <c r="D4" s="1043">
        <f ca="1">结果表!D118</f>
        <v>82154</v>
      </c>
      <c r="E4" s="1043">
        <f ca="1">结果表!E118</f>
        <v>36245</v>
      </c>
      <c r="F4" s="1043">
        <f ca="1">结果表!F118</f>
        <v>8224</v>
      </c>
      <c r="G4" s="1043">
        <f ca="1">结果表!G118</f>
        <v>3628</v>
      </c>
      <c r="H4" s="1043">
        <f ca="1">结果表!H118</f>
        <v>90378</v>
      </c>
      <c r="I4" s="1043">
        <f ca="1">结果表!I118</f>
        <v>39873</v>
      </c>
    </row>
    <row r="5" spans="1:9" ht="30" customHeight="1">
      <c r="A5" s="3027" t="s">
        <v>1635</v>
      </c>
      <c r="B5" s="3027"/>
      <c r="C5" s="3027"/>
      <c r="D5" s="3028" t="str">
        <f ca="1">结果表!D119</f>
        <v>捌亿贰仟壹佰伍拾肆万元整</v>
      </c>
      <c r="E5" s="3028"/>
      <c r="F5" s="3028" t="str">
        <f ca="1">结果表!F119</f>
        <v>捌仟贰佰贰拾肆万元整</v>
      </c>
      <c r="G5" s="3028"/>
      <c r="H5" s="3028" t="str">
        <f ca="1">结果表!H119</f>
        <v>玖亿零叁佰柒拾捌万元整</v>
      </c>
      <c r="I5" s="3028"/>
    </row>
    <row r="6" spans="1:9" ht="15.75">
      <c r="A6" s="3029" t="str">
        <f>结果表!A120</f>
        <v>估价师知悉的法定优先受偿款</v>
      </c>
      <c r="B6" s="3029"/>
      <c r="C6" s="3029"/>
      <c r="D6" s="3029">
        <f>结果表!D120</f>
        <v>0</v>
      </c>
      <c r="E6" s="3029"/>
      <c r="F6" s="3029"/>
      <c r="G6" s="3029"/>
      <c r="H6" s="3029"/>
      <c r="I6" s="3029"/>
    </row>
    <row r="7" spans="1:9" ht="15">
      <c r="A7" s="3027" t="s">
        <v>1635</v>
      </c>
      <c r="B7" s="3027"/>
      <c r="C7" s="3027"/>
      <c r="D7" s="3030" t="str">
        <f>结果表!D121</f>
        <v>零元整</v>
      </c>
      <c r="E7" s="3031"/>
      <c r="F7" s="3031"/>
      <c r="G7" s="3031"/>
      <c r="H7" s="3031"/>
      <c r="I7" s="3032"/>
    </row>
    <row r="8" spans="1:9" ht="15.75">
      <c r="A8" s="3029" t="str">
        <f>结果表!A122</f>
        <v>房地产抵押价值</v>
      </c>
      <c r="B8" s="3029"/>
      <c r="C8" s="3029"/>
      <c r="D8" s="3029">
        <f ca="1">结果表!D122</f>
        <v>90378</v>
      </c>
      <c r="E8" s="3029"/>
      <c r="F8" s="3029"/>
      <c r="G8" s="3029"/>
      <c r="H8" s="3029"/>
      <c r="I8" s="3029"/>
    </row>
    <row r="9" spans="1:9" ht="15">
      <c r="A9" s="3027" t="s">
        <v>1635</v>
      </c>
      <c r="B9" s="3027"/>
      <c r="C9" s="3027"/>
      <c r="D9" s="3028" t="str">
        <f ca="1">结果表!D123</f>
        <v>玖亿零叁佰柒拾捌万元整</v>
      </c>
      <c r="E9" s="3028"/>
      <c r="F9" s="3028"/>
      <c r="G9" s="3028"/>
      <c r="H9" s="3028"/>
      <c r="I9" s="3028"/>
    </row>
    <row r="10" spans="1:9" ht="15.75">
      <c r="A10" s="3029" t="str">
        <f>结果表!A124</f>
        <v/>
      </c>
      <c r="B10" s="3029"/>
      <c r="C10" s="3029"/>
      <c r="D10" s="3029" t="str">
        <f>结果表!D124</f>
        <v>——</v>
      </c>
      <c r="E10" s="3029"/>
      <c r="F10" s="3029"/>
      <c r="G10" s="3029"/>
      <c r="H10" s="3029"/>
      <c r="I10" s="3029"/>
    </row>
    <row r="11" spans="1:9" ht="15">
      <c r="A11" s="3027" t="s">
        <v>1635</v>
      </c>
      <c r="B11" s="3027"/>
      <c r="C11" s="3027"/>
      <c r="D11" s="3028" t="e">
        <f>结果表!D125</f>
        <v>#VALUE!</v>
      </c>
      <c r="E11" s="3028"/>
      <c r="F11" s="3028"/>
      <c r="G11" s="3028"/>
      <c r="H11" s="3028"/>
      <c r="I11" s="3028"/>
    </row>
    <row r="12" spans="1:9" ht="15.75">
      <c r="A12" s="3029" t="str">
        <f>结果表!A126</f>
        <v/>
      </c>
      <c r="B12" s="3029"/>
      <c r="C12" s="3029"/>
      <c r="D12" s="3029" t="str">
        <f>结果表!D126</f>
        <v>——</v>
      </c>
      <c r="E12" s="3029"/>
      <c r="F12" s="3029"/>
      <c r="G12" s="3029"/>
      <c r="H12" s="3029"/>
      <c r="I12" s="3029"/>
    </row>
    <row r="13" spans="1:9" ht="15.75" thickBot="1">
      <c r="A13" s="3033" t="s">
        <v>1635</v>
      </c>
      <c r="B13" s="3033"/>
      <c r="C13" s="3033"/>
      <c r="D13" s="3034" t="e">
        <f>结果表!D127</f>
        <v>#VALUE!</v>
      </c>
      <c r="E13" s="3034"/>
      <c r="F13" s="3034"/>
      <c r="G13" s="3034"/>
      <c r="H13" s="3034"/>
      <c r="I13" s="3034"/>
    </row>
    <row r="14" spans="1:9" ht="15" thickTop="1">
      <c r="A14" s="3035" t="s">
        <v>1640</v>
      </c>
      <c r="B14" s="3035"/>
      <c r="C14" s="3035"/>
      <c r="D14" s="3035"/>
      <c r="E14" s="3035"/>
      <c r="F14" s="3035"/>
      <c r="G14" s="3035"/>
      <c r="H14" s="3035"/>
      <c r="I14" s="3035"/>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4" sqref="M13:M14"/>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5"/>
  <sheetViews>
    <sheetView topLeftCell="C16" workbookViewId="0">
      <selection activeCell="K47" sqref="K47"/>
    </sheetView>
  </sheetViews>
  <sheetFormatPr defaultRowHeight="13.5"/>
  <cols>
    <col min="2" max="2" width="10.5" bestFit="1" customWidth="1"/>
    <col min="3" max="4" width="11.75" customWidth="1"/>
    <col min="5" max="5" width="14.125" customWidth="1"/>
    <col min="6" max="6" width="12.625" customWidth="1"/>
    <col min="8" max="9" width="9.625" customWidth="1"/>
    <col min="14" max="14" width="10.75" customWidth="1"/>
    <col min="15" max="15" width="12.125" customWidth="1"/>
  </cols>
  <sheetData>
    <row r="2" spans="1:10">
      <c r="B2" s="2997" t="s">
        <v>3163</v>
      </c>
      <c r="C2" s="3000">
        <v>20353.72</v>
      </c>
    </row>
    <row r="3" spans="1:10">
      <c r="B3" s="2997" t="s">
        <v>3165</v>
      </c>
      <c r="C3">
        <v>6364.82</v>
      </c>
      <c r="D3" s="3000">
        <f>C3+C4+C5</f>
        <v>18053.41</v>
      </c>
      <c r="E3" s="3000"/>
    </row>
    <row r="4" spans="1:10">
      <c r="B4" s="2997" t="s">
        <v>3166</v>
      </c>
      <c r="C4">
        <v>6378.05</v>
      </c>
    </row>
    <row r="5" spans="1:10">
      <c r="B5" s="2997" t="s">
        <v>3167</v>
      </c>
      <c r="C5">
        <v>5310.54</v>
      </c>
    </row>
    <row r="6" spans="1:10">
      <c r="B6" s="2997" t="s">
        <v>3164</v>
      </c>
      <c r="C6">
        <v>2300.31</v>
      </c>
    </row>
    <row r="9" spans="1:10">
      <c r="B9" s="2997"/>
      <c r="C9" s="2997" t="s">
        <v>3170</v>
      </c>
      <c r="D9" s="2997" t="s">
        <v>3171</v>
      </c>
      <c r="E9" s="2997"/>
    </row>
    <row r="10" spans="1:10">
      <c r="A10" s="2997"/>
      <c r="B10" s="2997" t="s">
        <v>3166</v>
      </c>
      <c r="C10" s="2998">
        <v>43070</v>
      </c>
      <c r="D10" s="2998">
        <v>44392</v>
      </c>
      <c r="E10" s="2998"/>
    </row>
    <row r="11" spans="1:10">
      <c r="B11" s="2997" t="s">
        <v>3168</v>
      </c>
      <c r="C11" s="2998">
        <v>43297</v>
      </c>
      <c r="D11" s="2999">
        <v>44392</v>
      </c>
      <c r="E11" s="2999"/>
    </row>
    <row r="12" spans="1:10">
      <c r="B12" s="2997" t="s">
        <v>3164</v>
      </c>
      <c r="C12" s="2998">
        <v>43297</v>
      </c>
      <c r="D12" s="2998">
        <v>44392</v>
      </c>
      <c r="E12" s="2998"/>
    </row>
    <row r="14" spans="1:10">
      <c r="E14" s="2997" t="s">
        <v>3175</v>
      </c>
      <c r="F14" s="2997" t="s">
        <v>3169</v>
      </c>
      <c r="G14" s="2997" t="s">
        <v>3174</v>
      </c>
      <c r="H14" s="2997" t="s">
        <v>3173</v>
      </c>
      <c r="I14" s="2997" t="s">
        <v>3172</v>
      </c>
    </row>
    <row r="15" spans="1:10">
      <c r="B15" s="2997" t="s">
        <v>3166</v>
      </c>
      <c r="C15" s="2998">
        <v>43070</v>
      </c>
      <c r="D15" s="2998">
        <v>43296</v>
      </c>
      <c r="E15" s="3001">
        <f>F15*12</f>
        <v>13018875.720000001</v>
      </c>
      <c r="F15">
        <v>1084906.31</v>
      </c>
      <c r="G15">
        <v>170.1</v>
      </c>
      <c r="H15">
        <f>G15/30</f>
        <v>5.67</v>
      </c>
    </row>
    <row r="16" spans="1:10">
      <c r="C16" s="2998">
        <v>43297</v>
      </c>
      <c r="D16" s="2998">
        <v>44392</v>
      </c>
      <c r="E16" s="3001">
        <f t="shared" ref="E16:E18" si="0">F16*12</f>
        <v>15383856.600000001</v>
      </c>
      <c r="F16">
        <v>1281988.05</v>
      </c>
      <c r="G16">
        <v>201</v>
      </c>
      <c r="H16">
        <f>G16/30</f>
        <v>6.7</v>
      </c>
      <c r="I16">
        <v>1.72</v>
      </c>
      <c r="J16" s="3000">
        <f>ROUND((F16*12+F17*12+F18*12)/(C3+C4+C5)/365,1)</f>
        <v>6.6</v>
      </c>
    </row>
    <row r="17" spans="2:16">
      <c r="B17" s="2997" t="s">
        <v>3165</v>
      </c>
      <c r="C17" s="2998">
        <v>43297</v>
      </c>
      <c r="D17" s="2998">
        <v>44392</v>
      </c>
      <c r="E17" s="3001">
        <f t="shared" si="0"/>
        <v>15351945.84</v>
      </c>
      <c r="F17">
        <v>1279328.82</v>
      </c>
      <c r="G17">
        <v>201</v>
      </c>
      <c r="H17">
        <f t="shared" ref="H17:H18" si="1">G17/30</f>
        <v>6.7</v>
      </c>
      <c r="I17">
        <v>1.72</v>
      </c>
    </row>
    <row r="18" spans="2:16">
      <c r="B18" s="2997" t="s">
        <v>3167</v>
      </c>
      <c r="C18" s="2998">
        <v>43297</v>
      </c>
      <c r="D18" s="2998">
        <v>44392</v>
      </c>
      <c r="E18" s="3001">
        <f t="shared" si="0"/>
        <v>12809022.48</v>
      </c>
      <c r="F18">
        <v>1067418.54</v>
      </c>
      <c r="G18">
        <v>201</v>
      </c>
      <c r="H18">
        <f t="shared" si="1"/>
        <v>6.7</v>
      </c>
      <c r="I18">
        <v>1.72</v>
      </c>
    </row>
    <row r="19" spans="2:16">
      <c r="E19" s="3001"/>
      <c r="F19">
        <f>SUM(F15:F18)</f>
        <v>4713641.7200000007</v>
      </c>
    </row>
    <row r="20" spans="2:16">
      <c r="E20" s="3002">
        <f>E16*I16+E17*I17+E18*I18</f>
        <v>74897098.862399995</v>
      </c>
      <c r="J20" s="3000">
        <f>ROUND(E20/D3/365/I16,1)</f>
        <v>6.6</v>
      </c>
    </row>
    <row r="21" spans="2:16">
      <c r="B21" s="2997"/>
      <c r="E21" s="3001"/>
    </row>
    <row r="22" spans="2:16">
      <c r="B22" s="2997" t="s">
        <v>3164</v>
      </c>
      <c r="C22" s="2998">
        <v>43297</v>
      </c>
      <c r="D22" s="2998">
        <v>44392</v>
      </c>
      <c r="E22" s="3001"/>
      <c r="F22">
        <v>289839.06</v>
      </c>
      <c r="G22">
        <v>126</v>
      </c>
      <c r="H22">
        <f>G22/30</f>
        <v>4.2</v>
      </c>
      <c r="I22">
        <v>1.72</v>
      </c>
      <c r="J22" s="3000">
        <f>H22</f>
        <v>4.2</v>
      </c>
    </row>
    <row r="23" spans="2:16">
      <c r="L23">
        <f>F22/30/I31</f>
        <v>2.13215411234011</v>
      </c>
    </row>
    <row r="26" spans="2:16">
      <c r="E26" s="2997" t="s">
        <v>3180</v>
      </c>
      <c r="F26" s="2997" t="s">
        <v>3181</v>
      </c>
    </row>
    <row r="27" spans="2:16">
      <c r="E27">
        <v>1.72</v>
      </c>
      <c r="F27">
        <f>(F19-F15)*12+F22*12</f>
        <v>47022893.640000008</v>
      </c>
    </row>
    <row r="28" spans="2:16">
      <c r="F28" s="2997" t="s">
        <v>3184</v>
      </c>
      <c r="I28" s="3345" t="s">
        <v>3186</v>
      </c>
      <c r="J28" s="3346"/>
      <c r="L28" s="2997" t="s">
        <v>3187</v>
      </c>
      <c r="P28" s="2997" t="s">
        <v>3188</v>
      </c>
    </row>
    <row r="29" spans="2:16">
      <c r="F29" s="3004">
        <f>ROUND(F27/'数据-汇总表'!E19/365,4)</f>
        <v>5.7042999999999999</v>
      </c>
      <c r="I29" s="2997" t="s">
        <v>3185</v>
      </c>
      <c r="L29" s="3008">
        <f>ROUND(419.443521+575.710038-P29/10000,0)</f>
        <v>888</v>
      </c>
      <c r="N29" s="2997" t="s">
        <v>3166</v>
      </c>
      <c r="O29">
        <v>4194435.21</v>
      </c>
      <c r="P29">
        <f>358120.79*3</f>
        <v>1074362.3699999999</v>
      </c>
    </row>
    <row r="30" spans="2:16">
      <c r="I30">
        <f>'数据-汇总表'!F19</f>
        <v>18053.419999999998</v>
      </c>
      <c r="J30">
        <v>6.5</v>
      </c>
      <c r="N30" s="2997" t="s">
        <v>3189</v>
      </c>
      <c r="O30">
        <v>5757100.3799999999</v>
      </c>
    </row>
    <row r="31" spans="2:16">
      <c r="I31">
        <f>'数据-汇总表'!G19</f>
        <v>4531.24</v>
      </c>
      <c r="J31" s="3013">
        <v>2.5</v>
      </c>
      <c r="N31" s="2997"/>
      <c r="O31">
        <f>SUM(O29:O30)</f>
        <v>9951535.5899999999</v>
      </c>
    </row>
    <row r="32" spans="2:16">
      <c r="I32">
        <f>SUM(I30:I31)</f>
        <v>22584.659999999996</v>
      </c>
      <c r="J32" s="3004">
        <f>ROUND((J30*I30+J31*I31)/I32,2)</f>
        <v>5.7</v>
      </c>
    </row>
    <row r="45" spans="9:9">
      <c r="I45" s="3347"/>
    </row>
  </sheetData>
  <mergeCells count="1">
    <mergeCell ref="I28:J28"/>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6" t="s">
        <v>1657</v>
      </c>
      <c r="B1" s="3036"/>
      <c r="C1" s="3036"/>
      <c r="D1" s="3036"/>
    </row>
    <row r="2" spans="1:4" ht="18">
      <c r="A2" s="3037" t="s">
        <v>1641</v>
      </c>
      <c r="B2" s="3037"/>
      <c r="C2" s="3037"/>
      <c r="D2" s="3037"/>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37" t="s">
        <v>1647</v>
      </c>
      <c r="B6" s="3037"/>
      <c r="C6" s="3037"/>
      <c r="D6" s="3037"/>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38" t="s">
        <v>1650</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2" t="s">
        <v>1651</v>
      </c>
      <c r="B16" s="3042"/>
      <c r="C16" s="3042"/>
      <c r="D16" s="3042"/>
    </row>
    <row r="17" spans="1:4" ht="144" customHeight="1">
      <c r="A17" s="3042" t="s">
        <v>1652</v>
      </c>
      <c r="B17" s="3042"/>
      <c r="C17" s="3042"/>
      <c r="D17" s="3042"/>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1653</v>
      </c>
      <c r="B22" s="3044"/>
      <c r="C22" s="3044"/>
      <c r="D22" s="304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50" t="s">
        <v>1664</v>
      </c>
      <c r="B15" s="3045" t="s">
        <v>136</v>
      </c>
      <c r="C15" s="3046"/>
    </row>
    <row r="16" spans="1:7" ht="13.5">
      <c r="A16" s="3051"/>
      <c r="B16" s="3045" t="s">
        <v>69</v>
      </c>
      <c r="C16" s="3046"/>
    </row>
    <row r="17" spans="1:3" ht="13.5">
      <c r="A17" s="3051"/>
      <c r="B17" s="3048" t="s">
        <v>1665</v>
      </c>
      <c r="C17" s="1998" t="s">
        <v>1664</v>
      </c>
    </row>
    <row r="18" spans="1:3" ht="13.5">
      <c r="A18" s="3051"/>
      <c r="B18" s="3048"/>
      <c r="C18" s="1998" t="s">
        <v>1666</v>
      </c>
    </row>
    <row r="19" spans="1:3" ht="13.5">
      <c r="A19" s="3051"/>
      <c r="B19" s="3048"/>
      <c r="C19" s="1998" t="s">
        <v>1667</v>
      </c>
    </row>
    <row r="20" spans="1:3" ht="13.5">
      <c r="A20" s="3052"/>
      <c r="B20" s="3047" t="s">
        <v>1668</v>
      </c>
      <c r="C20" s="3046"/>
    </row>
    <row r="21" spans="1:3" ht="13.5">
      <c r="A21" s="1999" t="s">
        <v>1669</v>
      </c>
      <c r="B21" s="2000"/>
      <c r="C21" s="2001"/>
    </row>
    <row r="22" spans="1:3" ht="13.5">
      <c r="A22" s="3049" t="s">
        <v>1670</v>
      </c>
      <c r="B22" s="3047" t="s">
        <v>1671</v>
      </c>
      <c r="C22" s="3046"/>
    </row>
    <row r="23" spans="1:3" ht="13.5">
      <c r="A23" s="3049"/>
      <c r="B23" s="3047" t="s">
        <v>1672</v>
      </c>
      <c r="C23" s="3046"/>
    </row>
    <row r="24" spans="1:3" ht="13.5">
      <c r="A24" s="3049"/>
      <c r="B24" s="3047" t="s">
        <v>1673</v>
      </c>
      <c r="C24" s="3046"/>
    </row>
    <row r="25" spans="1:3" ht="13.5">
      <c r="A25" s="3049"/>
      <c r="B25" s="3048" t="s">
        <v>1674</v>
      </c>
      <c r="C25" s="1998" t="s">
        <v>1675</v>
      </c>
    </row>
    <row r="26" spans="1:3" ht="13.5">
      <c r="A26" s="3049"/>
      <c r="B26" s="3048"/>
      <c r="C26" s="1998" t="s">
        <v>1676</v>
      </c>
    </row>
    <row r="27" spans="1:3" ht="13.5">
      <c r="A27" s="3049"/>
      <c r="B27" s="3048"/>
      <c r="C27" s="1998" t="s">
        <v>1677</v>
      </c>
    </row>
    <row r="28" spans="1:3" ht="13.5">
      <c r="A28" s="3049"/>
      <c r="B28" s="3048"/>
      <c r="C28" s="1998" t="s">
        <v>1678</v>
      </c>
    </row>
    <row r="29" spans="1:3" ht="13.5">
      <c r="A29" s="3049"/>
      <c r="B29" s="3048"/>
      <c r="C29" s="1998" t="s">
        <v>1679</v>
      </c>
    </row>
    <row r="30" spans="1:3" ht="13.5">
      <c r="A30" s="3049"/>
      <c r="B30" s="3048"/>
      <c r="C30" s="1998" t="s">
        <v>1680</v>
      </c>
    </row>
    <row r="31" spans="1:3" ht="13.5">
      <c r="A31" s="3049"/>
      <c r="B31" s="3048"/>
      <c r="C31" s="1998" t="s">
        <v>1681</v>
      </c>
    </row>
    <row r="32" spans="1:3" ht="13.5">
      <c r="A32" s="3049"/>
      <c r="B32" s="3048"/>
      <c r="C32" s="1998" t="s">
        <v>1682</v>
      </c>
    </row>
    <row r="33" spans="1:3" ht="13.5">
      <c r="A33" s="3049"/>
      <c r="B33" s="3048"/>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43767</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5"/>
      <c r="D12" s="1701"/>
      <c r="E12" s="1021"/>
      <c r="F12" s="1029"/>
    </row>
    <row r="13" spans="1:6" ht="24" customHeight="1">
      <c r="A13" s="1701" t="s">
        <v>840</v>
      </c>
      <c r="B13" s="1021">
        <f ca="1">IF(C13&lt;B2,"已过期",1120070131)</f>
        <v>1120070131</v>
      </c>
      <c r="C13" s="2342">
        <v>43814</v>
      </c>
      <c r="D13" s="2345" t="s">
        <v>840</v>
      </c>
      <c r="E13" s="1021">
        <f ca="1">IF(F13&lt;B2,"已过期",2014110011)</f>
        <v>2014110011</v>
      </c>
      <c r="F13" s="1029">
        <v>49302</v>
      </c>
    </row>
    <row r="14" spans="1:6" ht="24" customHeight="1">
      <c r="A14" s="1701" t="s">
        <v>3035</v>
      </c>
      <c r="B14" s="1021">
        <f ca="1">IF(C14&lt;B2,"已过期",1120040230)</f>
        <v>1120040230</v>
      </c>
      <c r="C14" s="2342">
        <v>43835</v>
      </c>
      <c r="D14" s="2345" t="s">
        <v>3035</v>
      </c>
      <c r="E14" s="1021">
        <f ca="1">IF(F14&lt;B2,"已过期",98030020)</f>
        <v>98030020</v>
      </c>
      <c r="F14" s="1029">
        <v>47118</v>
      </c>
    </row>
    <row r="15" spans="1:6" ht="24" customHeight="1">
      <c r="A15" s="1702" t="s">
        <v>3036</v>
      </c>
      <c r="B15" s="1021">
        <f ca="1">IF(C15&lt;B2,"已过期",1120070085)</f>
        <v>1120070085</v>
      </c>
      <c r="C15" s="2342">
        <v>43814</v>
      </c>
      <c r="D15" s="2346" t="s">
        <v>3036</v>
      </c>
      <c r="E15" s="1021">
        <f ca="1">IF(F15&lt;B2,"已过期",2004110128)</f>
        <v>2004110128</v>
      </c>
      <c r="F15" s="1022">
        <v>47118</v>
      </c>
    </row>
    <row r="16" spans="1:6" ht="24" customHeight="1">
      <c r="A16" s="1701" t="s">
        <v>3037</v>
      </c>
      <c r="B16" s="1021">
        <f ca="1">IF(C16&lt;B2,"已过期",1120140022)</f>
        <v>1120140022</v>
      </c>
      <c r="C16" s="2925">
        <v>44029</v>
      </c>
      <c r="D16" s="2345" t="s">
        <v>3037</v>
      </c>
      <c r="E16" s="1021">
        <f ca="1">IF(F16&lt;B2,"已过期",2008110059)</f>
        <v>2008110059</v>
      </c>
      <c r="F16" s="1029">
        <v>47177</v>
      </c>
    </row>
    <row r="17" spans="1:7" ht="24" customHeight="1">
      <c r="A17" s="1701"/>
      <c r="B17" s="1021"/>
      <c r="C17" s="2342"/>
      <c r="D17" s="2345" t="s">
        <v>3038</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5">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53" t="s">
        <v>843</v>
      </c>
      <c r="B25" s="3053"/>
      <c r="C25" s="3053"/>
      <c r="D25" s="3053"/>
      <c r="E25" s="3053"/>
      <c r="F25" s="3053"/>
      <c r="G25" s="3053"/>
    </row>
    <row r="26" spans="1:7" s="1024" customFormat="1" ht="24" customHeight="1">
      <c r="A26" s="3054" t="s">
        <v>844</v>
      </c>
      <c r="B26" s="3054"/>
      <c r="C26" s="3055"/>
      <c r="D26" s="3056" t="s">
        <v>845</v>
      </c>
      <c r="E26" s="3054"/>
      <c r="F26" s="3054"/>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收益法 (元)</vt:lpstr>
      <vt:lpstr>酒店收入计算</vt:lpstr>
      <vt:lpstr>比较法-住宅</vt:lpstr>
      <vt:lpstr>比较法-商业</vt:lpstr>
      <vt:lpstr>结果表</vt:lpstr>
      <vt:lpstr>收益法-办公</vt:lpstr>
      <vt:lpstr>收益法-仓储</vt:lpstr>
      <vt:lpstr>收益法（汇总）</vt:lpstr>
      <vt:lpstr>比较法-办公</vt:lpstr>
      <vt:lpstr>比较法-工业</vt:lpstr>
      <vt:lpstr>成本法</vt:lpstr>
      <vt:lpstr>基准地价修正-办公</vt:lpstr>
      <vt:lpstr>结果表-车库</vt:lpstr>
      <vt:lpstr>收益法-车库</vt:lpstr>
      <vt:lpstr>..</vt:lpstr>
      <vt:lpstr>成本法-车库</vt:lpstr>
      <vt:lpstr>典型户型修正</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租约</vt:lpstr>
      <vt:lpstr>'..'!Print_Area</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2019-10-29T06:11:58Z</dcterms:modified>
</cp:coreProperties>
</file>