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3年\单项房地产项目\居然之家-未来广场抵押价值-刘敬东-8万\测算及报告\"/>
    </mc:Choice>
  </mc:AlternateContent>
  <bookViews>
    <workbookView xWindow="15" yWindow="45" windowWidth="11430" windowHeight="11070" tabRatio="899" firstSheet="7"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权属信息" sheetId="81" r:id="rId8"/>
    <sheet name="面积汇总表" sheetId="80"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成本法" sheetId="68" r:id="rId34"/>
    <sheet name="基准地价修正" sheetId="43" r:id="rId35"/>
    <sheet name="基准地价修正 (2)" sheetId="82" r:id="rId36"/>
    <sheet name="收益法" sheetId="15" r:id="rId37"/>
    <sheet name="结果表 (2)" sheetId="85" r:id="rId38"/>
    <sheet name="成本法 (2)" sheetId="84" r:id="rId39"/>
    <sheet name="基准地价修正 (3)" sheetId="86" r:id="rId40"/>
    <sheet name="收益法 (2)" sheetId="83" r:id="rId41"/>
    <sheet name="基准地价（汇总）" sheetId="76" r:id="rId42"/>
    <sheet name="收益法（汇总）" sheetId="70" r:id="rId43"/>
    <sheet name="Sheet4"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4"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3"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成本法!$A$1:$G$57</definedName>
    <definedName name="_xlnm.Print_Area" localSheetId="38">'成本法 (2)'!$A$1:$G$57</definedName>
    <definedName name="_xlnm.Print_Area" localSheetId="20">'成本法 (元)'!$A$1:$G$57</definedName>
    <definedName name="_xlnm.Print_Area" localSheetId="17">估价对象房地状况!$A$1:$G$24</definedName>
    <definedName name="_xlnm.Print_Area" localSheetId="10">估价师及机构信息!$A$1:$G$22</definedName>
    <definedName name="_xlnm.Print_Area" localSheetId="41">'基准地价（汇总）'!$A$1:$E$13</definedName>
    <definedName name="_xlnm.Print_Area" localSheetId="34">基准地价修正!$A$1:$J$44,基准地价修正!$A$47:$H$101,基准地价修正!$R$1:$V$16</definedName>
    <definedName name="_xlnm.Print_Area" localSheetId="35">'基准地价修正 (2)'!$A$1:$J$44,'基准地价修正 (2)'!$A$47:$H$101,'基准地价修正 (2)'!$R$1:$V$16</definedName>
    <definedName name="_xlnm.Print_Area" localSheetId="39">'基准地价修正 (3)'!$A$1:$J$44,'基准地价修正 (3)'!$A$47:$H$101,'基准地价修正 (3)'!$R$1:$V$16</definedName>
    <definedName name="_xlnm.Print_Area" localSheetId="21">假设开发法!$A$1:$K$32</definedName>
    <definedName name="_xlnm.Print_Area" localSheetId="19">结果表!$A$1:$I$127</definedName>
    <definedName name="_xlnm.Print_Area" localSheetId="37">'结果表 (2)'!$A$1:$I$127</definedName>
    <definedName name="_xlnm.Print_Area" localSheetId="36">收益法!$A$1:$F$43,收益法!$H$3:$M$29,收益法!$A$46:$F$71,收益法!$I$46:$N$65</definedName>
    <definedName name="_xlnm.Print_Area" localSheetId="40">'收益法 (2)'!$A$1:$F$43,'收益法 (2)'!$H$3:$M$29,'收益法 (2)'!$A$46:$F$71,'收益法 (2)'!$I$46:$N$65</definedName>
    <definedName name="_xlnm.Print_Area" localSheetId="22">'收益法 (元)'!$A$1:$F$43,'收益法 (元)'!$H$3:$M$29,'收益法 (元)'!$A$45:$F$71,'收益法 (元)'!$I$46:$N$65</definedName>
    <definedName name="_xlnm.Print_Area" localSheetId="42">'收益法（汇总）'!$A$1:$F$13</definedName>
    <definedName name="_xlnm.Print_Area" localSheetId="15">'数据-汇总表'!$A$1:$P$32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8">'[1]比较法-办公'!$B$119:$M$119</definedName>
    <definedName name="办公层高" localSheetId="7">'[1]比较法-办公'!$B$119:$M$119</definedName>
    <definedName name="办公层高">'比较法-办公'!$B$119:$M$119</definedName>
    <definedName name="办公朝向" localSheetId="8">'[1]比较法-办公'!$B$91:$M$91</definedName>
    <definedName name="办公朝向" localSheetId="7">'[1]比较法-办公'!$B$91:$M$91</definedName>
    <definedName name="办公朝向">'比较法-办公'!$B$91:$M$91</definedName>
    <definedName name="办公道路级别" localSheetId="8">'[1]比较法-办公'!$B$87:$M$87</definedName>
    <definedName name="办公道路级别" localSheetId="7">'[1]比较法-办公'!$B$87:$M$87</definedName>
    <definedName name="办公道路级别">'比较法-办公'!$B$87:$M$87</definedName>
    <definedName name="办公公共部分装修" localSheetId="8">'[1]比较法-办公'!$B$108:$M$108</definedName>
    <definedName name="办公公共部分装修" localSheetId="7">'[1]比较法-办公'!$B$108:$M$108</definedName>
    <definedName name="办公公共部分装修">'比较法-办公'!$B$108:$M$108</definedName>
    <definedName name="办公基础设施水平" localSheetId="8">'[1]比较法-办公'!$B$117:$M$117</definedName>
    <definedName name="办公基础设施水平" localSheetId="7">'[1]比较法-办公'!$B$117:$M$117</definedName>
    <definedName name="办公基础设施水平">'比较法-办公'!$B$117:$M$117</definedName>
    <definedName name="办公集聚程度" localSheetId="8">[1]定义!$M$1:$M$6</definedName>
    <definedName name="办公集聚程度" localSheetId="7">[1]定义!$M$1:$M$6</definedName>
    <definedName name="办公集聚程度">定义!$M$1:$M$6</definedName>
    <definedName name="办公建筑结构" localSheetId="8">'[1]比较法-办公'!$B$106:$M$106</definedName>
    <definedName name="办公建筑结构" localSheetId="7">'[1]比较法-办公'!$B$106:$M$106</definedName>
    <definedName name="办公建筑结构">'比较法-办公'!$B$106:$M$106</definedName>
    <definedName name="办公建筑类型" localSheetId="8">'[1]比较法-办公'!$B$101:$M$101</definedName>
    <definedName name="办公建筑类型" localSheetId="7">'[1]比较法-办公'!$B$101:$M$101</definedName>
    <definedName name="办公建筑类型">'比较法-办公'!$B$101:$M$101</definedName>
    <definedName name="办公交易情况" localSheetId="8">'[1]比较法-办公'!$A$62:$M$62</definedName>
    <definedName name="办公交易情况" localSheetId="7">'[1]比较法-办公'!$A$62:$M$62</definedName>
    <definedName name="办公交易情况">'比较法-办公'!$A$62:$M$62</definedName>
    <definedName name="办公楼层" localSheetId="8">'[1]比较法-办公'!$B$89:$M$89</definedName>
    <definedName name="办公楼层" localSheetId="7">'[1]比较法-办公'!$B$89:$M$89</definedName>
    <definedName name="办公楼层">'比较法-办公'!$B$89:$M$89</definedName>
    <definedName name="办公内部装修" localSheetId="8">'[1]比较法-办公'!$B$123:$M$123</definedName>
    <definedName name="办公内部装修" localSheetId="7">'[1]比较法-办公'!$B$123:$M$123</definedName>
    <definedName name="办公内部装修">'比较法-办公'!$B$123:$M$123</definedName>
    <definedName name="办公物业管理" localSheetId="8">'[1]比较法-办公'!$B$115:$M$115</definedName>
    <definedName name="办公物业管理" localSheetId="7">'[1]比较法-办公'!$B$115:$M$115</definedName>
    <definedName name="办公物业管理">'比较法-办公'!$B$115:$M$115</definedName>
    <definedName name="办公用途" localSheetId="8">'[1]比较法-办公'!$B$64:$M$64</definedName>
    <definedName name="办公用途" localSheetId="7">'[1]比较法-办公'!$B$64:$M$64</definedName>
    <definedName name="办公用途">'比较法-办公'!$B$64:$M$64</definedName>
    <definedName name="仓储公共部分装修" localSheetId="8">'[1]比较法-仓储'!$B$77:$M$77</definedName>
    <definedName name="仓储公共部分装修" localSheetId="7">'[1]比较法-仓储'!$B$77:$M$77</definedName>
    <definedName name="仓储公共部分装修">'比较法-仓储'!$B$77:$M$77</definedName>
    <definedName name="仓储交易情况" localSheetId="8">'[1]比较法-仓储'!$A$49:$M$49</definedName>
    <definedName name="仓储交易情况" localSheetId="7">'[1]比较法-仓储'!$A$49:$M$49</definedName>
    <definedName name="仓储交易情况">'比较法-仓储'!$A$49:$M$49</definedName>
    <definedName name="仓储楼层" localSheetId="8">'[1]比较法-仓储'!$B$69:$M$69</definedName>
    <definedName name="仓储楼层" localSheetId="7">'[1]比较法-仓储'!$B$69:$M$69</definedName>
    <definedName name="仓储楼层">'比较法-仓储'!$B$69:$M$69</definedName>
    <definedName name="仓储物业等级" localSheetId="8">'[1]比较法-仓储'!$B$82:$M$82</definedName>
    <definedName name="仓储物业等级" localSheetId="7">'[1]比较法-仓储'!$B$82:$M$82</definedName>
    <definedName name="仓储物业等级">'比较法-仓储'!$B$82:$M$82</definedName>
    <definedName name="仓储用途" localSheetId="8">'[1]比较法-仓储'!$B$51:$M$51</definedName>
    <definedName name="仓储用途" localSheetId="7">'[1]比较法-仓储'!$B$51:$M$51</definedName>
    <definedName name="仓储用途">'比较法-仓储'!$B$51:$M$51</definedName>
    <definedName name="产业集聚程度" localSheetId="8">[1]定义!$N$1:$N$6</definedName>
    <definedName name="产业集聚程度" localSheetId="7">[1]定义!$N$1:$N$6</definedName>
    <definedName name="产业集聚程度">定义!$N$1:$N$6</definedName>
    <definedName name="车位公共部分装修" localSheetId="8">'[1]比较法-车位'!$B$83:$M$83</definedName>
    <definedName name="车位公共部分装修" localSheetId="7">'[1]比较法-车位'!$B$83:$M$83</definedName>
    <definedName name="车位公共部分装修">'比较法-车位'!$B$83:$M$83</definedName>
    <definedName name="车位交易情况" localSheetId="8">'[1]比较法-车位'!$A$51:$M$51</definedName>
    <definedName name="车位交易情况" localSheetId="7">'[1]比较法-车位'!$A$51:$M$51</definedName>
    <definedName name="车位交易情况">'比较法-车位'!$A$51:$M$51</definedName>
    <definedName name="车位类型" localSheetId="8">'[1]比较法-车位'!$B$93:$M$93</definedName>
    <definedName name="车位类型" localSheetId="7">'[1]比较法-车位'!$B$93:$M$93</definedName>
    <definedName name="车位类型">'比较法-车位'!$B$93:$M$93</definedName>
    <definedName name="车位楼层" localSheetId="8">'[1]比较法-车位'!$B$71:$M$71</definedName>
    <definedName name="车位楼层" localSheetId="7">'[1]比较法-车位'!$B$71:$M$71</definedName>
    <definedName name="车位楼层">'比较法-车位'!$B$71:$M$71</definedName>
    <definedName name="车位配套类型" localSheetId="8">'[1]比较法-车位'!$B$79:$M$79</definedName>
    <definedName name="车位配套类型" localSheetId="7">'[1]比较法-车位'!$B$79:$M$79</definedName>
    <definedName name="车位配套类型">'比较法-车位'!$B$79:$M$79</definedName>
    <definedName name="车位物业等级" localSheetId="8">'[1]比较法-车位'!$B$88:$M$88</definedName>
    <definedName name="车位物业等级" localSheetId="7">'[1]比较法-车位'!$B$88:$M$88</definedName>
    <definedName name="车位物业等级">'比较法-车位'!$B$88:$M$88</definedName>
    <definedName name="车位用途" localSheetId="8">'[1]比较法-车位'!$B$53:$M$53</definedName>
    <definedName name="车位用途" localSheetId="7">'[1]比较法-车位'!$B$53:$M$53</definedName>
    <definedName name="车位用途">'比较法-车位'!$B$53:$M$53</definedName>
    <definedName name="城镇土地纳税等级分级范围" localSheetId="8">'[1]数据-取费表'!$A$53:$A$63</definedName>
    <definedName name="城镇土地纳税等级分级范围" localSheetId="7">'[1]数据-取费表'!$A$53:$A$63</definedName>
    <definedName name="城镇土地纳税等级分级范围">'数据-取费表'!$A$53:$A$63</definedName>
    <definedName name="单价内涵" localSheetId="8">[1]定义!$V$1:$V$3</definedName>
    <definedName name="单价内涵" localSheetId="7">[1]定义!$V$1:$V$3</definedName>
    <definedName name="单价内涵">定义!$V$1:$V$3</definedName>
    <definedName name="地类判定" localSheetId="8">[1]定义!$H$1:$H$9</definedName>
    <definedName name="地类判定" localSheetId="7">[1]定义!$H$1:$H$9</definedName>
    <definedName name="地类判定">定义!$H$1:$H$9</definedName>
    <definedName name="二级">区片价!$J$1:$J$21</definedName>
    <definedName name="二级分类" localSheetId="8">[1]修正!$C$17:$C$39</definedName>
    <definedName name="二级分类" localSheetId="7">[1]修正!$C$17:$C$39</definedName>
    <definedName name="二级分类">修正!$C$19:$C$51</definedName>
    <definedName name="法定最高年限" localSheetId="8">[1]定义!$G$1:$G$4</definedName>
    <definedName name="法定最高年限" localSheetId="7">[1]定义!$G$1:$G$4</definedName>
    <definedName name="法定最高年限">定义!$G$1:$G$6</definedName>
    <definedName name="工业公共部分装修" localSheetId="8">'[1]比较法-工业'!$B$95:$M$95</definedName>
    <definedName name="工业公共部分装修" localSheetId="7">'[1]比较法-工业'!$B$95:$M$95</definedName>
    <definedName name="工业公共部分装修">'比较法-工业'!$B$95:$M$95</definedName>
    <definedName name="工业基础设施水平" localSheetId="8">'[1]比较法-工业'!$B$102:$M$102</definedName>
    <definedName name="工业基础设施水平" localSheetId="7">'[1]比较法-工业'!$B$102:$M$102</definedName>
    <definedName name="工业基础设施水平">'比较法-工业'!$B$102:$M$102</definedName>
    <definedName name="工业建筑结构" localSheetId="8">'[1]比较法-工业'!$B$93:$M$93</definedName>
    <definedName name="工业建筑结构" localSheetId="7">'[1]比较法-工业'!$B$93:$M$93</definedName>
    <definedName name="工业建筑结构">'比较法-工业'!$B$93:$M$93</definedName>
    <definedName name="工业建筑类型" localSheetId="8">'[1]比较法-工业'!$B$88:$M$88</definedName>
    <definedName name="工业建筑类型" localSheetId="7">'[1]比较法-工业'!$B$88:$M$88</definedName>
    <definedName name="工业建筑类型">'比较法-工业'!$B$88:$M$88</definedName>
    <definedName name="工业交易情况" localSheetId="8">'[1]比较法-工业'!$A$55:$M$55</definedName>
    <definedName name="工业交易情况" localSheetId="7">'[1]比较法-工业'!$A$55:$M$55</definedName>
    <definedName name="工业交易情况">'比较法-工业'!$A$55:$M$55</definedName>
    <definedName name="工业内部装修" localSheetId="8">'[1]比较法-工业'!$B$104:$M$104</definedName>
    <definedName name="工业内部装修" localSheetId="7">'[1]比较法-工业'!$B$104:$M$104</definedName>
    <definedName name="工业内部装修">'比较法-工业'!$B$104:$M$104</definedName>
    <definedName name="工业物业管理" localSheetId="8">'[1]比较法-工业'!$B$100:$M$100</definedName>
    <definedName name="工业物业管理" localSheetId="7">'[1]比较法-工业'!$B$100:$M$100</definedName>
    <definedName name="工业物业管理">'比较法-工业'!$B$100:$M$100</definedName>
    <definedName name="工业用途" localSheetId="8">'[1]比较法-工业'!$B$57:$M$57</definedName>
    <definedName name="工业用途" localSheetId="7">'[1]比较法-工业'!$B$57:$M$57</definedName>
    <definedName name="工业用途">'比较法-工业'!$B$57:$M$57</definedName>
    <definedName name="公共配套设施" localSheetId="8">[1]定义!$Q$1:$Q$6</definedName>
    <definedName name="公共配套设施" localSheetId="7">[1]定义!$Q$1:$Q$6</definedName>
    <definedName name="公共配套设施">定义!$Q$1:$Q$6</definedName>
    <definedName name="估价范围判定">定义!$D$1:$D$4</definedName>
    <definedName name="估价方法" localSheetId="8">[1]定义!$B$1:$B$50</definedName>
    <definedName name="估价方法" localSheetId="7">[1]定义!$B$1:$B$50</definedName>
    <definedName name="估价方法">定义!$B$1:$B$50</definedName>
    <definedName name="环境" localSheetId="8">[1]定义!$S$1:$S$6</definedName>
    <definedName name="环境" localSheetId="7">[1]定义!$S$1:$S$6</definedName>
    <definedName name="环境">定义!$S$1:$S$6</definedName>
    <definedName name="基础设施水平" localSheetId="8">[1]定义!$R$1:$R$6</definedName>
    <definedName name="基础设施水平" localSheetId="7">[1]定义!$R$1:$R$6</definedName>
    <definedName name="基础设施水平">定义!$R$1:$R$6</definedName>
    <definedName name="季度" localSheetId="35">'基准地价修正 (2)'!$Q$19:$AD$19</definedName>
    <definedName name="季度" localSheetId="39">'基准地价修正 (3)'!$Q$19:$AD$19</definedName>
    <definedName name="季度">基准地价修正!$Q$19:$AD$19</definedName>
    <definedName name="价值类型2" localSheetId="8">[1]定义!$B$54:$B$56</definedName>
    <definedName name="价值类型2" localSheetId="7">[1]定义!$B$54:$B$56</definedName>
    <definedName name="价值类型2">定义!$B$54:$B$56</definedName>
    <definedName name="交通便捷度" localSheetId="8">[1]定义!$O$1:$O$6</definedName>
    <definedName name="交通便捷度" localSheetId="7">[1]定义!$O$1:$O$6</definedName>
    <definedName name="交通便捷度">定义!$O$1:$O$6</definedName>
    <definedName name="九级">区片价!$Q$1:$Q$51</definedName>
    <definedName name="居住社区成熟度" localSheetId="8">[1]定义!$K$1:$K$6</definedName>
    <definedName name="居住社区成熟度" localSheetId="7">[1]定义!$K$1:$K$6</definedName>
    <definedName name="居住社区成熟度">定义!$K$1:$K$6</definedName>
    <definedName name="类别" localSheetId="8">[1]定义!$J$1:$J$3</definedName>
    <definedName name="类别" localSheetId="7">[1]定义!$J$1:$J$3</definedName>
    <definedName name="类别">定义!$J$1:$J$3</definedName>
    <definedName name="临街状况" localSheetId="8">[1]定义!$T$1:$T$5</definedName>
    <definedName name="临街状况" localSheetId="7">[1]定义!$T$1:$T$5</definedName>
    <definedName name="临街状况">定义!$T$1:$T$5</definedName>
    <definedName name="六级">区片价!$N$1:$N$64</definedName>
    <definedName name="内部装修维护情况" localSheetId="8">[1]定义!$U$1:$U$6</definedName>
    <definedName name="内部装修维护情况" localSheetId="7">[1]定义!$U$1:$U$6</definedName>
    <definedName name="内部装修维护情况">定义!$U$1:$U$6</definedName>
    <definedName name="判定">[1]定义!$D$1:$D$4</definedName>
    <definedName name="七级">区片价!$O$1:$O$45</definedName>
    <definedName name="七通一平" localSheetId="8">[1]修正!$A$6:$A$14</definedName>
    <definedName name="七通一平" localSheetId="7">[1]修正!$A$6:$A$14</definedName>
    <definedName name="七通一平">修正!$A$8:$A$16</definedName>
    <definedName name="区域土地利用方向" localSheetId="8">[1]定义!$P$1:$P$6</definedName>
    <definedName name="区域土地利用方向" localSheetId="7">[1]定义!$P$1:$P$6</definedName>
    <definedName name="区域土地利用方向">定义!$P$1:$P$6</definedName>
    <definedName name="三级">区片价!$K$1:$K$26</definedName>
    <definedName name="商业层高" localSheetId="8">'[1]比较法-商业'!$B$116:$M$116</definedName>
    <definedName name="商业层高" localSheetId="7">'[1]比较法-商业'!$B$116:$M$116</definedName>
    <definedName name="商业层高">'比较法-商业'!$B$116:$M$116</definedName>
    <definedName name="商业成新度">'比较法-商业'!$B$109:$M$109</definedName>
    <definedName name="商业繁华度" localSheetId="8">[1]定义!$L$1:$L$6</definedName>
    <definedName name="商业繁华度" localSheetId="7">[1]定义!$L$1:$L$6</definedName>
    <definedName name="商业繁华度">定义!$L$1:$L$6</definedName>
    <definedName name="商业公共部分装修" localSheetId="8">'[1]比较法-商业'!$B$107:$M$107</definedName>
    <definedName name="商业公共部分装修" localSheetId="7">'[1]比较法-商业'!$B$107:$M$107</definedName>
    <definedName name="商业公共部分装修">'比较法-商业'!$B$107:$M$107</definedName>
    <definedName name="商业基础设施水平" localSheetId="8">'[1]比较法-商业'!$B$112:$M$112</definedName>
    <definedName name="商业基础设施水平" localSheetId="7">'[1]比较法-商业'!$B$112:$M$112</definedName>
    <definedName name="商业基础设施水平">'比较法-商业'!$B$112:$M$112</definedName>
    <definedName name="商业建筑结构" localSheetId="8">'[1]比较法-商业'!$B$105:$M$105</definedName>
    <definedName name="商业建筑结构" localSheetId="7">'[1]比较法-商业'!$B$105:$M$105</definedName>
    <definedName name="商业建筑结构">'比较法-商业'!$B$105:$M$105</definedName>
    <definedName name="商业交易情况" localSheetId="8">'[1]比较法-商业'!$A$61:$M$61</definedName>
    <definedName name="商业交易情况" localSheetId="7">'[1]比较法-商业'!$A$61:$M$61</definedName>
    <definedName name="商业交易情况">'比较法-商业'!$A$61:$M$61</definedName>
    <definedName name="商业街名称" localSheetId="8">[1]修正!$C$59:$C$119</definedName>
    <definedName name="商业街名称" localSheetId="7">[1]修正!$C$59:$C$119</definedName>
    <definedName name="商业街名称">修正!$C$71:$C$138</definedName>
    <definedName name="商业进深比" localSheetId="8">'[1]比较法-商业'!$B$120:$M$120</definedName>
    <definedName name="商业进深比" localSheetId="7">'[1]比较法-商业'!$B$120:$M$120</definedName>
    <definedName name="商业进深比">'比较法-商业'!$B$120:$M$120</definedName>
    <definedName name="商业类型" localSheetId="8">'[1]比较法-商业'!$B$100:$M$100</definedName>
    <definedName name="商业类型" localSheetId="7">'[1]比较法-商业'!$B$100:$M$100</definedName>
    <definedName name="商业类型">'比较法-商业'!$B$100:$M$100</definedName>
    <definedName name="商业临街状况" localSheetId="8">'[1]比较法-商业'!$B$86:$M$86</definedName>
    <definedName name="商业临街状况" localSheetId="7">'[1]比较法-商业'!$B$86:$M$86</definedName>
    <definedName name="商业临街状况">'比较法-商业'!$B$86:$M$86</definedName>
    <definedName name="商业楼层" localSheetId="8">'[1]比较法-商业'!$B$92:$M$92</definedName>
    <definedName name="商业楼层" localSheetId="7">'[1]比较法-商业'!$B$92:$M$92</definedName>
    <definedName name="商业楼层">'比较法-商业'!$B$92:$M$92</definedName>
    <definedName name="商业内部装修" localSheetId="8">'[1]比较法-商业'!$B$122:$M$122</definedName>
    <definedName name="商业内部装修" localSheetId="7">'[1]比较法-商业'!$B$122:$M$122</definedName>
    <definedName name="商业内部装修">'比较法-商业'!$B$122:$M$122</definedName>
    <definedName name="商业人流量" localSheetId="8">'[1]比较法-商业'!$B$90:$M$90</definedName>
    <definedName name="商业人流量" localSheetId="7">'[1]比较法-商业'!$B$90:$M$90</definedName>
    <definedName name="商业人流量">'比较法-商业'!$B$90:$M$90</definedName>
    <definedName name="商业业态" localSheetId="8">'[1]比较法-商业'!$B$114:$M$114</definedName>
    <definedName name="商业业态" localSheetId="7">'[1]比较法-商业'!$B$114:$M$114</definedName>
    <definedName name="商业业态">'比较法-商业'!$B$114:$M$114</definedName>
    <definedName name="商业用途" localSheetId="8">'[1]比较法-商业'!$B$63:$M$63</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8">'[1]比较法-仓储'!$B$89:$M$89</definedName>
    <definedName name="是否封闭" localSheetId="7">'[1]比较法-仓储'!$B$89:$M$89</definedName>
    <definedName name="是否封闭">'比较法-仓储'!$B$89:$M$89</definedName>
    <definedName name="是否直接入户" localSheetId="8">'[1]比较法-车位'!$B$95:$M$95</definedName>
    <definedName name="是否直接入户" localSheetId="7">'[1]比较法-车位'!$B$95:$M$95</definedName>
    <definedName name="是否直接入户">'比较法-车位'!$B$95:$M$95</definedName>
    <definedName name="四级">区片价!$L$1:$L$33</definedName>
    <definedName name="套工道路等级" localSheetId="8">'[1]土地比较法-工业'!$B$97:$M$97</definedName>
    <definedName name="套工道路等级" localSheetId="7">'[1]土地比较法-工业'!$B$97:$M$97</definedName>
    <definedName name="套工道路等级">'土地比较法-工业'!$B$97:$M$97</definedName>
    <definedName name="套工地质条件" localSheetId="8">'[1]土地比较法-工业'!$B$114:$M$114</definedName>
    <definedName name="套工地质条件" localSheetId="7">'[1]土地比较法-工业'!$B$114:$M$114</definedName>
    <definedName name="套工地质条件">'土地比较法-工业'!$B$114:$M$114</definedName>
    <definedName name="套工交易情况" localSheetId="8">'[1]土地比较法-住宅、综合'!$A$73:$M$73</definedName>
    <definedName name="套工交易情况" localSheetId="7">'[1]土地比较法-住宅、综合'!$A$73:$M$73</definedName>
    <definedName name="套工交易情况">'土地比较法-住宅、综合'!$A$72:$M$72</definedName>
    <definedName name="套工土地级别" localSheetId="8">'[1]土地比较法-工业'!$B$99:$M$99</definedName>
    <definedName name="套工土地级别" localSheetId="7">'[1]土地比较法-工业'!$B$99:$M$99</definedName>
    <definedName name="套工土地级别">'土地比较法-工业'!$B$99:$M$99</definedName>
    <definedName name="套工用途" localSheetId="8">'[1]土地比较法-工业'!$B$70:$M$70</definedName>
    <definedName name="套工用途" localSheetId="7">'[1]土地比较法-工业'!$B$70:$M$70</definedName>
    <definedName name="套工用途">'土地比较法-工业'!$B$70:$M$70</definedName>
    <definedName name="套工宗地开发程度" localSheetId="8">'[1]土地比较法-工业'!$B$112:$M$112</definedName>
    <definedName name="套工宗地开发程度" localSheetId="7">'[1]土地比较法-工业'!$B$112:$M$112</definedName>
    <definedName name="套工宗地开发程度">'土地比较法-工业'!$B$112:$M$112</definedName>
    <definedName name="套工宗地形状" localSheetId="8">'[1]土地比较法-工业'!$B$110:$M$110</definedName>
    <definedName name="套工宗地形状" localSheetId="7">'[1]土地比较法-工业'!$B$110:$M$110</definedName>
    <definedName name="套工宗地形状">'土地比较法-工业'!$B$110:$M$110</definedName>
    <definedName name="套综道路等级" localSheetId="8">'[1]土地比较法-住宅、综合'!$B$106:$M$106</definedName>
    <definedName name="套综道路等级" localSheetId="7">'[1]土地比较法-住宅、综合'!$B$106:$M$106</definedName>
    <definedName name="套综道路等级">'土地比较法-住宅、综合'!$B$105:$M$105</definedName>
    <definedName name="套综工程地质条件" localSheetId="8">'[1]土地比较法-住宅、综合'!$B$125:$M$125</definedName>
    <definedName name="套综工程地质条件" localSheetId="7">'[1]土地比较法-住宅、综合'!$B$125:$M$125</definedName>
    <definedName name="套综工程地质条件">'土地比较法-住宅、综合'!$B$124:$M$124</definedName>
    <definedName name="套综交易情况" localSheetId="8">'[1]土地比较法-住宅、综合'!$A$73:$M$73</definedName>
    <definedName name="套综交易情况" localSheetId="7">'[1]土地比较法-住宅、综合'!$A$73:$M$73</definedName>
    <definedName name="套综交易情况">'土地比较法-住宅、综合'!$A$72:$M$72</definedName>
    <definedName name="套综临街宽度及深度" localSheetId="8">'[1]土地比较法-住宅、综合'!$B$121:$M$121</definedName>
    <definedName name="套综临街宽度及深度" localSheetId="7">'[1]土地比较法-住宅、综合'!$B$121:$M$121</definedName>
    <definedName name="套综临街宽度及深度">'土地比较法-住宅、综合'!$B$120:$M$120</definedName>
    <definedName name="套综土地级别" localSheetId="8">'[1]土地比较法-住宅、综合'!$B$108:$M$108</definedName>
    <definedName name="套综土地级别" localSheetId="7">'[1]土地比较法-住宅、综合'!$B$108:$M$108</definedName>
    <definedName name="套综土地级别">'土地比较法-住宅、综合'!$B$107:$M$107</definedName>
    <definedName name="套综用途" localSheetId="8">'[1]土地比较法-住宅、综合'!$B$75:$M$75</definedName>
    <definedName name="套综用途" localSheetId="7">'[1]土地比较法-住宅、综合'!$B$75:$M$75</definedName>
    <definedName name="套综用途">'土地比较法-住宅、综合'!$B$74:$M$74</definedName>
    <definedName name="套综宗地内开发程度" localSheetId="8">'[1]土地比较法-住宅、综合'!$B$123:$M$123</definedName>
    <definedName name="套综宗地内开发程度" localSheetId="7">'[1]土地比较法-住宅、综合'!$B$123:$M$123</definedName>
    <definedName name="套综宗地内开发程度">'土地比较法-住宅、综合'!$B$122:$M$122</definedName>
    <definedName name="套综宗地形状" localSheetId="8">'[1]土地比较法-住宅、综合'!$B$119:$M$119</definedName>
    <definedName name="套综宗地形状" localSheetId="7">'[1]土地比较法-住宅、综合'!$B$119:$M$119</definedName>
    <definedName name="套综宗地形状">'土地比较法-住宅、综合'!$B$118:$M$118</definedName>
    <definedName name="土地估价师">估价师及机构信息!$D$3:$D$24</definedName>
    <definedName name="土地级别" localSheetId="8">[1]定义!$C$1:$C$14</definedName>
    <definedName name="土地级别" localSheetId="7">[1]定义!$C$1:$C$14</definedName>
    <definedName name="土地级别">定义!$C$1:$C$14</definedName>
    <definedName name="土地利用方向">定义!$P$1:$P$6</definedName>
    <definedName name="土地年限区间" localSheetId="8">[1]定义!$I$1:$I$8</definedName>
    <definedName name="土地年限区间" localSheetId="7">[1]定义!$I$1:$I$8</definedName>
    <definedName name="土地年限区间">定义!$I$1:$I$16</definedName>
    <definedName name="位置" localSheetId="8">[1]定义!$E$2:$E$4</definedName>
    <definedName name="位置" localSheetId="7">[1]定义!$E$2:$E$4</definedName>
    <definedName name="位置">定义!$E$2:$E$4</definedName>
    <definedName name="五等判定" localSheetId="8">[1]定义!$W$1:$W$6</definedName>
    <definedName name="五等判定" localSheetId="7">[1]定义!$W$1:$W$6</definedName>
    <definedName name="五等判定">定义!$W$1:$W$6</definedName>
    <definedName name="五级">区片价!$M$1:$M$41</definedName>
    <definedName name="项目类型" localSheetId="8">'[1]数据-汇总表'!$C$17:$C$26</definedName>
    <definedName name="项目类型" localSheetId="7">'[1]数据-汇总表'!$C$17:$C$26</definedName>
    <definedName name="项目类型" localSheetId="23">'[2]数据-汇总表'!$C$17:$C$26</definedName>
    <definedName name="项目类型">'数据-汇总表'!$C$17:$C$26</definedName>
    <definedName name="写字楼等级" localSheetId="8">'[1]比较法-办公'!$B$113:$M$113</definedName>
    <definedName name="写字楼等级" localSheetId="7">'[1]比较法-办公'!$B$113:$M$113</definedName>
    <definedName name="写字楼等级">'比较法-办公'!$B$113:$M$113</definedName>
    <definedName name="一级">区片价!$I$1:$I$6</definedName>
    <definedName name="一修多修正项2" localSheetId="8">[1]典型户型修正!$5:$5</definedName>
    <definedName name="一修多修正项2" localSheetId="7">[1]典型户型修正!$5:$5</definedName>
    <definedName name="一修多修正项2">典型户型修正!$5:$5</definedName>
    <definedName name="一修多修正项3" localSheetId="8">[1]典型户型修正!$7:$7</definedName>
    <definedName name="一修多修正项3" localSheetId="7">[1]典型户型修正!$7:$7</definedName>
    <definedName name="一修多修正项3">典型户型修正!$7:$7</definedName>
    <definedName name="一修多修正项4" localSheetId="8">[1]典型户型修正!$9:$9</definedName>
    <definedName name="一修多修正项4" localSheetId="7">[1]典型户型修正!$9:$9</definedName>
    <definedName name="一修多修正项4">典型户型修正!$9:$9</definedName>
    <definedName name="一修多修正项5" localSheetId="8">[1]典型户型修正!$11:$11</definedName>
    <definedName name="一修多修正项5" localSheetId="7">[1]典型户型修正!$11:$11</definedName>
    <definedName name="一修多修正项5">典型户型修正!$11:$11</definedName>
    <definedName name="一修多修正项6" localSheetId="8">[1]典型户型修正!$13:$13</definedName>
    <definedName name="一修多修正项6" localSheetId="7">[1]典型户型修正!$13:$13</definedName>
    <definedName name="一修多修正项6">典型户型修正!$13:$13</definedName>
    <definedName name="一修多修正项7" localSheetId="8">[1]典型户型修正!$15:$15</definedName>
    <definedName name="一修多修正项7" localSheetId="7">[1]典型户型修正!$15:$15</definedName>
    <definedName name="一修多修正项7">典型户型修正!$15:$15</definedName>
    <definedName name="一修多修正项8" localSheetId="8">[1]典型户型修正!$17:$17</definedName>
    <definedName name="一修多修正项8" localSheetId="7">[1]典型户型修正!$17:$17</definedName>
    <definedName name="一修多修正项8">典型户型修正!$17:$17</definedName>
    <definedName name="用途明细" localSheetId="8">[1]定义!$A$1:$A$50</definedName>
    <definedName name="用途明细" localSheetId="7">[1]定义!$A$1:$A$50</definedName>
    <definedName name="用途明细">定义!$A$1:$A$50</definedName>
    <definedName name="有无电梯" localSheetId="8">'[1]比较法-仓储'!$B$84:$M$84</definedName>
    <definedName name="有无电梯" localSheetId="7">'[1]比较法-仓储'!$B$84:$M$84</definedName>
    <definedName name="有无电梯">'比较法-仓储'!$B$84:$M$84</definedName>
    <definedName name="主用途" localSheetId="8">[1]定义!$F$1:$F$10</definedName>
    <definedName name="主用途" localSheetId="7">[1]定义!$F$1:$F$10</definedName>
    <definedName name="主用途">定义!$F$1:$F$12</definedName>
    <definedName name="住宅朝向" localSheetId="8">'[1]比较法-住宅'!$B$88:$M$88</definedName>
    <definedName name="住宅朝向" localSheetId="7">'[1]比较法-住宅'!$B$88:$M$88</definedName>
    <definedName name="住宅朝向">'比较法-住宅'!$B$88:$M$88</definedName>
    <definedName name="住宅房型" localSheetId="8">'[1]比较法-住宅'!$B$118:$M$118</definedName>
    <definedName name="住宅房型" localSheetId="7">'[1]比较法-住宅'!$B$118:$M$118</definedName>
    <definedName name="住宅房型">'比较法-住宅'!$B$118:$M$118</definedName>
    <definedName name="住宅公共部分装修" localSheetId="8">'[1]比较法-住宅'!$B$109:$M$109</definedName>
    <definedName name="住宅公共部分装修" localSheetId="7">'[1]比较法-住宅'!$B$109:$M$109</definedName>
    <definedName name="住宅公共部分装修">'比较法-住宅'!$B$109:$M$109</definedName>
    <definedName name="住宅基础设施水平" localSheetId="8">'[1]比较法-住宅'!$B$116:$M$116</definedName>
    <definedName name="住宅基础设施水平" localSheetId="7">'[1]比较法-住宅'!$B$116:$M$116</definedName>
    <definedName name="住宅基础设施水平">'比较法-住宅'!$B$116:$M$116</definedName>
    <definedName name="住宅建筑结构" localSheetId="8">'[1]比较法-住宅'!$B$105:$M$105</definedName>
    <definedName name="住宅建筑结构" localSheetId="7">'[1]比较法-住宅'!$B$105:$M$105</definedName>
    <definedName name="住宅建筑结构">'比较法-住宅'!$B$105:$M$105</definedName>
    <definedName name="住宅建筑类型" localSheetId="8">'[1]比较法-住宅'!$B$100:$M$100</definedName>
    <definedName name="住宅建筑类型" localSheetId="7">'[1]比较法-住宅'!$B$100:$M$100</definedName>
    <definedName name="住宅建筑类型">'比较法-住宅'!$B$100:$M$100</definedName>
    <definedName name="住宅建筑品质" localSheetId="8">'[1]比较法-住宅'!$B$107:$M$107</definedName>
    <definedName name="住宅建筑品质" localSheetId="7">'[1]比较法-住宅'!$B$107:$M$107</definedName>
    <definedName name="住宅建筑品质">'比较法-住宅'!$B$107:$M$107</definedName>
    <definedName name="住宅交易情况" localSheetId="8">'[1]比较法-住宅'!$A$61:$M$61</definedName>
    <definedName name="住宅交易情况" localSheetId="7">'[1]比较法-住宅'!$A$61:$M$61</definedName>
    <definedName name="住宅交易情况">'比较法-住宅'!$A$61:$M$61</definedName>
    <definedName name="住宅楼层" localSheetId="8">'[1]比较法-住宅'!$B$86:$M$86</definedName>
    <definedName name="住宅楼层" localSheetId="7">'[1]比较法-住宅'!$B$86:$M$86</definedName>
    <definedName name="住宅楼层">'比较法-住宅'!$B$86:$M$86</definedName>
    <definedName name="住宅内部装修" localSheetId="8">'[1]比较法-住宅'!$B$122:$M$122</definedName>
    <definedName name="住宅内部装修" localSheetId="7">'[1]比较法-住宅'!$B$122:$M$122</definedName>
    <definedName name="住宅内部装修">'比较法-住宅'!$B$122:$M$122</definedName>
    <definedName name="住宅物业管理" localSheetId="8">'[1]比较法-住宅'!$B$114:$M$114</definedName>
    <definedName name="住宅物业管理" localSheetId="7">'[1]比较法-住宅'!$B$114:$M$114</definedName>
    <definedName name="住宅物业管理">'比较法-住宅'!$B$114:$M$114</definedName>
    <definedName name="住宅用途" localSheetId="8">'[1]比较法-住宅'!$B$63:$M$63</definedName>
    <definedName name="住宅用途" localSheetId="7">'[1]比较法-住宅'!$B$63:$M$63</definedName>
    <definedName name="住宅用途">'比较法-住宅'!$B$63:$M$63</definedName>
    <definedName name="住宅主力户型面积">'比较法-住宅'!$B$120:$M$120</definedName>
    <definedName name="注册房地产估价师" localSheetId="8">[1]估价师及机构信息!$A$3:$A$16</definedName>
    <definedName name="注册房地产估价师" localSheetId="7">[1]估价师及机构信息!$A$3:$A$16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9" i="80" l="1"/>
  <c r="B9" i="80"/>
  <c r="E7" i="87"/>
  <c r="D7" i="87"/>
  <c r="C7" i="87"/>
  <c r="F116" i="86"/>
  <c r="G112" i="86"/>
  <c r="N111" i="86"/>
  <c r="N112" i="86" s="1"/>
  <c r="M111" i="86"/>
  <c r="M112" i="86" s="1"/>
  <c r="L111" i="86"/>
  <c r="L112" i="86" s="1"/>
  <c r="K111" i="86"/>
  <c r="K112" i="86" s="1"/>
  <c r="J111" i="86"/>
  <c r="J112" i="86" s="1"/>
  <c r="I111" i="86"/>
  <c r="I112" i="86" s="1"/>
  <c r="H111" i="86"/>
  <c r="H112" i="86" s="1"/>
  <c r="G111" i="86"/>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H98" i="86"/>
  <c r="D98" i="86"/>
  <c r="N97" i="86"/>
  <c r="M97" i="86"/>
  <c r="K97" i="86"/>
  <c r="J97" i="86" s="1"/>
  <c r="D97" i="86"/>
  <c r="B97" i="86"/>
  <c r="M96" i="86"/>
  <c r="N96" i="86" s="1"/>
  <c r="K96" i="86"/>
  <c r="J96" i="86"/>
  <c r="D96" i="86"/>
  <c r="M95" i="86"/>
  <c r="N95" i="86" s="1"/>
  <c r="K95" i="86"/>
  <c r="J95" i="86"/>
  <c r="D95" i="86"/>
  <c r="B95" i="86"/>
  <c r="N94" i="86"/>
  <c r="M94" i="86"/>
  <c r="K94" i="86"/>
  <c r="J94" i="86" s="1"/>
  <c r="D94" i="86"/>
  <c r="B94" i="86"/>
  <c r="M93" i="86"/>
  <c r="N93" i="86" s="1"/>
  <c r="K93" i="86"/>
  <c r="J93" i="86"/>
  <c r="F93" i="86"/>
  <c r="D93" i="86"/>
  <c r="N90" i="86"/>
  <c r="M90" i="86"/>
  <c r="K90" i="86"/>
  <c r="J90" i="86" s="1"/>
  <c r="H90" i="86"/>
  <c r="D90" i="86"/>
  <c r="B90" i="86"/>
  <c r="M89" i="86"/>
  <c r="N89" i="86" s="1"/>
  <c r="K89" i="86"/>
  <c r="J89" i="86"/>
  <c r="D89" i="86"/>
  <c r="M88" i="86"/>
  <c r="N88" i="86" s="1"/>
  <c r="K88" i="86"/>
  <c r="J88" i="86"/>
  <c r="D88" i="86"/>
  <c r="B88" i="86"/>
  <c r="N87" i="86"/>
  <c r="M87" i="86"/>
  <c r="K87" i="86"/>
  <c r="J87" i="86" s="1"/>
  <c r="H87" i="86"/>
  <c r="D87" i="86"/>
  <c r="B87" i="86"/>
  <c r="M86" i="86"/>
  <c r="N86" i="86" s="1"/>
  <c r="K86" i="86"/>
  <c r="J86" i="86"/>
  <c r="D86" i="86"/>
  <c r="B86" i="86"/>
  <c r="N85" i="86"/>
  <c r="M85" i="86"/>
  <c r="K85" i="86"/>
  <c r="J85" i="86" s="1"/>
  <c r="H85" i="86"/>
  <c r="D85" i="86"/>
  <c r="B85" i="86"/>
  <c r="M84" i="86"/>
  <c r="N84" i="86" s="1"/>
  <c r="K84" i="86"/>
  <c r="J84" i="86"/>
  <c r="D84" i="86"/>
  <c r="B84" i="86"/>
  <c r="N83" i="86"/>
  <c r="M83" i="86"/>
  <c r="K83" i="86"/>
  <c r="J83" i="86" s="1"/>
  <c r="H83" i="86"/>
  <c r="F83" i="86"/>
  <c r="H89" i="86" s="1"/>
  <c r="E83" i="86"/>
  <c r="B81" i="86" s="1"/>
  <c r="D83" i="86"/>
  <c r="B83" i="86"/>
  <c r="N80" i="86"/>
  <c r="M80" i="86"/>
  <c r="K80" i="86"/>
  <c r="J80" i="86" s="1"/>
  <c r="H80" i="86"/>
  <c r="D80" i="86"/>
  <c r="N79" i="86"/>
  <c r="M79" i="86"/>
  <c r="K79" i="86"/>
  <c r="J79" i="86" s="1"/>
  <c r="H79" i="86"/>
  <c r="D79" i="86"/>
  <c r="B79" i="86"/>
  <c r="M78" i="86"/>
  <c r="N78" i="86" s="1"/>
  <c r="K78" i="86"/>
  <c r="J78" i="86"/>
  <c r="D78" i="86"/>
  <c r="M77" i="86"/>
  <c r="N77" i="86" s="1"/>
  <c r="K77" i="86"/>
  <c r="J77" i="86"/>
  <c r="D77" i="86"/>
  <c r="B77" i="86"/>
  <c r="N76" i="86"/>
  <c r="M76" i="86"/>
  <c r="K76" i="86"/>
  <c r="J76" i="86" s="1"/>
  <c r="H76" i="86"/>
  <c r="D76" i="86"/>
  <c r="B76" i="86"/>
  <c r="M75" i="86"/>
  <c r="N75" i="86" s="1"/>
  <c r="K75" i="86"/>
  <c r="J75" i="86"/>
  <c r="D75" i="86"/>
  <c r="B75" i="86"/>
  <c r="N74" i="86"/>
  <c r="M74" i="86"/>
  <c r="K74" i="86"/>
  <c r="J74" i="86" s="1"/>
  <c r="H74" i="86"/>
  <c r="D74" i="86"/>
  <c r="B74" i="86"/>
  <c r="M73" i="86"/>
  <c r="N73" i="86" s="1"/>
  <c r="K73" i="86"/>
  <c r="J73" i="86"/>
  <c r="D73" i="86"/>
  <c r="B73" i="86"/>
  <c r="N72" i="86"/>
  <c r="M72" i="86"/>
  <c r="K72" i="86"/>
  <c r="J72" i="86" s="1"/>
  <c r="H72" i="86"/>
  <c r="F72" i="86"/>
  <c r="H78" i="86" s="1"/>
  <c r="E72" i="86"/>
  <c r="B70" i="86" s="1"/>
  <c r="D72" i="86"/>
  <c r="B72" i="86"/>
  <c r="N69" i="86"/>
  <c r="M69" i="86"/>
  <c r="K69" i="86"/>
  <c r="J69" i="86" s="1"/>
  <c r="D69" i="86"/>
  <c r="B69" i="86"/>
  <c r="M68" i="86"/>
  <c r="N68" i="86" s="1"/>
  <c r="K68" i="86"/>
  <c r="J68" i="86"/>
  <c r="D68" i="86"/>
  <c r="B68" i="86"/>
  <c r="N67" i="86"/>
  <c r="M67" i="86"/>
  <c r="K67" i="86"/>
  <c r="J67" i="86" s="1"/>
  <c r="D67" i="86"/>
  <c r="B67" i="86"/>
  <c r="N66" i="86"/>
  <c r="M66" i="86"/>
  <c r="K66" i="86"/>
  <c r="J66" i="86" s="1"/>
  <c r="D66" i="86"/>
  <c r="N65" i="86"/>
  <c r="M65" i="86"/>
  <c r="K65" i="86"/>
  <c r="J65" i="86" s="1"/>
  <c r="H65" i="86"/>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59" i="86" s="1"/>
  <c r="B61" i="86"/>
  <c r="B58" i="86"/>
  <c r="B57" i="86"/>
  <c r="B56" i="86"/>
  <c r="B54" i="86"/>
  <c r="B52" i="86"/>
  <c r="B51" i="86"/>
  <c r="B50" i="86"/>
  <c r="G44" i="86"/>
  <c r="F42" i="86"/>
  <c r="H41" i="86"/>
  <c r="H40" i="86"/>
  <c r="H39" i="86"/>
  <c r="H38" i="86"/>
  <c r="H37" i="86"/>
  <c r="Q32" i="86"/>
  <c r="O32" i="86"/>
  <c r="M32" i="86"/>
  <c r="J24" i="86"/>
  <c r="I24" i="86"/>
  <c r="G24" i="86"/>
  <c r="E24" i="86"/>
  <c r="P32" i="86" s="1"/>
  <c r="C24" i="86"/>
  <c r="M23" i="86"/>
  <c r="I23" i="86"/>
  <c r="G23" i="86"/>
  <c r="C22" i="86"/>
  <c r="N21" i="86"/>
  <c r="L21" i="86"/>
  <c r="J21" i="86"/>
  <c r="H21" i="86"/>
  <c r="E21" i="86"/>
  <c r="C21" i="86"/>
  <c r="C20" i="86"/>
  <c r="I18" i="86"/>
  <c r="G17" i="86"/>
  <c r="C17" i="86"/>
  <c r="C13" i="86"/>
  <c r="AJ10" i="86"/>
  <c r="AF10" i="86"/>
  <c r="AB10" i="86"/>
  <c r="S7" i="86" s="1"/>
  <c r="Y10" i="86"/>
  <c r="C10" i="86"/>
  <c r="C11" i="86" s="1"/>
  <c r="AJ9" i="86"/>
  <c r="AI9" i="86"/>
  <c r="AI10" i="86" s="1"/>
  <c r="AH9" i="86"/>
  <c r="AH10" i="86" s="1"/>
  <c r="AG9" i="86"/>
  <c r="AG10" i="86" s="1"/>
  <c r="AF9" i="86"/>
  <c r="AE9" i="86"/>
  <c r="AE10" i="86" s="1"/>
  <c r="AD9" i="86"/>
  <c r="AD10" i="86" s="1"/>
  <c r="AC9" i="86"/>
  <c r="AC10" i="86" s="1"/>
  <c r="AB9" i="86"/>
  <c r="AA9" i="86"/>
  <c r="AA10" i="86" s="1"/>
  <c r="Z9" i="86"/>
  <c r="Z10" i="86" s="1"/>
  <c r="C9" i="86"/>
  <c r="C7" i="86"/>
  <c r="S6" i="86"/>
  <c r="I2" i="86"/>
  <c r="N12" i="86" s="1"/>
  <c r="G2" i="86"/>
  <c r="H116" i="86" s="1"/>
  <c r="A124" i="85"/>
  <c r="A120" i="85"/>
  <c r="A118"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s="1"/>
  <c r="O53" i="85" s="1"/>
  <c r="O54" i="85"/>
  <c r="N54" i="85"/>
  <c r="F54" i="85"/>
  <c r="N53" i="85"/>
  <c r="F53" i="85"/>
  <c r="F52" i="85"/>
  <c r="M49" i="85"/>
  <c r="K49" i="85"/>
  <c r="F48" i="85"/>
  <c r="O52" i="85" s="1"/>
  <c r="E48" i="85"/>
  <c r="N52" i="85" s="1"/>
  <c r="M47" i="85"/>
  <c r="F33" i="85"/>
  <c r="D27" i="85"/>
  <c r="C25" i="85"/>
  <c r="C24" i="85"/>
  <c r="C17" i="85"/>
  <c r="C18" i="85" s="1"/>
  <c r="D18" i="85" s="1"/>
  <c r="D17" i="85"/>
  <c r="L4" i="85"/>
  <c r="K4" i="85"/>
  <c r="A2" i="85"/>
  <c r="H1" i="85"/>
  <c r="F48" i="84"/>
  <c r="G41" i="84"/>
  <c r="F38" i="84"/>
  <c r="E37" i="84"/>
  <c r="F36" i="84"/>
  <c r="F35" i="84"/>
  <c r="F34" i="84"/>
  <c r="F30" i="84"/>
  <c r="C48" i="84" s="1"/>
  <c r="C30" i="84"/>
  <c r="G22" i="84"/>
  <c r="F21" i="84"/>
  <c r="C40" i="84" s="1"/>
  <c r="F20" i="84"/>
  <c r="F39" i="84" s="1"/>
  <c r="E19" i="84"/>
  <c r="C19" i="84"/>
  <c r="E10" i="84"/>
  <c r="E9" i="84"/>
  <c r="F7" i="84"/>
  <c r="G1" i="84"/>
  <c r="D34" i="85"/>
  <c r="C36" i="84"/>
  <c r="D35" i="85"/>
  <c r="E2" i="84"/>
  <c r="M8" i="86" l="1"/>
  <c r="E9" i="86"/>
  <c r="E8" i="86"/>
  <c r="N10" i="86"/>
  <c r="N11" i="86"/>
  <c r="P29" i="86"/>
  <c r="P25" i="86"/>
  <c r="M24" i="86"/>
  <c r="O23" i="86"/>
  <c r="C23" i="86"/>
  <c r="P26" i="86"/>
  <c r="M12" i="86"/>
  <c r="M11" i="86"/>
  <c r="M10" i="86"/>
  <c r="N9" i="86"/>
  <c r="N8" i="86"/>
  <c r="M7" i="86"/>
  <c r="N6" i="86"/>
  <c r="M5" i="86"/>
  <c r="M4" i="86"/>
  <c r="M3" i="86"/>
  <c r="M2" i="86"/>
  <c r="N1" i="86"/>
  <c r="N3" i="86"/>
  <c r="N4" i="86"/>
  <c r="P28" i="86"/>
  <c r="M1" i="86"/>
  <c r="N2" i="86"/>
  <c r="N5" i="86"/>
  <c r="M6" i="86"/>
  <c r="N7" i="86"/>
  <c r="M9" i="86"/>
  <c r="E10" i="86"/>
  <c r="E11" i="86"/>
  <c r="E44" i="86"/>
  <c r="C44" i="86" s="1"/>
  <c r="G18" i="86"/>
  <c r="E17" i="86" s="1"/>
  <c r="P27" i="86"/>
  <c r="H68" i="86"/>
  <c r="H67" i="86"/>
  <c r="H64" i="86"/>
  <c r="H63" i="86"/>
  <c r="H61" i="86"/>
  <c r="H62" i="86"/>
  <c r="H66" i="86"/>
  <c r="H69" i="86"/>
  <c r="H101" i="86"/>
  <c r="H99" i="86"/>
  <c r="H96" i="86"/>
  <c r="H95" i="86"/>
  <c r="H93" i="86"/>
  <c r="H100" i="86"/>
  <c r="H97" i="86"/>
  <c r="H94" i="86"/>
  <c r="S2" i="86"/>
  <c r="S3" i="86"/>
  <c r="S4" i="86"/>
  <c r="S5" i="86"/>
  <c r="C6" i="86"/>
  <c r="X7" i="86"/>
  <c r="D21" i="86"/>
  <c r="I21" i="86"/>
  <c r="G21" i="86" s="1"/>
  <c r="K21" i="86"/>
  <c r="M21" i="86"/>
  <c r="O21" i="86"/>
  <c r="C27" i="86"/>
  <c r="C25" i="86" s="1"/>
  <c r="N32" i="86"/>
  <c r="F37" i="86"/>
  <c r="F38" i="86"/>
  <c r="F39" i="86"/>
  <c r="F40" i="86"/>
  <c r="F41" i="86"/>
  <c r="F50" i="86"/>
  <c r="E93" i="86"/>
  <c r="B91" i="86" s="1"/>
  <c r="H73" i="86"/>
  <c r="H75" i="86"/>
  <c r="H77" i="86"/>
  <c r="H84" i="86"/>
  <c r="H86" i="86"/>
  <c r="H88" i="86"/>
  <c r="L66" i="85"/>
  <c r="M66" i="85" s="1"/>
  <c r="L65" i="85"/>
  <c r="M65" i="85" s="1"/>
  <c r="L64" i="85"/>
  <c r="M64" i="85" s="1"/>
  <c r="L67" i="85"/>
  <c r="M67" i="85" s="1"/>
  <c r="C92" i="85"/>
  <c r="C94" i="85"/>
  <c r="K120" i="85"/>
  <c r="D121" i="85"/>
  <c r="L63" i="85"/>
  <c r="M63" i="85" s="1"/>
  <c r="M69" i="85" s="1"/>
  <c r="N69" i="85" s="1"/>
  <c r="L68" i="85"/>
  <c r="M68" i="85" s="1"/>
  <c r="H112" i="85"/>
  <c r="H110" i="85"/>
  <c r="H111" i="85"/>
  <c r="D126" i="85" s="1"/>
  <c r="D127" i="85" s="1"/>
  <c r="F40" i="84"/>
  <c r="C21" i="84"/>
  <c r="D9" i="84"/>
  <c r="F27" i="84"/>
  <c r="H58" i="86" l="1"/>
  <c r="G58" i="86" s="1"/>
  <c r="H57" i="86"/>
  <c r="G57" i="86" s="1"/>
  <c r="H56" i="86"/>
  <c r="G56" i="86" s="1"/>
  <c r="H55" i="86"/>
  <c r="G55" i="86" s="1"/>
  <c r="H52" i="86"/>
  <c r="G52" i="86" s="1"/>
  <c r="H51" i="86"/>
  <c r="G51" i="86" s="1"/>
  <c r="H50" i="86"/>
  <c r="G50" i="86" s="1"/>
  <c r="H53" i="86"/>
  <c r="G53" i="86" s="1"/>
  <c r="H54" i="86"/>
  <c r="G54" i="86" s="1"/>
  <c r="C5" i="86"/>
  <c r="D5" i="86"/>
  <c r="C9" i="84"/>
  <c r="F45" i="84"/>
  <c r="C47" i="84"/>
  <c r="D45" i="84" s="1"/>
  <c r="C29" i="84"/>
  <c r="D27" i="84" s="1"/>
  <c r="M54" i="86" l="1"/>
  <c r="N54" i="86" s="1"/>
  <c r="K54" i="86"/>
  <c r="K50" i="86"/>
  <c r="M50" i="86"/>
  <c r="N50" i="86" s="1"/>
  <c r="K52" i="86"/>
  <c r="M52" i="86"/>
  <c r="N52" i="86" s="1"/>
  <c r="K56" i="86"/>
  <c r="M56" i="86"/>
  <c r="N56" i="86" s="1"/>
  <c r="K58" i="86"/>
  <c r="M58" i="86"/>
  <c r="N58" i="86" s="1"/>
  <c r="M53" i="86"/>
  <c r="N53" i="86" s="1"/>
  <c r="K53" i="86"/>
  <c r="K51" i="86"/>
  <c r="M51" i="86"/>
  <c r="N51" i="86" s="1"/>
  <c r="K55" i="86"/>
  <c r="M55" i="86"/>
  <c r="N55" i="86" s="1"/>
  <c r="K57" i="86"/>
  <c r="J57" i="86" s="1"/>
  <c r="D57" i="86" s="1"/>
  <c r="M57" i="86"/>
  <c r="N57" i="86" s="1"/>
  <c r="D55" i="86" l="1"/>
  <c r="J55" i="86"/>
  <c r="D51" i="86"/>
  <c r="J51" i="86"/>
  <c r="D58" i="86"/>
  <c r="J58" i="86"/>
  <c r="D56" i="86"/>
  <c r="J56" i="86"/>
  <c r="D52" i="86"/>
  <c r="J52" i="86"/>
  <c r="D50" i="86"/>
  <c r="E50" i="86" s="1"/>
  <c r="B48" i="86" s="1"/>
  <c r="C28" i="86" s="1"/>
  <c r="J50" i="86"/>
  <c r="J53" i="86"/>
  <c r="D53" i="86"/>
  <c r="J54" i="86"/>
  <c r="D54" i="86"/>
  <c r="C41" i="86" l="1"/>
  <c r="C39" i="86"/>
  <c r="C37" i="86"/>
  <c r="T12" i="86"/>
  <c r="V12" i="86" s="1"/>
  <c r="T10" i="86"/>
  <c r="V10" i="86" s="1"/>
  <c r="T15" i="86"/>
  <c r="V15" i="86" s="1"/>
  <c r="T8" i="86"/>
  <c r="V8" i="86" s="1"/>
  <c r="T3" i="86"/>
  <c r="V3" i="86" s="1"/>
  <c r="T2" i="86"/>
  <c r="V2" i="86" s="1"/>
  <c r="T14" i="86"/>
  <c r="V14" i="86" s="1"/>
  <c r="T7" i="86"/>
  <c r="V7" i="86" s="1"/>
  <c r="C42" i="86"/>
  <c r="C40" i="86"/>
  <c r="C38" i="86"/>
  <c r="C33" i="86"/>
  <c r="E33" i="86" s="1"/>
  <c r="T11" i="86"/>
  <c r="V11" i="86" s="1"/>
  <c r="T6" i="86"/>
  <c r="V6" i="86" s="1"/>
  <c r="T13" i="86"/>
  <c r="V13" i="86" s="1"/>
  <c r="T4" i="86"/>
  <c r="V4" i="86" s="1"/>
  <c r="T5" i="86"/>
  <c r="V5" i="86" s="1"/>
  <c r="T16" i="86"/>
  <c r="V16" i="86" s="1"/>
  <c r="T9" i="86"/>
  <c r="V9" i="86" s="1"/>
  <c r="G40" i="86" l="1"/>
  <c r="I40" i="86" s="1"/>
  <c r="E40" i="86"/>
  <c r="G38" i="86"/>
  <c r="I38" i="86" s="1"/>
  <c r="E38" i="86"/>
  <c r="G42" i="86"/>
  <c r="G39" i="86"/>
  <c r="I39" i="86" s="1"/>
  <c r="E39" i="86"/>
  <c r="E34" i="86"/>
  <c r="C34" i="86"/>
  <c r="G37" i="86"/>
  <c r="I37" i="86" s="1"/>
  <c r="E37" i="86"/>
  <c r="G41" i="86"/>
  <c r="I41" i="86" s="1"/>
  <c r="E41" i="86"/>
  <c r="J52" i="15" l="1"/>
  <c r="Q72" i="83" l="1"/>
  <c r="C62" i="83"/>
  <c r="C61" i="83"/>
  <c r="C60" i="83"/>
  <c r="Q59" i="83"/>
  <c r="K59" i="83"/>
  <c r="P74" i="83" s="1"/>
  <c r="Q58" i="83"/>
  <c r="Q51" i="83"/>
  <c r="J50" i="83"/>
  <c r="M47" i="83"/>
  <c r="D46" i="83"/>
  <c r="C34" i="83"/>
  <c r="F33" i="83"/>
  <c r="F61" i="83" s="1"/>
  <c r="C33" i="83"/>
  <c r="C32" i="83"/>
  <c r="F23" i="83"/>
  <c r="D23" i="83" s="1"/>
  <c r="F21" i="83"/>
  <c r="F20" i="83"/>
  <c r="M19" i="83"/>
  <c r="F18" i="83"/>
  <c r="F17" i="83"/>
  <c r="F15"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M100" i="82"/>
  <c r="N100" i="82" s="1"/>
  <c r="K100" i="82"/>
  <c r="J100" i="82"/>
  <c r="D100" i="82"/>
  <c r="M99" i="82"/>
  <c r="N99" i="82" s="1"/>
  <c r="K99" i="82"/>
  <c r="J99" i="82" s="1"/>
  <c r="D99" i="82"/>
  <c r="M98" i="82"/>
  <c r="N98" i="82" s="1"/>
  <c r="K98" i="82"/>
  <c r="J98" i="82"/>
  <c r="D98" i="82"/>
  <c r="M97" i="82"/>
  <c r="N97" i="82" s="1"/>
  <c r="K97" i="82"/>
  <c r="J97" i="82" s="1"/>
  <c r="D97" i="82"/>
  <c r="N96" i="82"/>
  <c r="M96" i="82"/>
  <c r="K96" i="82"/>
  <c r="J96" i="82" s="1"/>
  <c r="D96" i="82"/>
  <c r="M95" i="82"/>
  <c r="N95" i="82" s="1"/>
  <c r="K95" i="82"/>
  <c r="J95" i="82" s="1"/>
  <c r="D95" i="82"/>
  <c r="B95" i="82"/>
  <c r="M94" i="82"/>
  <c r="N94" i="82" s="1"/>
  <c r="K94" i="82"/>
  <c r="J94" i="82" s="1"/>
  <c r="D94" i="82"/>
  <c r="N93" i="82"/>
  <c r="M93" i="82"/>
  <c r="K93" i="82"/>
  <c r="J93" i="82" s="1"/>
  <c r="F93" i="82"/>
  <c r="H100" i="82" s="1"/>
  <c r="D93" i="82"/>
  <c r="E93" i="82" s="1"/>
  <c r="B91" i="82" s="1"/>
  <c r="M90" i="82"/>
  <c r="N90" i="82" s="1"/>
  <c r="K90" i="82"/>
  <c r="J90" i="82"/>
  <c r="D90" i="82"/>
  <c r="M89" i="82"/>
  <c r="N89" i="82" s="1"/>
  <c r="K89" i="82"/>
  <c r="J89" i="82" s="1"/>
  <c r="D89" i="82"/>
  <c r="M88" i="82"/>
  <c r="N88" i="82" s="1"/>
  <c r="K88" i="82"/>
  <c r="J88" i="82" s="1"/>
  <c r="D88" i="82"/>
  <c r="M87" i="82"/>
  <c r="N87" i="82" s="1"/>
  <c r="K87" i="82"/>
  <c r="J87" i="82"/>
  <c r="D87" i="82"/>
  <c r="M86" i="82"/>
  <c r="N86" i="82" s="1"/>
  <c r="K86" i="82"/>
  <c r="J86" i="82" s="1"/>
  <c r="D86" i="82"/>
  <c r="B86" i="82"/>
  <c r="M85" i="82"/>
  <c r="N85" i="82" s="1"/>
  <c r="K85" i="82"/>
  <c r="J85" i="82"/>
  <c r="D85" i="82"/>
  <c r="B85" i="82"/>
  <c r="M84" i="82"/>
  <c r="N84" i="82" s="1"/>
  <c r="K84" i="82"/>
  <c r="J84" i="82" s="1"/>
  <c r="D84" i="82"/>
  <c r="M83" i="82"/>
  <c r="N83" i="82" s="1"/>
  <c r="K83" i="82"/>
  <c r="J83" i="82"/>
  <c r="F83" i="82"/>
  <c r="D83" i="82"/>
  <c r="M80" i="82"/>
  <c r="N80" i="82" s="1"/>
  <c r="K80" i="82"/>
  <c r="J80" i="82"/>
  <c r="D80" i="82"/>
  <c r="M79" i="82"/>
  <c r="N79" i="82" s="1"/>
  <c r="K79" i="82"/>
  <c r="J79" i="82"/>
  <c r="D79" i="82"/>
  <c r="M78" i="82"/>
  <c r="N78" i="82" s="1"/>
  <c r="K78" i="82"/>
  <c r="J78" i="82" s="1"/>
  <c r="H78" i="82"/>
  <c r="D78" i="82"/>
  <c r="N77" i="82"/>
  <c r="M77" i="82"/>
  <c r="K77" i="82"/>
  <c r="J77" i="82" s="1"/>
  <c r="D77" i="82"/>
  <c r="M76" i="82"/>
  <c r="N76" i="82" s="1"/>
  <c r="K76" i="82"/>
  <c r="J76" i="82" s="1"/>
  <c r="D76" i="82"/>
  <c r="N75" i="82"/>
  <c r="M75" i="82"/>
  <c r="K75" i="82"/>
  <c r="J75" i="82" s="1"/>
  <c r="D75" i="82"/>
  <c r="M74" i="82"/>
  <c r="N74" i="82" s="1"/>
  <c r="K74" i="82"/>
  <c r="J74" i="82"/>
  <c r="D74" i="82"/>
  <c r="B74" i="82"/>
  <c r="M73" i="82"/>
  <c r="N73" i="82" s="1"/>
  <c r="K73" i="82"/>
  <c r="J73" i="82" s="1"/>
  <c r="D73" i="82"/>
  <c r="M72" i="82"/>
  <c r="N72" i="82" s="1"/>
  <c r="K72" i="82"/>
  <c r="J72" i="82"/>
  <c r="F72" i="82"/>
  <c r="H75" i="82" s="1"/>
  <c r="D72" i="82"/>
  <c r="M69" i="82"/>
  <c r="N69" i="82" s="1"/>
  <c r="K69" i="82"/>
  <c r="J69" i="82"/>
  <c r="D69" i="82"/>
  <c r="M68" i="82"/>
  <c r="N68" i="82" s="1"/>
  <c r="K68" i="82"/>
  <c r="J68" i="82" s="1"/>
  <c r="D68" i="82"/>
  <c r="M67" i="82"/>
  <c r="N67" i="82" s="1"/>
  <c r="K67" i="82"/>
  <c r="J67" i="82"/>
  <c r="D67" i="82"/>
  <c r="M66" i="82"/>
  <c r="N66" i="82" s="1"/>
  <c r="K66" i="82"/>
  <c r="J66" i="82" s="1"/>
  <c r="D66" i="82"/>
  <c r="N65" i="82"/>
  <c r="M65" i="82"/>
  <c r="K65" i="82"/>
  <c r="J65" i="82" s="1"/>
  <c r="D65" i="82"/>
  <c r="M64" i="82"/>
  <c r="N64" i="82" s="1"/>
  <c r="K64" i="82"/>
  <c r="J64" i="82" s="1"/>
  <c r="D64" i="82"/>
  <c r="N63" i="82"/>
  <c r="M63" i="82"/>
  <c r="K63" i="82"/>
  <c r="J63" i="82" s="1"/>
  <c r="D63" i="82"/>
  <c r="B63" i="82"/>
  <c r="M62" i="82"/>
  <c r="N62" i="82" s="1"/>
  <c r="K62" i="82"/>
  <c r="J62" i="82"/>
  <c r="D62" i="82"/>
  <c r="M61" i="82"/>
  <c r="N61" i="82" s="1"/>
  <c r="K61" i="82"/>
  <c r="J61" i="82" s="1"/>
  <c r="H61" i="82"/>
  <c r="F61" i="82"/>
  <c r="H63" i="82" s="1"/>
  <c r="D61" i="82"/>
  <c r="B52" i="82"/>
  <c r="B50" i="82"/>
  <c r="H42" i="82"/>
  <c r="H41" i="82"/>
  <c r="H40" i="82"/>
  <c r="H39" i="82"/>
  <c r="H38" i="82"/>
  <c r="J24" i="82"/>
  <c r="G24" i="82"/>
  <c r="G18" i="82" s="1"/>
  <c r="E24" i="82"/>
  <c r="P32" i="82" s="1"/>
  <c r="I23" i="82"/>
  <c r="C22" i="82"/>
  <c r="C20" i="82"/>
  <c r="I18" i="82"/>
  <c r="G17" i="82"/>
  <c r="C17" i="82"/>
  <c r="C13" i="82"/>
  <c r="E11" i="82"/>
  <c r="Y10" i="82"/>
  <c r="E10" i="82"/>
  <c r="C10" i="82"/>
  <c r="C11" i="82" s="1"/>
  <c r="AJ9" i="82"/>
  <c r="AJ10" i="82" s="1"/>
  <c r="AI9" i="82"/>
  <c r="AI10" i="82" s="1"/>
  <c r="AH9" i="82"/>
  <c r="AH10" i="82" s="1"/>
  <c r="AG9" i="82"/>
  <c r="AG10" i="82" s="1"/>
  <c r="AF9" i="82"/>
  <c r="AF10" i="82" s="1"/>
  <c r="AE9" i="82"/>
  <c r="AE10" i="82" s="1"/>
  <c r="AD9" i="82"/>
  <c r="AD10" i="82" s="1"/>
  <c r="AC9" i="82"/>
  <c r="AC10" i="82" s="1"/>
  <c r="AB9" i="82"/>
  <c r="AB10" i="82" s="1"/>
  <c r="S7" i="82" s="1"/>
  <c r="AA9" i="82"/>
  <c r="AA10" i="82" s="1"/>
  <c r="Z9" i="82"/>
  <c r="Z10" i="82" s="1"/>
  <c r="C9" i="82"/>
  <c r="C7" i="82"/>
  <c r="I2" i="82"/>
  <c r="M9" i="82" s="1"/>
  <c r="G2" i="82"/>
  <c r="F42" i="82" s="1"/>
  <c r="M1" i="82"/>
  <c r="D37" i="43"/>
  <c r="C21" i="82" l="1"/>
  <c r="H21" i="82"/>
  <c r="L21" i="82"/>
  <c r="O32" i="82"/>
  <c r="F38" i="82"/>
  <c r="F39" i="82"/>
  <c r="F40" i="82"/>
  <c r="F41" i="82"/>
  <c r="H64" i="82"/>
  <c r="H66" i="82"/>
  <c r="H95" i="82"/>
  <c r="H99" i="82"/>
  <c r="M6" i="82"/>
  <c r="N2" i="82"/>
  <c r="N5" i="82"/>
  <c r="S6" i="82"/>
  <c r="N7" i="82"/>
  <c r="J21" i="82"/>
  <c r="N21" i="82"/>
  <c r="M32" i="82"/>
  <c r="Q32" i="82"/>
  <c r="F37" i="82"/>
  <c r="E61" i="82"/>
  <c r="B59" i="82" s="1"/>
  <c r="H93" i="82"/>
  <c r="H96" i="82"/>
  <c r="H101" i="82"/>
  <c r="H116" i="82"/>
  <c r="D24" i="83"/>
  <c r="P61" i="83"/>
  <c r="D22" i="83"/>
  <c r="E17" i="82"/>
  <c r="E44" i="82"/>
  <c r="E72" i="82"/>
  <c r="B70" i="82" s="1"/>
  <c r="M12" i="82"/>
  <c r="M11" i="82"/>
  <c r="M10" i="82"/>
  <c r="N9" i="82"/>
  <c r="N8" i="82"/>
  <c r="M7" i="82"/>
  <c r="N6" i="82"/>
  <c r="M5" i="82"/>
  <c r="M4" i="82"/>
  <c r="M3" i="82"/>
  <c r="M2" i="82"/>
  <c r="N1" i="82"/>
  <c r="N3" i="82"/>
  <c r="N4" i="82"/>
  <c r="F50" i="82" s="1"/>
  <c r="M8" i="82"/>
  <c r="E9" i="82"/>
  <c r="E8" i="82"/>
  <c r="N10" i="82"/>
  <c r="N11" i="82"/>
  <c r="N12" i="82"/>
  <c r="H37" i="82"/>
  <c r="H90" i="82"/>
  <c r="H87" i="82"/>
  <c r="H85" i="82"/>
  <c r="H83" i="82"/>
  <c r="H84" i="82"/>
  <c r="H88" i="82"/>
  <c r="S2" i="82"/>
  <c r="S3" i="82"/>
  <c r="S4" i="82"/>
  <c r="S5" i="82"/>
  <c r="C6" i="82"/>
  <c r="X7" i="82"/>
  <c r="D21" i="82"/>
  <c r="I21" i="82"/>
  <c r="K21" i="82"/>
  <c r="M21" i="82"/>
  <c r="O21" i="82"/>
  <c r="C27" i="82"/>
  <c r="C25" i="82" s="1"/>
  <c r="N32" i="82"/>
  <c r="H69" i="82"/>
  <c r="H67" i="82"/>
  <c r="H62" i="82"/>
  <c r="H65" i="82"/>
  <c r="H68" i="82"/>
  <c r="H80" i="82"/>
  <c r="H79" i="82"/>
  <c r="H76" i="82"/>
  <c r="H74" i="82"/>
  <c r="H72" i="82"/>
  <c r="H73" i="82"/>
  <c r="H77" i="82"/>
  <c r="E83" i="82"/>
  <c r="B81" i="82" s="1"/>
  <c r="H86" i="82"/>
  <c r="H89" i="82"/>
  <c r="H94" i="82"/>
  <c r="H97" i="82"/>
  <c r="H98" i="82"/>
  <c r="Y6" i="1"/>
  <c r="N19" i="1"/>
  <c r="N21" i="1" s="1"/>
  <c r="N6" i="1" s="1"/>
  <c r="AL14" i="3"/>
  <c r="AH14" i="3"/>
  <c r="S14" i="3"/>
  <c r="Q14" i="3"/>
  <c r="A3" i="3"/>
  <c r="N33" i="81"/>
  <c r="N34" i="81" s="1"/>
  <c r="J33" i="81"/>
  <c r="I33" i="81"/>
  <c r="I32" i="81"/>
  <c r="J32" i="81" s="1"/>
  <c r="J31" i="81"/>
  <c r="N29" i="81"/>
  <c r="L25" i="81" s="1"/>
  <c r="D26" i="81"/>
  <c r="M24" i="81"/>
  <c r="C23" i="81"/>
  <c r="G14" i="81"/>
  <c r="L13" i="81"/>
  <c r="R12" i="81"/>
  <c r="E12" i="81"/>
  <c r="J9" i="81"/>
  <c r="D6" i="81"/>
  <c r="C6" i="81"/>
  <c r="D5" i="81"/>
  <c r="J4" i="81"/>
  <c r="P3" i="81"/>
  <c r="F13" i="4"/>
  <c r="E84" i="80"/>
  <c r="D84" i="80" s="1"/>
  <c r="C84" i="80"/>
  <c r="E77" i="80"/>
  <c r="C77" i="80"/>
  <c r="C85" i="80" s="1"/>
  <c r="S47" i="80"/>
  <c r="R47" i="80"/>
  <c r="Q47" i="80"/>
  <c r="R40" i="80"/>
  <c r="Q40" i="80"/>
  <c r="N25" i="80"/>
  <c r="N20" i="80"/>
  <c r="O16" i="80"/>
  <c r="O15" i="80"/>
  <c r="Q13" i="80"/>
  <c r="E13" i="80"/>
  <c r="D5" i="80"/>
  <c r="H4" i="80"/>
  <c r="Q14" i="80" s="1"/>
  <c r="I4" i="80" l="1"/>
  <c r="D42" i="86"/>
  <c r="I5" i="80"/>
  <c r="M13" i="3"/>
  <c r="S40" i="80"/>
  <c r="R48" i="80" s="1"/>
  <c r="E85" i="80"/>
  <c r="D85" i="80" s="1"/>
  <c r="K13" i="3"/>
  <c r="D13" i="80"/>
  <c r="K10" i="80" s="1"/>
  <c r="G21" i="82"/>
  <c r="C5" i="82"/>
  <c r="D5" i="82"/>
  <c r="H54" i="82"/>
  <c r="G54" i="82" s="1"/>
  <c r="H53" i="82"/>
  <c r="G53" i="82" s="1"/>
  <c r="H57" i="82"/>
  <c r="G57" i="82" s="1"/>
  <c r="H55" i="82"/>
  <c r="G55" i="82" s="1"/>
  <c r="H51" i="82"/>
  <c r="G51" i="82" s="1"/>
  <c r="H58" i="82"/>
  <c r="G58" i="82" s="1"/>
  <c r="H56" i="82"/>
  <c r="G56" i="82" s="1"/>
  <c r="H52" i="82"/>
  <c r="G52" i="82" s="1"/>
  <c r="H50" i="82"/>
  <c r="G50" i="82" s="1"/>
  <c r="N7" i="1"/>
  <c r="Y7" i="1" s="1"/>
  <c r="S48" i="80"/>
  <c r="Q16" i="80"/>
  <c r="R14" i="80" s="1"/>
  <c r="B15" i="80" s="1"/>
  <c r="D77" i="80"/>
  <c r="J4" i="80"/>
  <c r="H42" i="86" l="1"/>
  <c r="I42" i="86" s="1"/>
  <c r="C31" i="86" s="1"/>
  <c r="D1" i="86"/>
  <c r="E42" i="86"/>
  <c r="C30" i="86" s="1"/>
  <c r="B2" i="86" s="1"/>
  <c r="G19" i="6"/>
  <c r="O14" i="3"/>
  <c r="U4" i="43"/>
  <c r="B11" i="80"/>
  <c r="U6" i="43" s="1"/>
  <c r="B7" i="80"/>
  <c r="B8" i="80"/>
  <c r="U3" i="43" s="1"/>
  <c r="B12" i="80"/>
  <c r="U7" i="43" s="1"/>
  <c r="B10" i="80"/>
  <c r="U5" i="43" s="1"/>
  <c r="Q48" i="80"/>
  <c r="G20" i="6"/>
  <c r="M14" i="3"/>
  <c r="M50" i="82"/>
  <c r="N50" i="82" s="1"/>
  <c r="K50" i="82"/>
  <c r="M56" i="82"/>
  <c r="N56" i="82" s="1"/>
  <c r="K56" i="82"/>
  <c r="M51" i="82"/>
  <c r="N51" i="82" s="1"/>
  <c r="K51" i="82"/>
  <c r="M57" i="82"/>
  <c r="N57" i="82" s="1"/>
  <c r="K57" i="82"/>
  <c r="J57" i="82" s="1"/>
  <c r="D57" i="82" s="1"/>
  <c r="K54" i="82"/>
  <c r="M54" i="82"/>
  <c r="N54" i="82" s="1"/>
  <c r="M52" i="82"/>
  <c r="N52" i="82" s="1"/>
  <c r="K52" i="82"/>
  <c r="M58" i="82"/>
  <c r="N58" i="82" s="1"/>
  <c r="K58" i="82"/>
  <c r="M55" i="82"/>
  <c r="N55" i="82" s="1"/>
  <c r="K55" i="82"/>
  <c r="K53" i="82"/>
  <c r="M53" i="82"/>
  <c r="N53" i="82" s="1"/>
  <c r="R13" i="80"/>
  <c r="C15" i="80" s="1"/>
  <c r="B3" i="86" l="1"/>
  <c r="C6" i="84"/>
  <c r="B13" i="80"/>
  <c r="U2" i="43"/>
  <c r="D33" i="43" s="1"/>
  <c r="U4" i="82"/>
  <c r="C11" i="80"/>
  <c r="U6" i="82" s="1"/>
  <c r="C7" i="80"/>
  <c r="C10" i="80"/>
  <c r="U5" i="82" s="1"/>
  <c r="C8" i="80"/>
  <c r="U3" i="82" s="1"/>
  <c r="C12" i="80"/>
  <c r="U7" i="82" s="1"/>
  <c r="J55" i="82"/>
  <c r="D55" i="82"/>
  <c r="J58" i="82"/>
  <c r="D58" i="82"/>
  <c r="J52" i="82"/>
  <c r="D52" i="82"/>
  <c r="J51" i="82"/>
  <c r="D51" i="82"/>
  <c r="J56" i="82"/>
  <c r="D56" i="82"/>
  <c r="J50" i="82"/>
  <c r="D50" i="82"/>
  <c r="D53" i="82"/>
  <c r="J53" i="82"/>
  <c r="D54" i="82"/>
  <c r="J54" i="82"/>
  <c r="B16" i="80"/>
  <c r="H3" i="80" l="1"/>
  <c r="I13" i="3" s="1"/>
  <c r="F19" i="6" s="1"/>
  <c r="C13" i="80"/>
  <c r="U2" i="82"/>
  <c r="D33" i="82" s="1"/>
  <c r="D1" i="82" s="1"/>
  <c r="E14" i="80"/>
  <c r="E50" i="82"/>
  <c r="B48" i="82" s="1"/>
  <c r="C28" i="82" s="1"/>
  <c r="C16" i="80"/>
  <c r="J3" i="80" l="1"/>
  <c r="J5" i="80" s="1"/>
  <c r="K5" i="80" s="1"/>
  <c r="I14" i="3"/>
  <c r="H5" i="80"/>
  <c r="K9" i="80"/>
  <c r="B14" i="80"/>
  <c r="B29" i="1"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S7"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8" i="79"/>
  <c r="R7" i="79"/>
  <c r="P9" i="79"/>
  <c r="T7" i="79"/>
  <c r="W7" i="79" s="1"/>
  <c r="T6" i="79"/>
  <c r="W6" i="79" s="1"/>
  <c r="T8" i="79"/>
  <c r="W8"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c r="Q38" i="71"/>
  <c r="AB38" i="71"/>
  <c r="P38" i="71"/>
  <c r="O38" i="71"/>
  <c r="N38" i="71"/>
  <c r="Q37" i="71"/>
  <c r="P37" i="71"/>
  <c r="O37" i="71"/>
  <c r="C38" i="71" s="1"/>
  <c r="C39" i="71" s="1"/>
  <c r="N37" i="71"/>
  <c r="D37" i="71"/>
  <c r="Q36" i="71"/>
  <c r="AB36" i="71"/>
  <c r="P36" i="71"/>
  <c r="O36" i="71"/>
  <c r="Y36" i="71" s="1"/>
  <c r="Z36" i="71" s="1"/>
  <c r="N36" i="71"/>
  <c r="Q35" i="71"/>
  <c r="P35" i="71"/>
  <c r="O35" i="71"/>
  <c r="Y35" i="71" s="1"/>
  <c r="Z35" i="71" s="1"/>
  <c r="N35" i="71"/>
  <c r="Q34" i="71"/>
  <c r="P34" i="71"/>
  <c r="AA34" i="71" s="1"/>
  <c r="O34" i="71"/>
  <c r="N34" i="71"/>
  <c r="Q33" i="71"/>
  <c r="P33" i="71"/>
  <c r="O33" i="71"/>
  <c r="C34" i="71" s="1"/>
  <c r="N33" i="71"/>
  <c r="B34" i="71" s="1"/>
  <c r="B35" i="71" s="1"/>
  <c r="B36" i="71" s="1"/>
  <c r="S36" i="71" s="1"/>
  <c r="D33" i="71"/>
  <c r="Q32" i="71"/>
  <c r="AB32" i="71" s="1"/>
  <c r="P32" i="71"/>
  <c r="O32" i="71"/>
  <c r="N32" i="71"/>
  <c r="X30" i="71" s="1"/>
  <c r="Q31" i="71"/>
  <c r="P31" i="71"/>
  <c r="O31" i="71"/>
  <c r="Y31" i="71"/>
  <c r="Z31" i="71" s="1"/>
  <c r="N31" i="71"/>
  <c r="Q30" i="71"/>
  <c r="P30" i="71"/>
  <c r="O30" i="71"/>
  <c r="N30" i="71"/>
  <c r="Q29" i="71"/>
  <c r="AB29" i="71" s="1"/>
  <c r="P29" i="71"/>
  <c r="O29" i="71"/>
  <c r="N29" i="71"/>
  <c r="D29" i="71"/>
  <c r="O28" i="71"/>
  <c r="N28" i="71"/>
  <c r="X27" i="71" s="1"/>
  <c r="B30" i="71"/>
  <c r="B31" i="71"/>
  <c r="B32" i="71" s="1"/>
  <c r="S32" i="71" s="1"/>
  <c r="E30" i="71"/>
  <c r="E31" i="71" s="1"/>
  <c r="AA29" i="71"/>
  <c r="B38" i="71"/>
  <c r="B39" i="71" s="1"/>
  <c r="B40" i="71" s="1"/>
  <c r="S40" i="71" s="1"/>
  <c r="X37" i="71"/>
  <c r="E38" i="71"/>
  <c r="E39" i="71"/>
  <c r="E40" i="71" s="1"/>
  <c r="U40" i="71" s="1"/>
  <c r="N68" i="71"/>
  <c r="E34" i="71"/>
  <c r="E35" i="71" s="1"/>
  <c r="E36" i="71" s="1"/>
  <c r="U36" i="71" s="1"/>
  <c r="C30" i="71"/>
  <c r="D30" i="71" s="1"/>
  <c r="X31" i="71"/>
  <c r="Y33" i="71"/>
  <c r="Z33" i="71" s="1"/>
  <c r="X36" i="71"/>
  <c r="AA36" i="71"/>
  <c r="Y37" i="71"/>
  <c r="Z37" i="71" s="1"/>
  <c r="X38" i="71"/>
  <c r="AA38" i="71"/>
  <c r="F52" i="71"/>
  <c r="V52" i="71" s="1"/>
  <c r="C28" i="71"/>
  <c r="C27" i="71" s="1"/>
  <c r="C26" i="71" s="1"/>
  <c r="D26" i="71" s="1"/>
  <c r="D42" i="71"/>
  <c r="P28" i="71"/>
  <c r="E56" i="71"/>
  <c r="U56" i="71" s="1"/>
  <c r="E63" i="71"/>
  <c r="E64" i="71" s="1"/>
  <c r="U64" i="71" s="1"/>
  <c r="Q65" i="71"/>
  <c r="U68" i="71"/>
  <c r="E67" i="71"/>
  <c r="P67" i="71" s="1"/>
  <c r="Q28" i="71"/>
  <c r="C55" i="71"/>
  <c r="C56" i="71" s="1"/>
  <c r="D54" i="71"/>
  <c r="C63" i="71"/>
  <c r="D63" i="71" s="1"/>
  <c r="Q67" i="71"/>
  <c r="T68" i="71"/>
  <c r="O68" i="71"/>
  <c r="D68" i="71"/>
  <c r="C67" i="71"/>
  <c r="Q68" i="71"/>
  <c r="C71" i="71"/>
  <c r="E71" i="71"/>
  <c r="E70" i="71" s="1"/>
  <c r="D72" i="71"/>
  <c r="C75" i="71"/>
  <c r="D75" i="71" s="1"/>
  <c r="E75" i="71"/>
  <c r="E74" i="71" s="1"/>
  <c r="D76" i="71"/>
  <c r="C79" i="71"/>
  <c r="E79" i="71"/>
  <c r="E78" i="71" s="1"/>
  <c r="D80" i="71"/>
  <c r="C83" i="71"/>
  <c r="C82" i="71" s="1"/>
  <c r="D82" i="71" s="1"/>
  <c r="C87" i="71"/>
  <c r="C86" i="71" s="1"/>
  <c r="D86" i="71" s="1"/>
  <c r="T28" i="71"/>
  <c r="F28" i="71"/>
  <c r="F27" i="71" s="1"/>
  <c r="F26" i="71" s="1"/>
  <c r="AB28" i="71"/>
  <c r="AA3" i="71"/>
  <c r="AA26" i="71"/>
  <c r="AA28" i="71"/>
  <c r="D28" i="71"/>
  <c r="U28" i="71" s="1"/>
  <c r="C66" i="71"/>
  <c r="D66" i="71" s="1"/>
  <c r="O67" i="71"/>
  <c r="D67" i="71"/>
  <c r="D83" i="71"/>
  <c r="C74" i="71"/>
  <c r="D74" i="71" s="1"/>
  <c r="D87" i="71"/>
  <c r="D79" i="71"/>
  <c r="C78" i="71"/>
  <c r="D78" i="71" s="1"/>
  <c r="D71" i="71"/>
  <c r="C70" i="71"/>
  <c r="D70" i="71"/>
  <c r="D55" i="71"/>
  <c r="C40" i="71"/>
  <c r="D39" i="71"/>
  <c r="O66" i="71"/>
  <c r="O65" i="71"/>
  <c r="T40" i="71"/>
  <c r="D4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D81" i="21"/>
  <c r="G20" i="20"/>
  <c r="B88" i="82" s="1"/>
  <c r="B88" i="43"/>
  <c r="C22" i="20"/>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AB21" i="37"/>
  <c r="U21" i="37"/>
  <c r="S21" i="37"/>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4"/>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B14" i="7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L496" i="3" s="1"/>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M5" i="3" s="1"/>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I5" i="3" s="1"/>
  <c r="BJ551" i="3"/>
  <c r="BK551" i="3"/>
  <c r="BM551" i="3"/>
  <c r="BN551" i="3"/>
  <c r="BO551" i="3"/>
  <c r="BP551" i="3"/>
  <c r="BP5" i="3" s="1"/>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BT5" i="3" s="1"/>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L574" i="3" s="1"/>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c r="D75" i="37"/>
  <c r="E75" i="37"/>
  <c r="D73" i="37"/>
  <c r="E73" i="37"/>
  <c r="F73" i="37" s="1"/>
  <c r="D71" i="37"/>
  <c r="E71" i="37" s="1"/>
  <c r="F71" i="37" s="1"/>
  <c r="G71" i="37" s="1"/>
  <c r="H15" i="37"/>
  <c r="AB15" i="37" s="1"/>
  <c r="B68" i="37"/>
  <c r="H14" i="37" s="1"/>
  <c r="AB14" i="37" s="1"/>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F13" i="35" s="1"/>
  <c r="AA13" i="35" s="1"/>
  <c r="B59" i="35"/>
  <c r="B131" i="34"/>
  <c r="H47" i="34" s="1"/>
  <c r="B129" i="34"/>
  <c r="B127" i="34"/>
  <c r="H45" i="34" s="1"/>
  <c r="B99" i="34"/>
  <c r="B97" i="34"/>
  <c r="J31" i="34" s="1"/>
  <c r="B95" i="34"/>
  <c r="B93" i="34"/>
  <c r="F29" i="34" s="1"/>
  <c r="B75" i="34"/>
  <c r="B73" i="34"/>
  <c r="H13" i="34" s="1"/>
  <c r="B71" i="34"/>
  <c r="B130" i="33"/>
  <c r="J46" i="33" s="1"/>
  <c r="B128" i="33"/>
  <c r="B126" i="33"/>
  <c r="J44" i="33" s="1"/>
  <c r="W44" i="33" s="1"/>
  <c r="B98" i="33"/>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82" s="1"/>
  <c r="B90" i="43"/>
  <c r="G19" i="20"/>
  <c r="B87" i="82" s="1"/>
  <c r="B87" i="43"/>
  <c r="G16" i="20"/>
  <c r="B84" i="82" s="1"/>
  <c r="B84" i="43"/>
  <c r="G15" i="20"/>
  <c r="B83" i="82" s="1"/>
  <c r="B83" i="43"/>
  <c r="C24" i="20"/>
  <c r="B75" i="43"/>
  <c r="C21" i="20"/>
  <c r="B76" i="43"/>
  <c r="C20" i="20"/>
  <c r="B79" i="43"/>
  <c r="C18" i="20"/>
  <c r="B73" i="43"/>
  <c r="C17" i="20"/>
  <c r="B61" i="82" s="1"/>
  <c r="B61" i="43"/>
  <c r="C16" i="20"/>
  <c r="C17" i="39"/>
  <c r="C15" i="20"/>
  <c r="B72" i="82"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B96" i="21"/>
  <c r="H30" i="21" s="1"/>
  <c r="B94" i="21"/>
  <c r="J29" i="21"/>
  <c r="AC29" i="21" s="1"/>
  <c r="B92" i="21"/>
  <c r="H28" i="21" s="1"/>
  <c r="B90" i="21"/>
  <c r="J27" i="21" s="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U30"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S34" i="35"/>
  <c r="W36" i="35"/>
  <c r="W22" i="35"/>
  <c r="S31" i="35"/>
  <c r="F36" i="34"/>
  <c r="S36" i="34" s="1"/>
  <c r="J35" i="34"/>
  <c r="U34" i="34"/>
  <c r="H39" i="33"/>
  <c r="AB39" i="33" s="1"/>
  <c r="F26" i="33"/>
  <c r="AA26" i="33" s="1"/>
  <c r="U33" i="33"/>
  <c r="S40" i="33"/>
  <c r="W33" i="33"/>
  <c r="W39" i="33"/>
  <c r="H39" i="37"/>
  <c r="AB39" i="37"/>
  <c r="S27" i="35"/>
  <c r="F11" i="40"/>
  <c r="AA11" i="40" s="1"/>
  <c r="H11" i="40"/>
  <c r="AB11" i="40" s="1"/>
  <c r="W8" i="40"/>
  <c r="AA9" i="40"/>
  <c r="AC9" i="40"/>
  <c r="U9" i="40"/>
  <c r="S34" i="40"/>
  <c r="U34" i="40"/>
  <c r="F42" i="39"/>
  <c r="F41" i="39"/>
  <c r="S41" i="39" s="1"/>
  <c r="H40" i="39"/>
  <c r="AB40" i="39" s="1"/>
  <c r="H39" i="39"/>
  <c r="U39" i="39" s="1"/>
  <c r="S38" i="39"/>
  <c r="H34" i="39"/>
  <c r="E108" i="39"/>
  <c r="E100" i="39"/>
  <c r="F100" i="39" s="1"/>
  <c r="G100" i="39" s="1"/>
  <c r="H19" i="39"/>
  <c r="AB19" i="39" s="1"/>
  <c r="F19" i="39"/>
  <c r="H17" i="39"/>
  <c r="AB17" i="39" s="1"/>
  <c r="F17" i="39"/>
  <c r="J23" i="40"/>
  <c r="AC23" i="40" s="1"/>
  <c r="F21" i="40"/>
  <c r="AA21" i="40" s="1"/>
  <c r="J21" i="40"/>
  <c r="W21" i="40" s="1"/>
  <c r="H42" i="39"/>
  <c r="J34" i="39"/>
  <c r="AC34" i="39" s="1"/>
  <c r="F108" i="39"/>
  <c r="G108" i="39" s="1"/>
  <c r="H108" i="39" s="1"/>
  <c r="I108" i="39" s="1"/>
  <c r="J108" i="39" s="1"/>
  <c r="K108" i="39" s="1"/>
  <c r="L108" i="39" s="1"/>
  <c r="M108" i="39" s="1"/>
  <c r="H27" i="39"/>
  <c r="J19" i="39"/>
  <c r="AC19" i="39" s="1"/>
  <c r="J17" i="39"/>
  <c r="J27" i="39"/>
  <c r="AC27" i="39" s="1"/>
  <c r="F27" i="39"/>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AB12" i="35"/>
  <c r="F37" i="39"/>
  <c r="J34" i="36"/>
  <c r="W34" i="36" s="1"/>
  <c r="J30" i="35"/>
  <c r="H30" i="35"/>
  <c r="AB30" i="35" s="1"/>
  <c r="F22" i="35"/>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c r="F14" i="35"/>
  <c r="AA14" i="35"/>
  <c r="J32" i="35"/>
  <c r="AC32" i="35" s="1"/>
  <c r="J16" i="35"/>
  <c r="H16" i="35"/>
  <c r="U16" i="35" s="1"/>
  <c r="F16" i="35"/>
  <c r="S16" i="35" s="1"/>
  <c r="H14" i="35"/>
  <c r="AB14" i="35" s="1"/>
  <c r="J29" i="35"/>
  <c r="W29" i="35" s="1"/>
  <c r="H33" i="35"/>
  <c r="AB33" i="35"/>
  <c r="J20" i="35"/>
  <c r="W20" i="35"/>
  <c r="F35" i="37"/>
  <c r="S35" i="37"/>
  <c r="F101" i="37"/>
  <c r="G101" i="37" s="1"/>
  <c r="H101" i="37" s="1"/>
  <c r="I101" i="37" s="1"/>
  <c r="J101" i="37" s="1"/>
  <c r="K101" i="37" s="1"/>
  <c r="L101" i="37" s="1"/>
  <c r="M101" i="37" s="1"/>
  <c r="J34" i="37"/>
  <c r="W34" i="37" s="1"/>
  <c r="AA39" i="37"/>
  <c r="AB34" i="37"/>
  <c r="J33" i="37"/>
  <c r="AC33" i="37" s="1"/>
  <c r="U42" i="34"/>
  <c r="H40" i="34"/>
  <c r="U40" i="34" s="1"/>
  <c r="H36" i="34"/>
  <c r="U36" i="34" s="1"/>
  <c r="F37" i="34"/>
  <c r="AA37" i="34" s="1"/>
  <c r="F28" i="34"/>
  <c r="F25" i="34"/>
  <c r="H23" i="34"/>
  <c r="U23" i="34" s="1"/>
  <c r="J23" i="34"/>
  <c r="F19" i="34"/>
  <c r="S19" i="34" s="1"/>
  <c r="H17" i="34"/>
  <c r="F15" i="34"/>
  <c r="S15" i="34" s="1"/>
  <c r="J15" i="34"/>
  <c r="AC15" i="34" s="1"/>
  <c r="H15" i="34"/>
  <c r="AB15" i="34" s="1"/>
  <c r="W8" i="34"/>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J17" i="40"/>
  <c r="W17" i="40" s="1"/>
  <c r="F15" i="40"/>
  <c r="H15" i="40"/>
  <c r="AB15" i="40" s="1"/>
  <c r="AC11" i="40"/>
  <c r="U33" i="35"/>
  <c r="F29" i="35"/>
  <c r="S29" i="35" s="1"/>
  <c r="H29" i="35"/>
  <c r="H33" i="37"/>
  <c r="AB33" i="37" s="1"/>
  <c r="F33" i="37"/>
  <c r="AA33" i="37" s="1"/>
  <c r="U34" i="37"/>
  <c r="S34" i="37"/>
  <c r="AA34" i="37"/>
  <c r="J43" i="34"/>
  <c r="W43" i="34" s="1"/>
  <c r="AB42" i="34"/>
  <c r="J40" i="34"/>
  <c r="W40" i="34" s="1"/>
  <c r="H38" i="34"/>
  <c r="AB38" i="34"/>
  <c r="J36" i="34"/>
  <c r="W36" i="34"/>
  <c r="H37" i="34"/>
  <c r="U37" i="34" s="1"/>
  <c r="H25" i="34"/>
  <c r="AB25" i="34" s="1"/>
  <c r="J25" i="34"/>
  <c r="AC25" i="34" s="1"/>
  <c r="F23" i="34"/>
  <c r="AA23" i="34"/>
  <c r="J19" i="34"/>
  <c r="AC19" i="34"/>
  <c r="F17" i="34"/>
  <c r="AA17" i="34"/>
  <c r="J17" i="34"/>
  <c r="W17" i="34"/>
  <c r="AA15" i="34"/>
  <c r="H37" i="33"/>
  <c r="AB37" i="33"/>
  <c r="H15" i="33"/>
  <c r="AB15" i="33"/>
  <c r="H11" i="33"/>
  <c r="AB11" i="33" s="1"/>
  <c r="F28" i="40"/>
  <c r="AA28" i="40" s="1"/>
  <c r="AA29" i="35"/>
  <c r="S42" i="34"/>
  <c r="AC38" i="34"/>
  <c r="AA38" i="34"/>
  <c r="J37" i="34"/>
  <c r="AC37" i="34" s="1"/>
  <c r="J11" i="33"/>
  <c r="W11" i="33" s="1"/>
  <c r="U23" i="40"/>
  <c r="J42" i="21"/>
  <c r="AC42" i="21" s="1"/>
  <c r="H42" i="21"/>
  <c r="U42" i="21" s="1"/>
  <c r="J44" i="34"/>
  <c r="W44" i="34" s="1"/>
  <c r="F44" i="34"/>
  <c r="AA44" i="34" s="1"/>
  <c r="J10" i="35"/>
  <c r="AC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H27" i="21"/>
  <c r="AB27" i="21" s="1"/>
  <c r="F27" i="21"/>
  <c r="AA27" i="21" s="1"/>
  <c r="H29" i="21"/>
  <c r="U29" i="21" s="1"/>
  <c r="J13" i="33"/>
  <c r="H13" i="33"/>
  <c r="U13" i="33" s="1"/>
  <c r="F13" i="33"/>
  <c r="S13" i="33" s="1"/>
  <c r="J29" i="33"/>
  <c r="H29" i="33"/>
  <c r="U29" i="33" s="1"/>
  <c r="F29" i="33"/>
  <c r="J31" i="33"/>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F14" i="33"/>
  <c r="S14" i="33" s="1"/>
  <c r="J14" i="33"/>
  <c r="F30" i="33"/>
  <c r="S30" i="33" s="1"/>
  <c r="H44" i="33"/>
  <c r="U44" i="33" s="1"/>
  <c r="AC44" i="33"/>
  <c r="AC46" i="33"/>
  <c r="U13" i="34"/>
  <c r="J29" i="34"/>
  <c r="W29" i="34" s="1"/>
  <c r="S29" i="34"/>
  <c r="AC31" i="34"/>
  <c r="U45" i="34"/>
  <c r="U47" i="34"/>
  <c r="S13" i="35"/>
  <c r="J25" i="35"/>
  <c r="W25" i="35"/>
  <c r="F25" i="35"/>
  <c r="S25" i="35"/>
  <c r="H25" i="35"/>
  <c r="AB25" i="35"/>
  <c r="J35" i="35"/>
  <c r="AC35" i="35"/>
  <c r="F35" i="35"/>
  <c r="AA35" i="35"/>
  <c r="H35" i="35"/>
  <c r="AB35" i="35"/>
  <c r="J25" i="36"/>
  <c r="W25" i="36"/>
  <c r="F25" i="36"/>
  <c r="S25" i="36"/>
  <c r="H25" i="36"/>
  <c r="AB25" i="36"/>
  <c r="F13" i="37"/>
  <c r="S13" i="37" s="1"/>
  <c r="F43" i="39"/>
  <c r="AA43" i="39" s="1"/>
  <c r="H43" i="39"/>
  <c r="AB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H13" i="39"/>
  <c r="AB13" i="39" s="1"/>
  <c r="J14" i="37"/>
  <c r="AC14" i="37" s="1"/>
  <c r="J27" i="37"/>
  <c r="AC27" i="37" s="1"/>
  <c r="AA14" i="33"/>
  <c r="J36" i="37"/>
  <c r="AC36" i="37" s="1"/>
  <c r="G105" i="37"/>
  <c r="J10" i="36"/>
  <c r="AC10" i="36" s="1"/>
  <c r="AB26" i="33"/>
  <c r="AA14" i="37"/>
  <c r="W31" i="34"/>
  <c r="AC13" i="36"/>
  <c r="W13" i="36"/>
  <c r="AA14" i="34"/>
  <c r="U31" i="33"/>
  <c r="F17" i="21"/>
  <c r="AA17" i="21" s="1"/>
  <c r="H17" i="21"/>
  <c r="AB17" i="21" s="1"/>
  <c r="F15" i="21"/>
  <c r="S15" i="21" s="1"/>
  <c r="J41" i="39"/>
  <c r="W41" i="39" s="1"/>
  <c r="AC45" i="39"/>
  <c r="W44" i="39"/>
  <c r="W35" i="39"/>
  <c r="S35" i="39"/>
  <c r="G544" i="3"/>
  <c r="G540" i="3"/>
  <c r="G535" i="3"/>
  <c r="G531" i="3"/>
  <c r="G527" i="3"/>
  <c r="G514" i="3"/>
  <c r="G500" i="3"/>
  <c r="G576" i="3"/>
  <c r="G572" i="3"/>
  <c r="G568" i="3"/>
  <c r="G560" i="3"/>
  <c r="G550" i="3"/>
  <c r="BL576" i="3"/>
  <c r="AZ576" i="3" s="1"/>
  <c r="BL572" i="3"/>
  <c r="BL564" i="3"/>
  <c r="BL560" i="3"/>
  <c r="BL554" i="3"/>
  <c r="BL546" i="3"/>
  <c r="BL542" i="3"/>
  <c r="BL534" i="3"/>
  <c r="BL526" i="3"/>
  <c r="BL506" i="3"/>
  <c r="BL582" i="3"/>
  <c r="BL570" i="3"/>
  <c r="BL566" i="3"/>
  <c r="BL556" i="3"/>
  <c r="BL544" i="3"/>
  <c r="BL540" i="3"/>
  <c r="G533" i="3"/>
  <c r="G529" i="3"/>
  <c r="BL524" i="3"/>
  <c r="BL504" i="3"/>
  <c r="BA584" i="3"/>
  <c r="AZ574" i="3"/>
  <c r="BA572" i="3"/>
  <c r="AZ572" i="3"/>
  <c r="BA570" i="3"/>
  <c r="AZ570" i="3"/>
  <c r="BA560" i="3"/>
  <c r="BA558" i="3"/>
  <c r="AZ558" i="3" s="1"/>
  <c r="BA554" i="3"/>
  <c r="BA548" i="3"/>
  <c r="BA546" i="3"/>
  <c r="BA544" i="3"/>
  <c r="AZ544" i="3" s="1"/>
  <c r="BA542" i="3"/>
  <c r="BA540" i="3"/>
  <c r="AZ540" i="3" s="1"/>
  <c r="BA536" i="3"/>
  <c r="AZ536" i="3" s="1"/>
  <c r="BA532" i="3"/>
  <c r="AZ532" i="3" s="1"/>
  <c r="BA528" i="3"/>
  <c r="AZ528" i="3" s="1"/>
  <c r="BA526" i="3"/>
  <c r="AZ526" i="3" s="1"/>
  <c r="BA520" i="3"/>
  <c r="BA510" i="3"/>
  <c r="BA504" i="3"/>
  <c r="AZ504" i="3" s="1"/>
  <c r="BA498" i="3"/>
  <c r="AZ498" i="3" s="1"/>
  <c r="BA587" i="3"/>
  <c r="AZ587" i="3" s="1"/>
  <c r="BA577" i="3"/>
  <c r="AZ577" i="3" s="1"/>
  <c r="BA573" i="3"/>
  <c r="BA571" i="3"/>
  <c r="BA569" i="3"/>
  <c r="BA565" i="3"/>
  <c r="BA561" i="3"/>
  <c r="BA559" i="3"/>
  <c r="BA555" i="3"/>
  <c r="BA549" i="3"/>
  <c r="BA547" i="3"/>
  <c r="BA545" i="3"/>
  <c r="BA543" i="3"/>
  <c r="BA539" i="3"/>
  <c r="BA535" i="3"/>
  <c r="BA531" i="3"/>
  <c r="BA527" i="3"/>
  <c r="BA519" i="3"/>
  <c r="BA511" i="3"/>
  <c r="BA501" i="3"/>
  <c r="BA493" i="3"/>
  <c r="AZ560" i="3"/>
  <c r="G583" i="3"/>
  <c r="G577" i="3"/>
  <c r="G573" i="3"/>
  <c r="G571" i="3"/>
  <c r="G567" i="3"/>
  <c r="G563" i="3"/>
  <c r="G561" i="3"/>
  <c r="BL558" i="3"/>
  <c r="BA557" i="3"/>
  <c r="AC557" i="3"/>
  <c r="G557" i="3"/>
  <c r="BQ557" i="3"/>
  <c r="BL557" i="3"/>
  <c r="AZ557" i="3" s="1"/>
  <c r="BQ583" i="3"/>
  <c r="BL583" i="3"/>
  <c r="BQ581" i="3"/>
  <c r="BQ579" i="3"/>
  <c r="BQ577" i="3"/>
  <c r="BL577" i="3"/>
  <c r="BQ575" i="3"/>
  <c r="BQ573" i="3"/>
  <c r="BL573" i="3" s="1"/>
  <c r="BQ571" i="3"/>
  <c r="BL571" i="3" s="1"/>
  <c r="AZ571" i="3" s="1"/>
  <c r="BQ569" i="3"/>
  <c r="BL569" i="3"/>
  <c r="BQ567" i="3"/>
  <c r="BQ565" i="3"/>
  <c r="BL565" i="3" s="1"/>
  <c r="BQ563" i="3"/>
  <c r="BQ561" i="3"/>
  <c r="BL561" i="3" s="1"/>
  <c r="BQ559" i="3"/>
  <c r="BL559" i="3" s="1"/>
  <c r="AZ559" i="3" s="1"/>
  <c r="G559" i="3"/>
  <c r="G547" i="3"/>
  <c r="G545" i="3"/>
  <c r="G543" i="3"/>
  <c r="G539" i="3"/>
  <c r="BQ555" i="3"/>
  <c r="BQ553" i="3"/>
  <c r="BL553" i="3"/>
  <c r="BQ551" i="3"/>
  <c r="BQ549" i="3"/>
  <c r="BL549" i="3" s="1"/>
  <c r="BQ547" i="3"/>
  <c r="BL547" i="3"/>
  <c r="AZ547" i="3" s="1"/>
  <c r="BQ545" i="3"/>
  <c r="BL545" i="3" s="1"/>
  <c r="AZ545" i="3" s="1"/>
  <c r="BQ543" i="3"/>
  <c r="BL543" i="3" s="1"/>
  <c r="AZ543" i="3" s="1"/>
  <c r="BQ541" i="3"/>
  <c r="BL541" i="3" s="1"/>
  <c r="AZ541" i="3" s="1"/>
  <c r="BQ539" i="3"/>
  <c r="BL539" i="3"/>
  <c r="AZ539" i="3" s="1"/>
  <c r="BQ537" i="3"/>
  <c r="BQ535" i="3"/>
  <c r="BQ533" i="3"/>
  <c r="BL533" i="3" s="1"/>
  <c r="AZ533" i="3" s="1"/>
  <c r="BQ531" i="3"/>
  <c r="BL531" i="3"/>
  <c r="BQ529" i="3"/>
  <c r="BQ527" i="3"/>
  <c r="BQ525" i="3"/>
  <c r="BQ523" i="3"/>
  <c r="BL523" i="3"/>
  <c r="AC521" i="3"/>
  <c r="G521" i="3" s="1"/>
  <c r="BQ521" i="3"/>
  <c r="BL520" i="3"/>
  <c r="G515" i="3"/>
  <c r="BQ519" i="3"/>
  <c r="BQ517" i="3"/>
  <c r="BQ515" i="3"/>
  <c r="BL515" i="3"/>
  <c r="BQ513" i="3"/>
  <c r="BQ511" i="3"/>
  <c r="BA509" i="3"/>
  <c r="AC509" i="3"/>
  <c r="BQ509" i="3"/>
  <c r="G507" i="3"/>
  <c r="G499" i="3"/>
  <c r="BQ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s="1"/>
  <c r="H43" i="33"/>
  <c r="AB43" i="33"/>
  <c r="H17" i="37"/>
  <c r="U17" i="37"/>
  <c r="U32" i="33"/>
  <c r="F39" i="33"/>
  <c r="E123" i="33"/>
  <c r="F123" i="33" s="1"/>
  <c r="G123" i="33" s="1"/>
  <c r="H123" i="33" s="1"/>
  <c r="I123" i="33" s="1"/>
  <c r="J123" i="33" s="1"/>
  <c r="K123" i="33" s="1"/>
  <c r="L123" i="33" s="1"/>
  <c r="M123" i="33" s="1"/>
  <c r="F42" i="33"/>
  <c r="H28" i="34"/>
  <c r="AB28" i="34" s="1"/>
  <c r="F14" i="36"/>
  <c r="F22" i="36"/>
  <c r="S22" i="36" s="1"/>
  <c r="F26" i="36"/>
  <c r="H35" i="34"/>
  <c r="F41" i="34"/>
  <c r="S41" i="34" s="1"/>
  <c r="H41" i="34"/>
  <c r="J41" i="34"/>
  <c r="F10" i="35"/>
  <c r="S10" i="35" s="1"/>
  <c r="F24" i="35"/>
  <c r="AA24" i="35" s="1"/>
  <c r="H24" i="35"/>
  <c r="AB24" i="35" s="1"/>
  <c r="H23" i="37"/>
  <c r="AB23" i="37" s="1"/>
  <c r="J32" i="37"/>
  <c r="AC32" i="37" s="1"/>
  <c r="F36" i="37"/>
  <c r="AA36" i="37" s="1"/>
  <c r="F37" i="37"/>
  <c r="AA37" i="37" s="1"/>
  <c r="H31" i="40"/>
  <c r="F32" i="40"/>
  <c r="S32" i="40" s="1"/>
  <c r="H32" i="40"/>
  <c r="AB32" i="40" s="1"/>
  <c r="J36" i="40"/>
  <c r="W36" i="40" s="1"/>
  <c r="AA41" i="34"/>
  <c r="H19" i="37"/>
  <c r="AB19" i="37"/>
  <c r="H42" i="33"/>
  <c r="AB42" i="33"/>
  <c r="J43" i="33"/>
  <c r="AC43" i="33" s="1"/>
  <c r="U43" i="33"/>
  <c r="S28" i="31"/>
  <c r="S27" i="31"/>
  <c r="S26" i="31"/>
  <c r="U35" i="35"/>
  <c r="W14" i="37"/>
  <c r="U33" i="37"/>
  <c r="U39" i="37"/>
  <c r="AB13" i="34"/>
  <c r="AC36" i="34"/>
  <c r="AA13" i="33"/>
  <c r="AC45" i="33"/>
  <c r="U11" i="33"/>
  <c r="U19" i="21"/>
  <c r="W44" i="21"/>
  <c r="U26" i="21"/>
  <c r="AC46" i="21"/>
  <c r="AB38" i="21"/>
  <c r="F43" i="33"/>
  <c r="AA43" i="33" s="1"/>
  <c r="W15" i="34"/>
  <c r="W40" i="37"/>
  <c r="H37" i="21"/>
  <c r="U37" i="21" s="1"/>
  <c r="S42" i="21"/>
  <c r="H19" i="34"/>
  <c r="AB19" i="34" s="1"/>
  <c r="F36" i="35"/>
  <c r="J9" i="37"/>
  <c r="W9" i="37" s="1"/>
  <c r="F9" i="37"/>
  <c r="S9" i="37" s="1"/>
  <c r="J12" i="37"/>
  <c r="W12" i="37" s="1"/>
  <c r="H12" i="37"/>
  <c r="AB12" i="37" s="1"/>
  <c r="F12" i="37"/>
  <c r="S12" i="37" s="1"/>
  <c r="F15" i="37"/>
  <c r="AA15" i="37" s="1"/>
  <c r="E94" i="37"/>
  <c r="F31" i="37"/>
  <c r="S31" i="37" s="1"/>
  <c r="J42" i="39"/>
  <c r="AC42" i="39" s="1"/>
  <c r="H21" i="40"/>
  <c r="AB21" i="40"/>
  <c r="F94" i="37"/>
  <c r="G94" i="37" s="1"/>
  <c r="H94" i="37" s="1"/>
  <c r="I94" i="37" s="1"/>
  <c r="J94" i="37" s="1"/>
  <c r="K94" i="37" s="1"/>
  <c r="L94" i="37" s="1"/>
  <c r="M94" i="37" s="1"/>
  <c r="H31" i="37"/>
  <c r="U31" i="37" s="1"/>
  <c r="J15" i="37"/>
  <c r="W15" i="37" s="1"/>
  <c r="AT6" i="3"/>
  <c r="AA25" i="21"/>
  <c r="H19" i="40"/>
  <c r="F88" i="40"/>
  <c r="G88" i="40" s="1"/>
  <c r="F19" i="40"/>
  <c r="S19" i="40" s="1"/>
  <c r="AC13" i="40"/>
  <c r="W23" i="39"/>
  <c r="AC43" i="39"/>
  <c r="W43" i="39"/>
  <c r="U45" i="39"/>
  <c r="AB45" i="39"/>
  <c r="H37" i="39"/>
  <c r="AB37" i="39" s="1"/>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C46" i="36" s="1"/>
  <c r="D46" i="36" s="1"/>
  <c r="E46" i="36" s="1"/>
  <c r="F46" i="36" s="1"/>
  <c r="G46" i="36" s="1"/>
  <c r="H46" i="36" s="1"/>
  <c r="I46" i="36" s="1"/>
  <c r="A4" i="52"/>
  <c r="B41" i="72" s="1"/>
  <c r="J11" i="39"/>
  <c r="W11" i="39" s="1"/>
  <c r="F11" i="39"/>
  <c r="AA11" i="39" s="1"/>
  <c r="S11" i="39"/>
  <c r="G4" i="4"/>
  <c r="I4" i="4"/>
  <c r="A2" i="9"/>
  <c r="F61" i="43"/>
  <c r="H64" i="43" s="1"/>
  <c r="AZ20" i="3"/>
  <c r="AZ28" i="3"/>
  <c r="AZ3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BL156" i="3"/>
  <c r="AZ156" i="3" s="1"/>
  <c r="G157" i="3"/>
  <c r="BA159" i="3"/>
  <c r="AZ159" i="3" s="1"/>
  <c r="BL160" i="3"/>
  <c r="G161" i="3"/>
  <c r="BA163" i="3"/>
  <c r="AZ163" i="3" s="1"/>
  <c r="BL164" i="3"/>
  <c r="AZ164" i="3" s="1"/>
  <c r="G165" i="3"/>
  <c r="BA167" i="3"/>
  <c r="BL168" i="3"/>
  <c r="G169" i="3"/>
  <c r="BA171" i="3"/>
  <c r="AZ171" i="3"/>
  <c r="BL172" i="3"/>
  <c r="AZ172" i="3"/>
  <c r="G173" i="3"/>
  <c r="BA175" i="3"/>
  <c r="AZ175" i="3" s="1"/>
  <c r="BL176" i="3"/>
  <c r="G177" i="3"/>
  <c r="BA179" i="3"/>
  <c r="AZ179" i="3" s="1"/>
  <c r="BL180" i="3"/>
  <c r="G181" i="3"/>
  <c r="BA183" i="3"/>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51" i="3"/>
  <c r="AZ55" i="3"/>
  <c r="AZ59" i="3"/>
  <c r="AZ63" i="3"/>
  <c r="AZ71" i="3"/>
  <c r="AZ79" i="3"/>
  <c r="AZ136" i="3"/>
  <c r="AZ144" i="3"/>
  <c r="AZ168" i="3"/>
  <c r="AZ176" i="3"/>
  <c r="AZ192" i="3"/>
  <c r="AZ200" i="3"/>
  <c r="AZ89" i="3"/>
  <c r="G530" i="3"/>
  <c r="G516" i="3"/>
  <c r="G506"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62" i="3"/>
  <c r="AZ174" i="3"/>
  <c r="AZ186" i="3"/>
  <c r="AZ190" i="3"/>
  <c r="AZ198" i="3"/>
  <c r="AZ202" i="3"/>
  <c r="AZ206"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229" i="3"/>
  <c r="AZ241" i="3"/>
  <c r="AZ245" i="3"/>
  <c r="AZ257" i="3"/>
  <c r="AZ261" i="3"/>
  <c r="AZ265" i="3"/>
  <c r="AZ273" i="3"/>
  <c r="BA379" i="3"/>
  <c r="AZ379" i="3"/>
  <c r="BL380" i="3"/>
  <c r="G381" i="3"/>
  <c r="BA383" i="3"/>
  <c r="AZ383" i="3"/>
  <c r="BL384" i="3"/>
  <c r="G385" i="3"/>
  <c r="BA387" i="3"/>
  <c r="AZ387" i="3"/>
  <c r="BL388" i="3"/>
  <c r="G389" i="3"/>
  <c r="BA391" i="3"/>
  <c r="AZ391" i="3"/>
  <c r="BL392" i="3"/>
  <c r="G393" i="3"/>
  <c r="AZ263" i="3"/>
  <c r="AZ275" i="3"/>
  <c r="AZ283" i="3"/>
  <c r="AZ287" i="3"/>
  <c r="AZ291" i="3"/>
  <c r="AZ295" i="3"/>
  <c r="AZ299" i="3"/>
  <c r="BH5" i="3"/>
  <c r="AZ317" i="3"/>
  <c r="AZ333" i="3"/>
  <c r="AZ549" i="3"/>
  <c r="G548" i="3"/>
  <c r="G538" i="3"/>
  <c r="G502" i="3"/>
  <c r="AZ343" i="3"/>
  <c r="BE5" i="3"/>
  <c r="G17" i="3"/>
  <c r="BA17" i="3"/>
  <c r="AZ352" i="3"/>
  <c r="AZ360" i="3"/>
  <c r="AZ368" i="3"/>
  <c r="BA15" i="3"/>
  <c r="AZ15" i="3" s="1"/>
  <c r="BR5" i="3"/>
  <c r="AZ384" i="3"/>
  <c r="AZ388" i="3"/>
  <c r="AZ392" i="3"/>
  <c r="AZ396" i="3"/>
  <c r="BL493" i="3"/>
  <c r="AZ376" i="3"/>
  <c r="U36" i="40"/>
  <c r="F83" i="43"/>
  <c r="H85" i="43" s="1"/>
  <c r="F50" i="43"/>
  <c r="H54" i="43" s="1"/>
  <c r="G54" i="43" s="1"/>
  <c r="F72" i="43"/>
  <c r="H75" i="43" s="1"/>
  <c r="U17" i="39"/>
  <c r="S14" i="35"/>
  <c r="U43" i="21"/>
  <c r="U35" i="21"/>
  <c r="AC35" i="21"/>
  <c r="G10" i="1"/>
  <c r="W37" i="37"/>
  <c r="AC44" i="34"/>
  <c r="U13" i="37"/>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c r="F20" i="35"/>
  <c r="AA20" i="35"/>
  <c r="AB29" i="36"/>
  <c r="H32" i="37"/>
  <c r="AB32" i="37" s="1"/>
  <c r="H27" i="40"/>
  <c r="U27" i="40" s="1"/>
  <c r="J27" i="40"/>
  <c r="AC27" i="40" s="1"/>
  <c r="F27" i="40"/>
  <c r="J30" i="40"/>
  <c r="AC30" i="40" s="1"/>
  <c r="F30"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68" i="3"/>
  <c r="AZ271" i="3"/>
  <c r="AZ280" i="3"/>
  <c r="AZ288" i="3"/>
  <c r="AZ117" i="3"/>
  <c r="AZ130" i="3"/>
  <c r="AZ31" i="3"/>
  <c r="AZ33" i="3"/>
  <c r="AZ37" i="3"/>
  <c r="AZ50" i="3"/>
  <c r="AZ53" i="3"/>
  <c r="AZ58" i="3"/>
  <c r="AZ61" i="3"/>
  <c r="AZ72" i="3"/>
  <c r="AZ74" i="3"/>
  <c r="AZ77" i="3"/>
  <c r="AZ102" i="3"/>
  <c r="AZ110" i="3"/>
  <c r="F23" i="39"/>
  <c r="AA23" i="39"/>
  <c r="H27" i="36"/>
  <c r="U27" i="36" s="1"/>
  <c r="F27" i="36"/>
  <c r="AA27" i="36" s="1"/>
  <c r="H33" i="34"/>
  <c r="U33" i="34"/>
  <c r="F32" i="37"/>
  <c r="AA32" i="37"/>
  <c r="F20" i="36"/>
  <c r="AA20" i="36" s="1"/>
  <c r="J33" i="34"/>
  <c r="AC33" i="34" s="1"/>
  <c r="H23" i="39"/>
  <c r="U23" i="39" s="1"/>
  <c r="K9" i="1"/>
  <c r="M9" i="1" s="1"/>
  <c r="D93" i="9"/>
  <c r="AC26" i="33"/>
  <c r="W27" i="34"/>
  <c r="AB34" i="36"/>
  <c r="AB33" i="36"/>
  <c r="AC12" i="39"/>
  <c r="AZ401" i="3"/>
  <c r="AZ412" i="3"/>
  <c r="AZ417" i="3"/>
  <c r="AZ428" i="3"/>
  <c r="AZ433" i="3"/>
  <c r="AZ465" i="3"/>
  <c r="S32" i="36"/>
  <c r="AZ457" i="3"/>
  <c r="AZ473" i="3"/>
  <c r="AZ490" i="3"/>
  <c r="BL14" i="3"/>
  <c r="F12" i="33"/>
  <c r="AA12" i="33" s="1"/>
  <c r="F39" i="40"/>
  <c r="AZ213" i="3"/>
  <c r="AZ234" i="3"/>
  <c r="AZ250" i="3"/>
  <c r="AZ286" i="3"/>
  <c r="AZ297" i="3"/>
  <c r="AZ149" i="3"/>
  <c r="AZ157" i="3"/>
  <c r="AZ181" i="3"/>
  <c r="AZ197" i="3"/>
  <c r="AZ26" i="3"/>
  <c r="AZ35" i="3"/>
  <c r="B12" i="1"/>
  <c r="E12" i="1" s="1"/>
  <c r="B10" i="1"/>
  <c r="K12" i="1"/>
  <c r="M12" i="1" s="1"/>
  <c r="S13" i="1"/>
  <c r="AR13" i="1" s="1"/>
  <c r="R13" i="1"/>
  <c r="J51" i="67"/>
  <c r="C42" i="1"/>
  <c r="C24" i="12" s="1"/>
  <c r="AB37" i="40"/>
  <c r="S35" i="40"/>
  <c r="U35" i="40"/>
  <c r="AC17" i="40"/>
  <c r="AC15" i="40"/>
  <c r="AB27" i="40"/>
  <c r="AA19" i="40"/>
  <c r="U21" i="40"/>
  <c r="S43" i="39"/>
  <c r="U35" i="39"/>
  <c r="F32" i="39"/>
  <c r="F106" i="39"/>
  <c r="G106" i="39" s="1"/>
  <c r="H106" i="39" s="1"/>
  <c r="I106" i="39" s="1"/>
  <c r="J106" i="39" s="1"/>
  <c r="K106" i="39" s="1"/>
  <c r="L106" i="39" s="1"/>
  <c r="M106" i="39" s="1"/>
  <c r="J21" i="39"/>
  <c r="W21" i="39" s="1"/>
  <c r="F21" i="39"/>
  <c r="G94" i="39"/>
  <c r="H21" i="39"/>
  <c r="W19" i="39"/>
  <c r="U14" i="39"/>
  <c r="S23" i="36"/>
  <c r="U13" i="36"/>
  <c r="S33" i="36"/>
  <c r="AA34" i="36"/>
  <c r="AC26" i="36"/>
  <c r="AA22" i="36"/>
  <c r="U22" i="36"/>
  <c r="AA25" i="36"/>
  <c r="U23" i="36"/>
  <c r="U16" i="36"/>
  <c r="AA25" i="35"/>
  <c r="W24" i="35"/>
  <c r="U28" i="35"/>
  <c r="AB27" i="35"/>
  <c r="U32" i="35"/>
  <c r="S32" i="35"/>
  <c r="S28" i="35"/>
  <c r="AB16" i="35"/>
  <c r="U22" i="35"/>
  <c r="S20" i="35"/>
  <c r="AC20" i="35"/>
  <c r="AA11" i="35"/>
  <c r="W9" i="35"/>
  <c r="AC12" i="35"/>
  <c r="H9" i="35"/>
  <c r="U9" i="35" s="1"/>
  <c r="AB40" i="37"/>
  <c r="W27" i="37"/>
  <c r="U29" i="37"/>
  <c r="S32" i="37"/>
  <c r="AB31" i="37"/>
  <c r="S36" i="37"/>
  <c r="U32" i="37"/>
  <c r="AC35" i="37"/>
  <c r="W39" i="37"/>
  <c r="S30" i="37"/>
  <c r="AC15" i="37"/>
  <c r="J17" i="37"/>
  <c r="W17" i="37"/>
  <c r="G73" i="37"/>
  <c r="F17" i="37"/>
  <c r="AA17" i="37" s="1"/>
  <c r="AB17" i="37"/>
  <c r="F75" i="37"/>
  <c r="F19" i="37"/>
  <c r="AA19" i="37" s="1"/>
  <c r="F79" i="37"/>
  <c r="F23" i="37"/>
  <c r="S23" i="37" s="1"/>
  <c r="U23" i="37"/>
  <c r="U15" i="37"/>
  <c r="H10" i="37"/>
  <c r="AB10" i="37" s="1"/>
  <c r="F63" i="37"/>
  <c r="F11" i="37"/>
  <c r="S11" i="37" s="1"/>
  <c r="W25" i="34"/>
  <c r="AA33" i="34"/>
  <c r="U43" i="34"/>
  <c r="AC42" i="34"/>
  <c r="S43" i="34"/>
  <c r="U28" i="34"/>
  <c r="S17" i="34"/>
  <c r="AA29" i="34"/>
  <c r="S23" i="34"/>
  <c r="U15" i="34"/>
  <c r="H10" i="34"/>
  <c r="AB10" i="34" s="1"/>
  <c r="F11" i="34"/>
  <c r="S11" i="34" s="1"/>
  <c r="W42"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s="1"/>
  <c r="F23" i="21"/>
  <c r="S23" i="21" s="1"/>
  <c r="E85" i="21"/>
  <c r="C18" i="9"/>
  <c r="D18" i="9" s="1"/>
  <c r="F34" i="67"/>
  <c r="F62" i="67" s="1"/>
  <c r="M20" i="67"/>
  <c r="F34" i="15"/>
  <c r="F62" i="15" s="1"/>
  <c r="BL17" i="3"/>
  <c r="AZ17" i="3"/>
  <c r="J56" i="9"/>
  <c r="J57" i="9" s="1"/>
  <c r="J59" i="9" s="1"/>
  <c r="J61" i="9" s="1"/>
  <c r="E32" i="6"/>
  <c r="G1" i="68"/>
  <c r="K1" i="12"/>
  <c r="E19" i="69"/>
  <c r="E19" i="11"/>
  <c r="E1" i="73"/>
  <c r="G22" i="69"/>
  <c r="G22" i="68"/>
  <c r="G26" i="12"/>
  <c r="G22" i="11"/>
  <c r="C6" i="43"/>
  <c r="B19" i="53"/>
  <c r="B37" i="72" s="1"/>
  <c r="C7" i="39"/>
  <c r="C67" i="39" s="1"/>
  <c r="C7" i="35"/>
  <c r="C48" i="35" s="1"/>
  <c r="D48" i="35" s="1"/>
  <c r="C7" i="33"/>
  <c r="C7" i="21"/>
  <c r="C7" i="40"/>
  <c r="C63" i="40" s="1"/>
  <c r="M47" i="9"/>
  <c r="G23" i="43"/>
  <c r="C52" i="37"/>
  <c r="D52" i="37" s="1"/>
  <c r="L20" i="6"/>
  <c r="B6" i="1"/>
  <c r="E6" i="1" s="1"/>
  <c r="K11" i="1"/>
  <c r="M11" i="1" s="1"/>
  <c r="O11" i="1" s="1"/>
  <c r="B9" i="1"/>
  <c r="E9" i="1" s="1"/>
  <c r="K7" i="1"/>
  <c r="G1" i="15"/>
  <c r="G1" i="69"/>
  <c r="G1" i="67"/>
  <c r="W23" i="40"/>
  <c r="AB28" i="40"/>
  <c r="W28" i="40"/>
  <c r="W34" i="40"/>
  <c r="W19" i="40"/>
  <c r="W27" i="40"/>
  <c r="W37" i="40"/>
  <c r="S13" i="40"/>
  <c r="U15" i="40"/>
  <c r="AB17" i="40"/>
  <c r="U8" i="40"/>
  <c r="S8" i="40"/>
  <c r="AA39" i="39"/>
  <c r="AC41" i="39"/>
  <c r="U41" i="39"/>
  <c r="U13" i="39"/>
  <c r="AA13" i="39"/>
  <c r="U43" i="39"/>
  <c r="AB11" i="39"/>
  <c r="W17" i="39"/>
  <c r="AC17" i="39"/>
  <c r="S23" i="39"/>
  <c r="AA45" i="39"/>
  <c r="AB39" i="39"/>
  <c r="W34" i="39"/>
  <c r="U38" i="39"/>
  <c r="S8" i="39"/>
  <c r="S20" i="36"/>
  <c r="AC25" i="36"/>
  <c r="U32" i="36"/>
  <c r="W29" i="36"/>
  <c r="AC20" i="36"/>
  <c r="U25" i="36"/>
  <c r="AB28" i="36"/>
  <c r="W22" i="36"/>
  <c r="W23" i="36"/>
  <c r="AB20" i="35"/>
  <c r="AC25" i="35"/>
  <c r="U25" i="35"/>
  <c r="U24" i="35"/>
  <c r="S35" i="35"/>
  <c r="W35" i="35"/>
  <c r="AA35" i="37"/>
  <c r="S27" i="37"/>
  <c r="W32" i="37"/>
  <c r="S40" i="37"/>
  <c r="AB37" i="37"/>
  <c r="AB35" i="37"/>
  <c r="AA31" i="37"/>
  <c r="U19" i="37"/>
  <c r="AA29" i="37"/>
  <c r="U8" i="37"/>
  <c r="AB40" i="34"/>
  <c r="U19" i="34"/>
  <c r="W19" i="34"/>
  <c r="AB33" i="34"/>
  <c r="AA30" i="34"/>
  <c r="AB45" i="34"/>
  <c r="AB47" i="34"/>
  <c r="AB36" i="34"/>
  <c r="AC14" i="34"/>
  <c r="AC32" i="34"/>
  <c r="AC29" i="34"/>
  <c r="W46" i="34"/>
  <c r="S32" i="34"/>
  <c r="U30" i="34"/>
  <c r="S37" i="34"/>
  <c r="U38" i="34"/>
  <c r="AC40" i="34"/>
  <c r="AA19" i="34"/>
  <c r="AA36" i="34"/>
  <c r="AA8" i="34"/>
  <c r="S8" i="34"/>
  <c r="AB9" i="34"/>
  <c r="U9" i="34"/>
  <c r="S46" i="34"/>
  <c r="AA46" i="34"/>
  <c r="U32" i="34"/>
  <c r="AB32" i="34"/>
  <c r="U14" i="34"/>
  <c r="AB14" i="34"/>
  <c r="AC43" i="34"/>
  <c r="W23" i="34"/>
  <c r="AC23" i="34"/>
  <c r="AC35" i="34"/>
  <c r="W35" i="34"/>
  <c r="U12" i="34"/>
  <c r="AB12" i="34"/>
  <c r="AB28" i="33"/>
  <c r="AC37" i="33"/>
  <c r="W46" i="33"/>
  <c r="U38" i="33"/>
  <c r="S33" i="33"/>
  <c r="AB34" i="33"/>
  <c r="AB44" i="33"/>
  <c r="AA30" i="33"/>
  <c r="AC14" i="33"/>
  <c r="W14"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s="1"/>
  <c r="J17" i="21"/>
  <c r="AC17" i="21" s="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W23" i="37" s="1"/>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W25" i="33" s="1"/>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AC23" i="37"/>
  <c r="H63" i="37"/>
  <c r="I63" i="37" s="1"/>
  <c r="J63" i="37" s="1"/>
  <c r="K63" i="37" s="1"/>
  <c r="L63" i="37" s="1"/>
  <c r="M63" i="37" s="1"/>
  <c r="J11" i="37"/>
  <c r="AC11" i="37" s="1"/>
  <c r="J11" i="34"/>
  <c r="W11" i="34" s="1"/>
  <c r="AB36" i="33"/>
  <c r="AC25" i="33"/>
  <c r="AB19" i="33"/>
  <c r="U19" i="33"/>
  <c r="AA17" i="33"/>
  <c r="S17" i="33"/>
  <c r="AB17" i="33"/>
  <c r="AB23" i="21"/>
  <c r="AC23" i="21"/>
  <c r="W23" i="21"/>
  <c r="H109" i="9"/>
  <c r="M49" i="9" s="1"/>
  <c r="H112" i="9"/>
  <c r="D21" i="53" s="1"/>
  <c r="B39" i="72" s="1"/>
  <c r="H111" i="9"/>
  <c r="D126" i="9" s="1"/>
  <c r="AD3" i="71"/>
  <c r="J1" i="73"/>
  <c r="H50" i="43"/>
  <c r="G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F13" i="15"/>
  <c r="B11" i="76"/>
  <c r="F7" i="73"/>
  <c r="B9" i="76"/>
  <c r="M24" i="67"/>
  <c r="E10" i="76"/>
  <c r="F6" i="15"/>
  <c r="M23" i="67"/>
  <c r="E2" i="69"/>
  <c r="D35" i="9"/>
  <c r="F26" i="15"/>
  <c r="D7" i="73"/>
  <c r="F36" i="67"/>
  <c r="F9" i="15"/>
  <c r="M28" i="67"/>
  <c r="M28" i="15"/>
  <c r="M26" i="67"/>
  <c r="M8" i="67"/>
  <c r="AO13" i="1"/>
  <c r="F20" i="31"/>
  <c r="F4" i="73"/>
  <c r="E13" i="76"/>
  <c r="D34" i="9"/>
  <c r="C76" i="15"/>
  <c r="F3" i="73"/>
  <c r="C76" i="67"/>
  <c r="E2" i="68"/>
  <c r="J15" i="15"/>
  <c r="B13" i="76"/>
  <c r="E12" i="76"/>
  <c r="F42" i="15"/>
  <c r="D6" i="73"/>
  <c r="M24" i="15"/>
  <c r="J15" i="67"/>
  <c r="F43" i="67"/>
  <c r="M6" i="67"/>
  <c r="F5" i="73"/>
  <c r="D3" i="73"/>
  <c r="M6" i="15"/>
  <c r="F37" i="15"/>
  <c r="F6" i="67"/>
  <c r="B8" i="76"/>
  <c r="L47" i="67"/>
  <c r="F8" i="15"/>
  <c r="F26" i="67"/>
  <c r="M29" i="67"/>
  <c r="E11" i="76"/>
  <c r="F6" i="73"/>
  <c r="F37" i="67"/>
  <c r="F42" i="67"/>
  <c r="F8" i="67"/>
  <c r="F13" i="67"/>
  <c r="M8" i="15"/>
  <c r="M9" i="15"/>
  <c r="F38" i="15"/>
  <c r="F36" i="15"/>
  <c r="M9" i="67"/>
  <c r="F38" i="67"/>
  <c r="M23" i="15"/>
  <c r="M22" i="67"/>
  <c r="F16" i="67"/>
  <c r="B12" i="76"/>
  <c r="F40" i="67"/>
  <c r="L48" i="67"/>
  <c r="M26" i="15"/>
  <c r="F9" i="67"/>
  <c r="L47" i="15"/>
  <c r="F40" i="15"/>
  <c r="E9" i="76"/>
  <c r="F16" i="15"/>
  <c r="F7" i="67"/>
  <c r="L48" i="15"/>
  <c r="M22" i="15"/>
  <c r="M18" i="85" l="1"/>
  <c r="B118" i="85" s="1"/>
  <c r="B15" i="74"/>
  <c r="M7" i="1"/>
  <c r="K6" i="1"/>
  <c r="K50" i="43"/>
  <c r="J50" i="43" s="1"/>
  <c r="M50" i="43"/>
  <c r="N50" i="43" s="1"/>
  <c r="S34" i="33"/>
  <c r="AA34" i="33"/>
  <c r="M54" i="43"/>
  <c r="N54" i="43" s="1"/>
  <c r="K54" i="43"/>
  <c r="AC25" i="39"/>
  <c r="W25" i="39"/>
  <c r="U19" i="40"/>
  <c r="AB19" i="40"/>
  <c r="U41" i="34"/>
  <c r="AB41" i="34"/>
  <c r="U35" i="34"/>
  <c r="AB35" i="34"/>
  <c r="BQ5" i="3"/>
  <c r="AZ531" i="3"/>
  <c r="AZ493" i="3"/>
  <c r="AZ569" i="3"/>
  <c r="AZ573" i="3"/>
  <c r="AZ520" i="3"/>
  <c r="AZ554" i="3"/>
  <c r="S44" i="34"/>
  <c r="AB45" i="33"/>
  <c r="AB46" i="34"/>
  <c r="U14" i="33"/>
  <c r="AB14" i="33"/>
  <c r="W29" i="37"/>
  <c r="AC29" i="37"/>
  <c r="AA11" i="36"/>
  <c r="S11" i="36"/>
  <c r="W31" i="33"/>
  <c r="AC31" i="33"/>
  <c r="U14" i="36"/>
  <c r="AB14" i="36"/>
  <c r="S41" i="33"/>
  <c r="AB23" i="34"/>
  <c r="AB29" i="35"/>
  <c r="U29" i="35"/>
  <c r="U17" i="34"/>
  <c r="AB17" i="34"/>
  <c r="S25" i="34"/>
  <c r="AA25" i="34"/>
  <c r="AB42" i="39"/>
  <c r="U42" i="39"/>
  <c r="AA17" i="39"/>
  <c r="S17" i="39"/>
  <c r="AA19" i="39"/>
  <c r="S19" i="39"/>
  <c r="U34" i="39"/>
  <c r="AB34" i="39"/>
  <c r="C20" i="71"/>
  <c r="C19" i="71" s="1"/>
  <c r="D19" i="53"/>
  <c r="B38" i="72" s="1"/>
  <c r="D16" i="53"/>
  <c r="B34" i="72" s="1"/>
  <c r="S23" i="33"/>
  <c r="E10" i="1"/>
  <c r="AA30" i="40"/>
  <c r="S30" i="40"/>
  <c r="S27" i="40"/>
  <c r="AA27" i="40"/>
  <c r="AZ305" i="3"/>
  <c r="AZ327" i="3"/>
  <c r="AZ311" i="3"/>
  <c r="S36" i="35"/>
  <c r="AA36" i="35"/>
  <c r="U31" i="40"/>
  <c r="AB31" i="40"/>
  <c r="AC41" i="34"/>
  <c r="W41" i="34"/>
  <c r="S26" i="36"/>
  <c r="AA26" i="36"/>
  <c r="AA14" i="36"/>
  <c r="S14" i="36"/>
  <c r="AA42" i="33"/>
  <c r="S42" i="33"/>
  <c r="AA39" i="33"/>
  <c r="S39" i="33"/>
  <c r="W13" i="39"/>
  <c r="AC13" i="39"/>
  <c r="W30" i="34"/>
  <c r="AC30" i="34"/>
  <c r="AA45" i="33"/>
  <c r="S45" i="33"/>
  <c r="S29" i="33"/>
  <c r="AA29" i="33"/>
  <c r="AC29" i="33"/>
  <c r="W29" i="33"/>
  <c r="S15" i="40"/>
  <c r="AA15" i="40"/>
  <c r="AA17" i="40"/>
  <c r="S17" i="40"/>
  <c r="AA28" i="34"/>
  <c r="S28" i="34"/>
  <c r="AC16" i="35"/>
  <c r="W16" i="35"/>
  <c r="S12" i="36"/>
  <c r="AA12" i="36"/>
  <c r="AA22" i="35"/>
  <c r="S22" i="35"/>
  <c r="W30" i="35"/>
  <c r="AC30" i="35"/>
  <c r="AA37" i="39"/>
  <c r="S37" i="39"/>
  <c r="S27" i="39"/>
  <c r="AA27" i="39"/>
  <c r="U27" i="39"/>
  <c r="AB27" i="39"/>
  <c r="AA42" i="39"/>
  <c r="S42" i="39"/>
  <c r="W28" i="34"/>
  <c r="AC28" i="34"/>
  <c r="AZ583" i="3"/>
  <c r="AZ556" i="3"/>
  <c r="G28" i="6"/>
  <c r="AZ538" i="3"/>
  <c r="BL535" i="3"/>
  <c r="AZ535" i="3" s="1"/>
  <c r="AZ534" i="3"/>
  <c r="AZ530" i="3"/>
  <c r="BL527" i="3"/>
  <c r="AZ527" i="3" s="1"/>
  <c r="BL519" i="3"/>
  <c r="AZ519" i="3" s="1"/>
  <c r="AZ515" i="3"/>
  <c r="BL511" i="3"/>
  <c r="AZ511" i="3" s="1"/>
  <c r="AZ508" i="3"/>
  <c r="BL507" i="3"/>
  <c r="AZ496" i="3"/>
  <c r="S16" i="36"/>
  <c r="AC33" i="40"/>
  <c r="AZ377" i="3"/>
  <c r="AZ362" i="3"/>
  <c r="AZ326" i="3"/>
  <c r="AZ306" i="3"/>
  <c r="AZ390" i="3"/>
  <c r="AZ356" i="3"/>
  <c r="AZ347" i="3"/>
  <c r="AZ344" i="3"/>
  <c r="AZ313" i="3"/>
  <c r="AZ380" i="3"/>
  <c r="U12" i="21"/>
  <c r="AA12" i="35"/>
  <c r="F31" i="40"/>
  <c r="BL529" i="3"/>
  <c r="AZ529" i="3" s="1"/>
  <c r="BL537" i="3"/>
  <c r="AZ537" i="3" s="1"/>
  <c r="AZ561" i="3"/>
  <c r="BL575" i="3"/>
  <c r="AZ575" i="3" s="1"/>
  <c r="AZ565" i="3"/>
  <c r="AZ542" i="3"/>
  <c r="J13" i="37"/>
  <c r="H13" i="35"/>
  <c r="J13" i="35"/>
  <c r="J47" i="34"/>
  <c r="F47" i="34"/>
  <c r="F45" i="34"/>
  <c r="J45" i="34"/>
  <c r="F31" i="34"/>
  <c r="H31" i="34"/>
  <c r="H29" i="34"/>
  <c r="F13" i="34"/>
  <c r="J13" i="34"/>
  <c r="H46" i="33"/>
  <c r="F46" i="33"/>
  <c r="F44" i="33"/>
  <c r="J30" i="33"/>
  <c r="S35" i="34"/>
  <c r="U30" i="36"/>
  <c r="S34" i="39"/>
  <c r="W31" i="40"/>
  <c r="W9" i="34"/>
  <c r="W34" i="35"/>
  <c r="W28" i="35"/>
  <c r="J9" i="36"/>
  <c r="F9" i="36"/>
  <c r="AC40" i="39"/>
  <c r="W40" i="39"/>
  <c r="BL568" i="3"/>
  <c r="BA568" i="3"/>
  <c r="BL567" i="3"/>
  <c r="BA567" i="3"/>
  <c r="BA566" i="3"/>
  <c r="AZ566" i="3" s="1"/>
  <c r="BA564" i="3"/>
  <c r="AZ564" i="3" s="1"/>
  <c r="BL563" i="3"/>
  <c r="BA563" i="3"/>
  <c r="BL562" i="3"/>
  <c r="BA562" i="3"/>
  <c r="G551" i="3"/>
  <c r="BA550" i="3"/>
  <c r="J40" i="40"/>
  <c r="H40" i="40"/>
  <c r="F40" i="40"/>
  <c r="BL584" i="3"/>
  <c r="AZ584" i="3" s="1"/>
  <c r="BA582" i="3"/>
  <c r="AZ582" i="3" s="1"/>
  <c r="BL581" i="3"/>
  <c r="BA581" i="3"/>
  <c r="BA580" i="3"/>
  <c r="AZ580" i="3" s="1"/>
  <c r="BL579" i="3"/>
  <c r="BA579" i="3"/>
  <c r="BL578" i="3"/>
  <c r="BA578" i="3"/>
  <c r="BL555" i="3"/>
  <c r="AZ555" i="3" s="1"/>
  <c r="BA553" i="3"/>
  <c r="AZ553" i="3" s="1"/>
  <c r="BL552" i="3"/>
  <c r="AZ552" i="3" s="1"/>
  <c r="BL551" i="3"/>
  <c r="BL525" i="3"/>
  <c r="AZ525" i="3" s="1"/>
  <c r="BA524" i="3"/>
  <c r="AZ524" i="3" s="1"/>
  <c r="BA523" i="3"/>
  <c r="AZ523" i="3" s="1"/>
  <c r="BL522" i="3"/>
  <c r="BA522" i="3"/>
  <c r="BL521" i="3"/>
  <c r="AZ521" i="3" s="1"/>
  <c r="BL518" i="3"/>
  <c r="BA518" i="3"/>
  <c r="BL517" i="3"/>
  <c r="BA517" i="3"/>
  <c r="BA516" i="3"/>
  <c r="AZ516" i="3" s="1"/>
  <c r="BA514" i="3"/>
  <c r="AZ514" i="3" s="1"/>
  <c r="BL513" i="3"/>
  <c r="BA513" i="3"/>
  <c r="BL512" i="3"/>
  <c r="AZ512" i="3" s="1"/>
  <c r="BL510" i="3"/>
  <c r="BL509" i="3"/>
  <c r="AZ509" i="3" s="1"/>
  <c r="BA507" i="3"/>
  <c r="AZ507" i="3" s="1"/>
  <c r="BA506" i="3"/>
  <c r="AZ506" i="3" s="1"/>
  <c r="BL505" i="3"/>
  <c r="AZ505" i="3" s="1"/>
  <c r="BA503" i="3"/>
  <c r="AZ503" i="3" s="1"/>
  <c r="BL502" i="3"/>
  <c r="AZ502" i="3" s="1"/>
  <c r="BL501" i="3"/>
  <c r="BL500" i="3"/>
  <c r="BA500" i="3"/>
  <c r="BL499" i="3"/>
  <c r="BA499" i="3"/>
  <c r="BL497" i="3"/>
  <c r="AZ497" i="3" s="1"/>
  <c r="BS5" i="3"/>
  <c r="BL495" i="3"/>
  <c r="BA495" i="3"/>
  <c r="BL494" i="3"/>
  <c r="BK5" i="3"/>
  <c r="BG5" i="3"/>
  <c r="BA494" i="3"/>
  <c r="AC5" i="3"/>
  <c r="BO5" i="3"/>
  <c r="BA13" i="3"/>
  <c r="BL16" i="3"/>
  <c r="AZ16" i="3" s="1"/>
  <c r="G6" i="1"/>
  <c r="I24" i="82"/>
  <c r="C24" i="82" s="1"/>
  <c r="I24" i="43"/>
  <c r="F11" i="1"/>
  <c r="G11" i="1" s="1"/>
  <c r="G44" i="82"/>
  <c r="C44" i="82" s="1"/>
  <c r="G44" i="43"/>
  <c r="AZ402" i="3"/>
  <c r="AZ406" i="3"/>
  <c r="AZ419" i="3"/>
  <c r="AZ435" i="3"/>
  <c r="AZ451" i="3"/>
  <c r="AZ458" i="3"/>
  <c r="AZ462" i="3"/>
  <c r="AZ469" i="3"/>
  <c r="AZ475" i="3"/>
  <c r="AZ332" i="3"/>
  <c r="AZ212" i="3"/>
  <c r="AZ231" i="3"/>
  <c r="BL586" i="3"/>
  <c r="BA586" i="3"/>
  <c r="BL585" i="3"/>
  <c r="AZ585" i="3" s="1"/>
  <c r="B94" i="43"/>
  <c r="B94" i="82"/>
  <c r="B73" i="82"/>
  <c r="B51" i="82"/>
  <c r="B62" i="82"/>
  <c r="B101" i="43"/>
  <c r="B101" i="82"/>
  <c r="B79" i="82"/>
  <c r="B69" i="82"/>
  <c r="B58" i="82"/>
  <c r="B99" i="43"/>
  <c r="B76" i="82"/>
  <c r="B99" i="82"/>
  <c r="B67" i="82"/>
  <c r="B56" i="82"/>
  <c r="B97" i="43"/>
  <c r="B97" i="82"/>
  <c r="B75" i="82"/>
  <c r="B54" i="82"/>
  <c r="B65" i="82"/>
  <c r="G578" i="3"/>
  <c r="G562" i="3"/>
  <c r="G549" i="3"/>
  <c r="BL548" i="3"/>
  <c r="M20" i="15"/>
  <c r="M20" i="83"/>
  <c r="F34" i="83"/>
  <c r="F62" i="83" s="1"/>
  <c r="G13" i="3"/>
  <c r="F7" i="1"/>
  <c r="G7" i="1"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AZ264" i="3" s="1"/>
  <c r="BL266" i="3"/>
  <c r="AZ266" i="3" s="1"/>
  <c r="BA267" i="3"/>
  <c r="AZ267" i="3" s="1"/>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AZ244" i="3"/>
  <c r="AZ260" i="3"/>
  <c r="AZ276" i="3"/>
  <c r="AZ126" i="3"/>
  <c r="AZ141" i="3"/>
  <c r="AZ161" i="3"/>
  <c r="BL173" i="3"/>
  <c r="AZ173" i="3" s="1"/>
  <c r="G176" i="3"/>
  <c r="BL178" i="3"/>
  <c r="AZ178" i="3" s="1"/>
  <c r="BA180" i="3"/>
  <c r="AZ180" i="3" s="1"/>
  <c r="BA182" i="3"/>
  <c r="AZ182" i="3" s="1"/>
  <c r="BL183" i="3"/>
  <c r="AZ183" i="3" s="1"/>
  <c r="G186" i="3"/>
  <c r="G187" i="3"/>
  <c r="BL189" i="3"/>
  <c r="AZ189" i="3" s="1"/>
  <c r="G192" i="3"/>
  <c r="BL194" i="3"/>
  <c r="AZ194" i="3" s="1"/>
  <c r="BA196" i="3"/>
  <c r="AZ196" i="3" s="1"/>
  <c r="G198" i="3"/>
  <c r="G199" i="3"/>
  <c r="G202" i="3"/>
  <c r="G203" i="3"/>
  <c r="G205" i="3"/>
  <c r="BL205" i="3"/>
  <c r="BA207" i="3"/>
  <c r="AZ207" i="3" s="1"/>
  <c r="BL19" i="3"/>
  <c r="AZ19" i="3" s="1"/>
  <c r="BL21" i="3"/>
  <c r="AZ21" i="3" s="1"/>
  <c r="BA22" i="3"/>
  <c r="AZ22" i="3" s="1"/>
  <c r="BL24" i="3"/>
  <c r="AZ24" i="3" s="1"/>
  <c r="G26" i="3"/>
  <c r="G27" i="3"/>
  <c r="BL27" i="3"/>
  <c r="BL29" i="3"/>
  <c r="AZ29" i="3" s="1"/>
  <c r="G31" i="3"/>
  <c r="G32" i="3"/>
  <c r="G33" i="3"/>
  <c r="G34" i="3"/>
  <c r="BL34" i="3"/>
  <c r="G37" i="3"/>
  <c r="G38" i="3"/>
  <c r="BL38" i="3"/>
  <c r="BA40" i="3"/>
  <c r="AZ40" i="3" s="1"/>
  <c r="BA41" i="3"/>
  <c r="AZ41" i="3" s="1"/>
  <c r="BA42" i="3"/>
  <c r="AZ42" i="3" s="1"/>
  <c r="BA43" i="3"/>
  <c r="AZ43" i="3" s="1"/>
  <c r="BL45" i="3"/>
  <c r="AZ45" i="3" s="1"/>
  <c r="BA46" i="3"/>
  <c r="AZ46" i="3" s="1"/>
  <c r="BA47" i="3"/>
  <c r="AZ47" i="3" s="1"/>
  <c r="G50" i="3"/>
  <c r="G51" i="3"/>
  <c r="G52" i="3"/>
  <c r="BL52" i="3"/>
  <c r="BA54" i="3"/>
  <c r="AZ54" i="3" s="1"/>
  <c r="D58" i="71"/>
  <c r="C59" i="71"/>
  <c r="E23" i="71"/>
  <c r="E22" i="71" s="1"/>
  <c r="E21" i="71" s="1"/>
  <c r="E20" i="71" s="1"/>
  <c r="E19" i="71" s="1"/>
  <c r="E18" i="71" s="1"/>
  <c r="E17" i="71" s="1"/>
  <c r="E16" i="71" s="1"/>
  <c r="V24" i="71"/>
  <c r="AZ205" i="3"/>
  <c r="AZ38" i="3"/>
  <c r="AZ52" i="3"/>
  <c r="C51" i="71"/>
  <c r="D50" i="71"/>
  <c r="AZ64" i="3"/>
  <c r="G23" i="82"/>
  <c r="J51" i="83"/>
  <c r="AB34" i="7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F3" i="35"/>
  <c r="G1" i="83"/>
  <c r="J51" i="15"/>
  <c r="AB21" i="21"/>
  <c r="AB21" i="33"/>
  <c r="B100" i="43"/>
  <c r="B68" i="82"/>
  <c r="B57" i="82"/>
  <c r="B100" i="82"/>
  <c r="B77" i="82"/>
  <c r="E66" i="71"/>
  <c r="C64" i="71"/>
  <c r="AB26" i="71"/>
  <c r="AA24" i="71"/>
  <c r="X32" i="71"/>
  <c r="E32" i="71"/>
  <c r="U32" i="71" s="1"/>
  <c r="X29" i="71"/>
  <c r="Y32" i="71"/>
  <c r="Z32" i="71" s="1"/>
  <c r="AB30" i="71"/>
  <c r="C43" i="71"/>
  <c r="A24" i="51"/>
  <c r="B18" i="72" s="1"/>
  <c r="D50" i="43"/>
  <c r="G14" i="3"/>
  <c r="B41" i="1"/>
  <c r="C40" i="68"/>
  <c r="C21" i="68"/>
  <c r="C40" i="69"/>
  <c r="BA14" i="3"/>
  <c r="AZ14" i="3" s="1"/>
  <c r="BD5" i="3"/>
  <c r="F28" i="6"/>
  <c r="BJ5" i="3"/>
  <c r="BF5" i="3"/>
  <c r="BB5" i="3"/>
  <c r="E5" i="6"/>
  <c r="D19" i="12" s="1"/>
  <c r="C19" i="12" s="1"/>
  <c r="A118" i="9"/>
  <c r="AZ581" i="3"/>
  <c r="AZ567" i="3"/>
  <c r="AC14" i="21"/>
  <c r="W14" i="21"/>
  <c r="AB30" i="21"/>
  <c r="U30" i="21"/>
  <c r="AA27" i="33"/>
  <c r="S27" i="33"/>
  <c r="AA14" i="39"/>
  <c r="S14" i="39"/>
  <c r="U31" i="39"/>
  <c r="AB31" i="39"/>
  <c r="AA36" i="39"/>
  <c r="S36" i="39"/>
  <c r="AZ578" i="3"/>
  <c r="AZ568" i="3"/>
  <c r="AZ562" i="3"/>
  <c r="AZ522" i="3"/>
  <c r="AZ518" i="3"/>
  <c r="AZ517" i="3"/>
  <c r="AZ513" i="3"/>
  <c r="AZ500" i="3"/>
  <c r="AZ499" i="3"/>
  <c r="AZ495" i="3"/>
  <c r="AZ494" i="3"/>
  <c r="AZ501" i="3"/>
  <c r="AZ510" i="3"/>
  <c r="AZ586" i="3"/>
  <c r="U28" i="21"/>
  <c r="AB28" i="21"/>
  <c r="U31" i="21"/>
  <c r="AB31" i="21"/>
  <c r="AC45" i="21"/>
  <c r="W45" i="21"/>
  <c r="S28" i="37"/>
  <c r="AA28" i="37"/>
  <c r="U38" i="37"/>
  <c r="AB38" i="37"/>
  <c r="AB14" i="40"/>
  <c r="U14" i="40"/>
  <c r="E15" i="71"/>
  <c r="E14" i="71" s="1"/>
  <c r="E13" i="71" s="1"/>
  <c r="E12" i="71" s="1"/>
  <c r="V16" i="71"/>
  <c r="F29" i="6"/>
  <c r="AZ548" i="3"/>
  <c r="H23" i="35"/>
  <c r="J23" i="35"/>
  <c r="H25" i="37"/>
  <c r="J25" i="37"/>
  <c r="F25" i="37"/>
  <c r="F38" i="40"/>
  <c r="J38" i="40"/>
  <c r="H38" i="40"/>
  <c r="BL550" i="3"/>
  <c r="AZ550" i="3" s="1"/>
  <c r="D20" i="71"/>
  <c r="U20" i="71" s="1"/>
  <c r="T20" i="71"/>
  <c r="V20" i="71"/>
  <c r="H69" i="43"/>
  <c r="AB45" i="21"/>
  <c r="S13" i="21"/>
  <c r="J27" i="33"/>
  <c r="S36" i="33"/>
  <c r="S17" i="37"/>
  <c r="AB36" i="21"/>
  <c r="AC34" i="21"/>
  <c r="AC27" i="21"/>
  <c r="S19" i="21"/>
  <c r="AC19" i="21"/>
  <c r="S35" i="21"/>
  <c r="U40" i="21"/>
  <c r="AB42" i="21"/>
  <c r="S28" i="33"/>
  <c r="U39" i="33"/>
  <c r="W33" i="34"/>
  <c r="U25" i="34"/>
  <c r="AA40" i="34"/>
  <c r="AC34" i="37"/>
  <c r="U36" i="37"/>
  <c r="W36" i="37"/>
  <c r="AA16" i="35"/>
  <c r="S24" i="35"/>
  <c r="AA13" i="36"/>
  <c r="AB13" i="40"/>
  <c r="U11" i="40"/>
  <c r="S33" i="40"/>
  <c r="S36" i="40"/>
  <c r="S37" i="40"/>
  <c r="U32" i="40"/>
  <c r="H67" i="43"/>
  <c r="BL5" i="3"/>
  <c r="G5" i="3"/>
  <c r="B3" i="3" s="1"/>
  <c r="E342"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U35" i="33"/>
  <c r="U34" i="35"/>
  <c r="U31" i="35"/>
  <c r="U31" i="36"/>
  <c r="U9" i="36"/>
  <c r="U14" i="37"/>
  <c r="W31" i="37"/>
  <c r="J36" i="39"/>
  <c r="H36" i="39"/>
  <c r="J12" i="33"/>
  <c r="H12" i="33"/>
  <c r="H12" i="36"/>
  <c r="H24" i="36"/>
  <c r="J26" i="37"/>
  <c r="H26" i="37"/>
  <c r="F26" i="37"/>
  <c r="H44" i="39"/>
  <c r="F44" i="39"/>
  <c r="J39" i="40"/>
  <c r="H39" i="40"/>
  <c r="BA551" i="3"/>
  <c r="AZ551" i="3" s="1"/>
  <c r="AZ398" i="3"/>
  <c r="AZ405" i="3"/>
  <c r="AZ407" i="3"/>
  <c r="AZ410" i="3"/>
  <c r="AZ415" i="3"/>
  <c r="AZ420" i="3"/>
  <c r="AZ426" i="3"/>
  <c r="AZ431" i="3"/>
  <c r="AZ436" i="3"/>
  <c r="AZ448" i="3"/>
  <c r="AZ452" i="3"/>
  <c r="AZ461" i="3"/>
  <c r="AZ463" i="3"/>
  <c r="AZ468" i="3"/>
  <c r="AZ470" i="3"/>
  <c r="AZ479" i="3"/>
  <c r="AZ485" i="3"/>
  <c r="AZ385" i="3"/>
  <c r="AZ210" i="3"/>
  <c r="AZ225" i="3"/>
  <c r="AZ239" i="3"/>
  <c r="AZ255" i="3"/>
  <c r="AZ87" i="3"/>
  <c r="AZ272" i="3"/>
  <c r="AZ284" i="3"/>
  <c r="AZ289" i="3"/>
  <c r="AZ292" i="3"/>
  <c r="AZ294" i="3"/>
  <c r="AZ118" i="3"/>
  <c r="AZ121" i="3"/>
  <c r="AZ134" i="3"/>
  <c r="AZ137" i="3"/>
  <c r="AZ145" i="3"/>
  <c r="AZ177" i="3"/>
  <c r="AZ18" i="3"/>
  <c r="AZ27" i="3"/>
  <c r="AZ34" i="3"/>
  <c r="AZ44" i="3"/>
  <c r="AZ56" i="3"/>
  <c r="AZ60" i="3"/>
  <c r="AZ73" i="3"/>
  <c r="AZ78" i="3"/>
  <c r="AZ91" i="3"/>
  <c r="AA21" i="21"/>
  <c r="S21" i="21"/>
  <c r="C35" i="71"/>
  <c r="D34" i="71"/>
  <c r="AZ95" i="3"/>
  <c r="AZ98" i="3"/>
  <c r="AZ100" i="3"/>
  <c r="AZ104" i="3"/>
  <c r="AC21" i="33"/>
  <c r="AC21" i="37"/>
  <c r="U21" i="34"/>
  <c r="W18" i="36"/>
  <c r="D56" i="71"/>
  <c r="T56" i="71"/>
  <c r="X22"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S68" i="71"/>
  <c r="B67" i="71"/>
  <c r="U18" i="36"/>
  <c r="S25" i="40"/>
  <c r="D27" i="71"/>
  <c r="AA27" i="71"/>
  <c r="AA25" i="71"/>
  <c r="E28" i="71"/>
  <c r="AB27" i="71"/>
  <c r="AB25" i="71"/>
  <c r="D38" i="71"/>
  <c r="C31" i="71"/>
  <c r="X25" i="71"/>
  <c r="AB37" i="71"/>
  <c r="AA35" i="71"/>
  <c r="AB33" i="71"/>
  <c r="Y30" i="71"/>
  <c r="Z30" i="71" s="1"/>
  <c r="AB31" i="71"/>
  <c r="Y34" i="71"/>
  <c r="Z34" i="71" s="1"/>
  <c r="X33" i="71"/>
  <c r="X34" i="71"/>
  <c r="X35" i="71"/>
  <c r="AB35" i="71"/>
  <c r="Y38" i="71"/>
  <c r="Z38" i="71" s="1"/>
  <c r="AA9" i="71"/>
  <c r="AA10" i="71"/>
  <c r="AA39" i="71"/>
  <c r="AA37" i="71"/>
  <c r="C47" i="71"/>
  <c r="D47" i="71" s="1"/>
  <c r="D46" i="71"/>
  <c r="AB24" i="71"/>
  <c r="Y24" i="71"/>
  <c r="Z24" i="71" s="1"/>
  <c r="AB21" i="71"/>
  <c r="AA21" i="71"/>
  <c r="X21" i="71"/>
  <c r="X17" i="71"/>
  <c r="Y17" i="71"/>
  <c r="Z17" i="71" s="1"/>
  <c r="AA17" i="71"/>
  <c r="AB18" i="71"/>
  <c r="Y14" i="71"/>
  <c r="Z14" i="71" s="1"/>
  <c r="AB13" i="71"/>
  <c r="X10" i="71"/>
  <c r="X9" i="71"/>
  <c r="AB9" i="71"/>
  <c r="AB10" i="71"/>
  <c r="X24" i="71"/>
  <c r="AA22" i="71"/>
  <c r="Y18" i="71"/>
  <c r="Z18" i="71" s="1"/>
  <c r="X18" i="71"/>
  <c r="AA18" i="71"/>
  <c r="Y23" i="71"/>
  <c r="Z23" i="71" s="1"/>
  <c r="Y22" i="71"/>
  <c r="Z22" i="71" s="1"/>
  <c r="AA23" i="71"/>
  <c r="AB23" i="71"/>
  <c r="Y21" i="71"/>
  <c r="Z21" i="71" s="1"/>
  <c r="X15" i="71"/>
  <c r="AA15" i="71"/>
  <c r="AB11" i="71"/>
  <c r="AA11" i="71"/>
  <c r="AA13" i="71"/>
  <c r="AA14" i="71"/>
  <c r="X12" i="71"/>
  <c r="X14" i="71"/>
  <c r="Y12" i="71"/>
  <c r="Z12" i="71" s="1"/>
  <c r="Y13" i="71"/>
  <c r="Z13" i="71" s="1"/>
  <c r="AB15" i="71"/>
  <c r="AB17" i="71"/>
  <c r="AB12" i="71"/>
  <c r="AB14" i="71"/>
  <c r="AA12" i="71"/>
  <c r="X11"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28" i="3"/>
  <c r="I4" i="6"/>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H16" i="1"/>
  <c r="P6" i="1"/>
  <c r="C13" i="12" s="1"/>
  <c r="P11" i="1"/>
  <c r="K14" i="1"/>
  <c r="D9" i="11"/>
  <c r="C9" i="11"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F43" i="15"/>
  <c r="M29" i="15"/>
  <c r="D9" i="68"/>
  <c r="D5" i="73"/>
  <c r="C16" i="15"/>
  <c r="C36" i="68"/>
  <c r="D4" i="73"/>
  <c r="C16" i="67"/>
  <c r="F7" i="15"/>
  <c r="E557" i="3" l="1"/>
  <c r="E316" i="3"/>
  <c r="E89" i="3"/>
  <c r="E30" i="3"/>
  <c r="E70" i="3"/>
  <c r="AO6" i="3"/>
  <c r="E256" i="3"/>
  <c r="F31" i="15"/>
  <c r="M7" i="15"/>
  <c r="J6" i="15" s="1"/>
  <c r="C6" i="15"/>
  <c r="F50" i="15"/>
  <c r="F59" i="15" s="1"/>
  <c r="F71" i="15"/>
  <c r="AP6" i="1"/>
  <c r="C36" i="69" s="1"/>
  <c r="E480" i="3"/>
  <c r="E334" i="3"/>
  <c r="E211" i="3"/>
  <c r="E489" i="3"/>
  <c r="E400" i="3"/>
  <c r="E327" i="3"/>
  <c r="E227" i="3"/>
  <c r="E424" i="3"/>
  <c r="O7" i="1"/>
  <c r="P7" i="1" s="1"/>
  <c r="E109" i="3"/>
  <c r="E572" i="3"/>
  <c r="E377" i="3"/>
  <c r="E273" i="3"/>
  <c r="E182" i="3"/>
  <c r="E28" i="3"/>
  <c r="E531" i="3"/>
  <c r="E345" i="3"/>
  <c r="E485" i="3"/>
  <c r="Z6" i="3"/>
  <c r="E204" i="3"/>
  <c r="E368" i="3"/>
  <c r="E580" i="3"/>
  <c r="E496" i="3"/>
  <c r="E330" i="3"/>
  <c r="K53" i="43"/>
  <c r="M53" i="43"/>
  <c r="N53" i="43" s="1"/>
  <c r="K52" i="43"/>
  <c r="M52" i="43"/>
  <c r="N52" i="43" s="1"/>
  <c r="M55" i="43"/>
  <c r="N55" i="43" s="1"/>
  <c r="K55" i="43"/>
  <c r="M51" i="43"/>
  <c r="N51" i="43" s="1"/>
  <c r="K51" i="43"/>
  <c r="E14" i="6"/>
  <c r="C44" i="71"/>
  <c r="D43" i="71"/>
  <c r="D64" i="71"/>
  <c r="T64" i="71"/>
  <c r="C52" i="71"/>
  <c r="D51" i="71"/>
  <c r="C60" i="71"/>
  <c r="D59" i="71"/>
  <c r="AA40" i="40"/>
  <c r="S40" i="40"/>
  <c r="W40" i="40"/>
  <c r="AC40" i="40"/>
  <c r="AC9" i="36"/>
  <c r="W9" i="36"/>
  <c r="AC30" i="33"/>
  <c r="W30" i="33"/>
  <c r="S46" i="33"/>
  <c r="AA46" i="33"/>
  <c r="AC13" i="34"/>
  <c r="W13" i="34"/>
  <c r="U29" i="34"/>
  <c r="AB29" i="34"/>
  <c r="S31" i="34"/>
  <c r="AA31" i="34"/>
  <c r="S45" i="34"/>
  <c r="AA45" i="34"/>
  <c r="W47" i="34"/>
  <c r="AC47" i="34"/>
  <c r="AB13" i="35"/>
  <c r="U13" i="35"/>
  <c r="AA31" i="40"/>
  <c r="S31" i="40"/>
  <c r="J54" i="43"/>
  <c r="D54" i="43"/>
  <c r="K57" i="43"/>
  <c r="J57" i="43" s="1"/>
  <c r="D57" i="43" s="1"/>
  <c r="M57" i="43"/>
  <c r="N57" i="43" s="1"/>
  <c r="M56" i="43"/>
  <c r="N56" i="43" s="1"/>
  <c r="K56" i="43"/>
  <c r="K58" i="43"/>
  <c r="M58" i="43"/>
  <c r="N58" i="43" s="1"/>
  <c r="BA5" i="3"/>
  <c r="E27" i="6" s="1"/>
  <c r="K26" i="6" s="1"/>
  <c r="M26" i="6" s="1"/>
  <c r="I26" i="6" s="1"/>
  <c r="S26" i="6" s="1"/>
  <c r="F32" i="83"/>
  <c r="F60" i="83" s="1"/>
  <c r="F28" i="83"/>
  <c r="C28" i="83" s="1"/>
  <c r="M18" i="83"/>
  <c r="P65" i="71"/>
  <c r="P66" i="71"/>
  <c r="P27" i="82"/>
  <c r="P25" i="82"/>
  <c r="O23" i="82"/>
  <c r="P28" i="82"/>
  <c r="P29" i="82"/>
  <c r="C23" i="82"/>
  <c r="P26" i="82"/>
  <c r="AZ477" i="3"/>
  <c r="AZ459" i="3"/>
  <c r="AZ442" i="3"/>
  <c r="AZ403" i="3"/>
  <c r="AZ579" i="3"/>
  <c r="AB40" i="40"/>
  <c r="U40" i="40"/>
  <c r="AZ563" i="3"/>
  <c r="AA9" i="36"/>
  <c r="S9" i="36"/>
  <c r="AA44" i="33"/>
  <c r="S44" i="33"/>
  <c r="U46" i="33"/>
  <c r="AB46" i="33"/>
  <c r="AA13" i="34"/>
  <c r="S13" i="34"/>
  <c r="AB31" i="34"/>
  <c r="U31" i="34"/>
  <c r="W45" i="34"/>
  <c r="AC45" i="34"/>
  <c r="S47" i="34"/>
  <c r="AA47" i="34"/>
  <c r="W13" i="35"/>
  <c r="AC13" i="35"/>
  <c r="W13" i="37"/>
  <c r="AC13" i="37"/>
  <c r="C18" i="71"/>
  <c r="D19" i="71"/>
  <c r="F11" i="83"/>
  <c r="M11" i="83"/>
  <c r="J10" i="83" s="1"/>
  <c r="E441" i="3"/>
  <c r="E29" i="3"/>
  <c r="E44" i="3"/>
  <c r="AM6" i="3"/>
  <c r="E384" i="3"/>
  <c r="E317" i="3"/>
  <c r="E331" i="3"/>
  <c r="E291" i="3"/>
  <c r="E295" i="3"/>
  <c r="E166" i="3"/>
  <c r="E121" i="3"/>
  <c r="E88" i="3"/>
  <c r="E404" i="3"/>
  <c r="E444" i="3"/>
  <c r="E581" i="3"/>
  <c r="E558" i="3"/>
  <c r="E443" i="3"/>
  <c r="P6" i="3"/>
  <c r="E448" i="3"/>
  <c r="AG6" i="3"/>
  <c r="E576" i="3"/>
  <c r="E164" i="3"/>
  <c r="E252" i="3"/>
  <c r="E236" i="3"/>
  <c r="I6" i="3"/>
  <c r="E32" i="3"/>
  <c r="E394" i="3"/>
  <c r="E73" i="3"/>
  <c r="AE6" i="3"/>
  <c r="E437" i="3"/>
  <c r="E120" i="3"/>
  <c r="E238"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74" i="3"/>
  <c r="E362" i="3"/>
  <c r="E274" i="3"/>
  <c r="E203" i="3"/>
  <c r="E55" i="3"/>
  <c r="E429" i="3"/>
  <c r="E344" i="3"/>
  <c r="E481" i="3"/>
  <c r="Q6" i="3"/>
  <c r="E177" i="3"/>
  <c r="E262" i="3"/>
  <c r="E434" i="3"/>
  <c r="E156" i="3"/>
  <c r="E93" i="3"/>
  <c r="E31" i="3"/>
  <c r="E14" i="3"/>
  <c r="E318" i="3"/>
  <c r="E315" i="3"/>
  <c r="E214" i="3"/>
  <c r="E171" i="3"/>
  <c r="E146" i="3"/>
  <c r="E106" i="3"/>
  <c r="E454" i="3"/>
  <c r="E468" i="3"/>
  <c r="E577" i="3"/>
  <c r="E587" i="3"/>
  <c r="E465" i="3"/>
  <c r="E406" i="3"/>
  <c r="E472" i="3"/>
  <c r="E560" i="3"/>
  <c r="K6" i="3"/>
  <c r="E133" i="3"/>
  <c r="E277" i="3"/>
  <c r="E228" i="3"/>
  <c r="AK6" i="3"/>
  <c r="E545" i="3"/>
  <c r="E181" i="3"/>
  <c r="E568" i="3"/>
  <c r="E77"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10" i="6"/>
  <c r="E15" i="6"/>
  <c r="E64" i="39" s="1"/>
  <c r="E12" i="6"/>
  <c r="E57" i="40" s="1"/>
  <c r="F48" i="9"/>
  <c r="O52" i="9" s="1"/>
  <c r="F30" i="68"/>
  <c r="F28" i="67"/>
  <c r="C28" i="67" s="1"/>
  <c r="F52" i="9"/>
  <c r="F32" i="67"/>
  <c r="F60" i="67" s="1"/>
  <c r="F32" i="15"/>
  <c r="F60" i="15" s="1"/>
  <c r="F28" i="15"/>
  <c r="C28" i="15" s="1"/>
  <c r="D68" i="9"/>
  <c r="F30" i="11"/>
  <c r="F31" i="12"/>
  <c r="C31" i="12" s="1"/>
  <c r="M18" i="67"/>
  <c r="F30" i="69"/>
  <c r="M18" i="15"/>
  <c r="F54" i="9"/>
  <c r="E494" i="3"/>
  <c r="E308" i="3"/>
  <c r="E504" i="3"/>
  <c r="E524" i="3"/>
  <c r="E365" i="3"/>
  <c r="E517" i="3"/>
  <c r="E521" i="3"/>
  <c r="E360" i="3"/>
  <c r="E497" i="3"/>
  <c r="E513" i="3"/>
  <c r="E520" i="3"/>
  <c r="E554" i="3"/>
  <c r="L6" i="3"/>
  <c r="E137" i="3"/>
  <c r="K16" i="1"/>
  <c r="B15" i="71"/>
  <c r="B14" i="71" s="1"/>
  <c r="B13" i="71" s="1"/>
  <c r="B12" i="71" s="1"/>
  <c r="S16" i="71"/>
  <c r="S28" i="71"/>
  <c r="B27" i="71"/>
  <c r="B26" i="71" s="1"/>
  <c r="AB39" i="40"/>
  <c r="U39" i="40"/>
  <c r="AA44" i="39"/>
  <c r="S44" i="39"/>
  <c r="AA26" i="37"/>
  <c r="S26" i="37"/>
  <c r="AC26" i="37"/>
  <c r="W26" i="37"/>
  <c r="U12" i="36"/>
  <c r="AB12" i="36"/>
  <c r="W12" i="33"/>
  <c r="AC12" i="33"/>
  <c r="W36" i="39"/>
  <c r="AC36" i="39"/>
  <c r="AA31" i="39"/>
  <c r="S31" i="39"/>
  <c r="AA24" i="36"/>
  <c r="S24" i="36"/>
  <c r="S27" i="34"/>
  <c r="AA27" i="34"/>
  <c r="S14" i="21"/>
  <c r="AA14" i="21"/>
  <c r="AA28" i="21"/>
  <c r="S28" i="21"/>
  <c r="AA30" i="21"/>
  <c r="S30" i="21"/>
  <c r="W31" i="21"/>
  <c r="AC31" i="21"/>
  <c r="S45" i="21"/>
  <c r="AA45" i="21"/>
  <c r="AC28" i="37"/>
  <c r="W28" i="37"/>
  <c r="W38" i="37"/>
  <c r="AC38" i="37"/>
  <c r="AC14" i="40"/>
  <c r="W14" i="40"/>
  <c r="U27" i="34"/>
  <c r="AB27" i="34"/>
  <c r="D121" i="9"/>
  <c r="D7" i="52" s="1"/>
  <c r="D6" i="52"/>
  <c r="W27" i="33"/>
  <c r="AC27" i="33"/>
  <c r="U38" i="40"/>
  <c r="AB38" i="40"/>
  <c r="AA38" i="40"/>
  <c r="S38" i="40"/>
  <c r="W25" i="37"/>
  <c r="AC25" i="37"/>
  <c r="AC23" i="35"/>
  <c r="W23" i="35"/>
  <c r="B20" i="31"/>
  <c r="B21" i="31" s="1"/>
  <c r="F7" i="36"/>
  <c r="S7" i="36" s="1"/>
  <c r="J7" i="37"/>
  <c r="H7" i="36"/>
  <c r="U7" i="36" s="1"/>
  <c r="AZ5" i="3"/>
  <c r="E3" i="6" s="1"/>
  <c r="G25" i="9" s="1"/>
  <c r="F8" i="87" s="1"/>
  <c r="E59" i="40"/>
  <c r="C32" i="71"/>
  <c r="D31" i="71"/>
  <c r="E27" i="71"/>
  <c r="E26" i="71" s="1"/>
  <c r="V28" i="71"/>
  <c r="N67" i="71"/>
  <c r="B66" i="71"/>
  <c r="C36" i="71"/>
  <c r="D35" i="71"/>
  <c r="W39" i="40"/>
  <c r="AC39" i="40"/>
  <c r="AB44" i="39"/>
  <c r="U44" i="39"/>
  <c r="U26" i="37"/>
  <c r="AB26" i="37"/>
  <c r="AB24" i="36"/>
  <c r="U24" i="36"/>
  <c r="U12" i="33"/>
  <c r="AB12" i="33"/>
  <c r="AB36" i="39"/>
  <c r="U36" i="39"/>
  <c r="AC31" i="39"/>
  <c r="W31" i="39"/>
  <c r="S23" i="35"/>
  <c r="AA23" i="35"/>
  <c r="AB14" i="21"/>
  <c r="U14" i="21"/>
  <c r="AC28" i="21"/>
  <c r="W28" i="21"/>
  <c r="W30" i="21"/>
  <c r="AC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27" i="3"/>
  <c r="E184" i="3"/>
  <c r="E250" i="3"/>
  <c r="E233" i="3"/>
  <c r="E355" i="3"/>
  <c r="E341" i="3"/>
  <c r="E381" i="3"/>
  <c r="E51" i="3"/>
  <c r="E19" i="3"/>
  <c r="E81" i="3"/>
  <c r="E118" i="3"/>
  <c r="E264" i="3"/>
  <c r="E283" i="3"/>
  <c r="E309" i="3"/>
  <c r="E21" i="3"/>
  <c r="E23" i="3"/>
  <c r="E284" i="3"/>
  <c r="Y6" i="3"/>
  <c r="H6" i="3" s="1"/>
  <c r="E68" i="3"/>
  <c r="E63" i="3"/>
  <c r="E154" i="3"/>
  <c r="E179" i="3"/>
  <c r="E222" i="3"/>
  <c r="E323" i="3"/>
  <c r="E373" i="3"/>
  <c r="E82" i="3"/>
  <c r="AC38" i="40"/>
  <c r="W38" i="40"/>
  <c r="AA25" i="37"/>
  <c r="S25" i="37"/>
  <c r="U25" i="37"/>
  <c r="AB25" i="37"/>
  <c r="U23" i="35"/>
  <c r="AB23" i="35"/>
  <c r="E11" i="71"/>
  <c r="E10" i="71" s="1"/>
  <c r="E9" i="71" s="1"/>
  <c r="E8" i="71" s="1"/>
  <c r="E7" i="71" s="1"/>
  <c r="E6" i="71" s="1"/>
  <c r="E5" i="71" s="1"/>
  <c r="V12" i="71"/>
  <c r="J6" i="3"/>
  <c r="E543" i="3"/>
  <c r="E507" i="3"/>
  <c r="E15" i="3"/>
  <c r="E383" i="3"/>
  <c r="E493" i="3"/>
  <c r="E498" i="3"/>
  <c r="E512" i="3"/>
  <c r="E522" i="3"/>
  <c r="E525" i="3"/>
  <c r="E556" i="3"/>
  <c r="E564" i="3"/>
  <c r="T6" i="3"/>
  <c r="E356" i="3"/>
  <c r="E197" i="3"/>
  <c r="E340" i="3"/>
  <c r="E393" i="3"/>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AA7" i="36"/>
  <c r="R36" i="36" s="1"/>
  <c r="AC7" i="37"/>
  <c r="V42" i="37" s="1"/>
  <c r="I42" i="37" s="1"/>
  <c r="W7" i="37"/>
  <c r="F7" i="33"/>
  <c r="E58" i="21"/>
  <c r="AC7" i="36"/>
  <c r="V36" i="36" s="1"/>
  <c r="I36" i="36" s="1"/>
  <c r="W7" i="36"/>
  <c r="F7" i="37"/>
  <c r="M17" i="67"/>
  <c r="M17"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F27" i="68"/>
  <c r="C76" i="83"/>
  <c r="M26" i="83"/>
  <c r="M22" i="83"/>
  <c r="F40" i="83"/>
  <c r="F7" i="83"/>
  <c r="F38" i="83"/>
  <c r="M24" i="83"/>
  <c r="AE6" i="1"/>
  <c r="F9" i="83"/>
  <c r="L47" i="83"/>
  <c r="F8" i="83"/>
  <c r="F26" i="83"/>
  <c r="F13" i="83"/>
  <c r="M9" i="83"/>
  <c r="G1" i="73"/>
  <c r="M6" i="83"/>
  <c r="M28" i="83"/>
  <c r="F36" i="83"/>
  <c r="F43" i="83"/>
  <c r="M8" i="83"/>
  <c r="F42" i="83"/>
  <c r="F6" i="83"/>
  <c r="M23" i="83"/>
  <c r="F37" i="83"/>
  <c r="F16" i="83"/>
  <c r="L48" i="83"/>
  <c r="M29" i="83"/>
  <c r="J15" i="83"/>
  <c r="F41" i="67"/>
  <c r="C49" i="15" l="1"/>
  <c r="E16" i="6"/>
  <c r="E60" i="40"/>
  <c r="D8" i="87"/>
  <c r="C8" i="87"/>
  <c r="E8" i="87"/>
  <c r="E63" i="39"/>
  <c r="G25" i="85"/>
  <c r="C27" i="83"/>
  <c r="J57" i="83"/>
  <c r="J55" i="83" s="1"/>
  <c r="J58" i="83" s="1"/>
  <c r="Q50" i="83" s="1"/>
  <c r="I54" i="83"/>
  <c r="J53" i="83"/>
  <c r="F51" i="83"/>
  <c r="L59" i="83"/>
  <c r="N59" i="83"/>
  <c r="L58" i="83"/>
  <c r="M59" i="83"/>
  <c r="F65" i="83"/>
  <c r="C6" i="83"/>
  <c r="F31" i="83"/>
  <c r="F66" i="83"/>
  <c r="F50" i="83"/>
  <c r="M7" i="83"/>
  <c r="M17" i="83" s="1"/>
  <c r="F71" i="83"/>
  <c r="F68" i="83"/>
  <c r="F64" i="83"/>
  <c r="Q71" i="83"/>
  <c r="B40" i="1"/>
  <c r="L36" i="86" s="1"/>
  <c r="J56" i="43"/>
  <c r="D56" i="43"/>
  <c r="J52" i="43"/>
  <c r="D52" i="43"/>
  <c r="J53" i="43"/>
  <c r="D53" i="43"/>
  <c r="C17" i="71"/>
  <c r="D18" i="71"/>
  <c r="C33" i="82"/>
  <c r="E33" i="82" s="1"/>
  <c r="T6" i="82"/>
  <c r="V6" i="82" s="1"/>
  <c r="T7" i="82"/>
  <c r="V7" i="82" s="1"/>
  <c r="T15" i="82"/>
  <c r="V15" i="82" s="1"/>
  <c r="C37" i="82"/>
  <c r="C41" i="82"/>
  <c r="T10" i="82"/>
  <c r="V10" i="82" s="1"/>
  <c r="T9" i="82"/>
  <c r="V9" i="82" s="1"/>
  <c r="T8" i="82"/>
  <c r="V8" i="82" s="1"/>
  <c r="T3" i="82"/>
  <c r="V3" i="82" s="1"/>
  <c r="C38" i="82"/>
  <c r="T11" i="82"/>
  <c r="V11" i="82" s="1"/>
  <c r="T14" i="82"/>
  <c r="V14" i="82" s="1"/>
  <c r="T2" i="82"/>
  <c r="V2" i="82" s="1"/>
  <c r="T4" i="82"/>
  <c r="V4" i="82" s="1"/>
  <c r="C40" i="82"/>
  <c r="T12" i="82"/>
  <c r="V12" i="82" s="1"/>
  <c r="T16" i="82"/>
  <c r="V16" i="82" s="1"/>
  <c r="T5" i="82"/>
  <c r="V5" i="82" s="1"/>
  <c r="T13" i="82"/>
  <c r="V13" i="82" s="1"/>
  <c r="C42" i="82"/>
  <c r="C39" i="82"/>
  <c r="J58" i="43"/>
  <c r="D58" i="43"/>
  <c r="D60" i="71"/>
  <c r="T60" i="71"/>
  <c r="D52" i="71"/>
  <c r="T52" i="71"/>
  <c r="T44" i="71"/>
  <c r="D44" i="71"/>
  <c r="J51" i="43"/>
  <c r="D51" i="43"/>
  <c r="J55" i="43"/>
  <c r="D55" i="43"/>
  <c r="C53" i="83"/>
  <c r="C10" i="83"/>
  <c r="AY6" i="3"/>
  <c r="AY87" i="3" s="1"/>
  <c r="F48" i="69"/>
  <c r="C30" i="69"/>
  <c r="C48" i="69"/>
  <c r="F48" i="68"/>
  <c r="C48" i="68"/>
  <c r="C30" i="68"/>
  <c r="C48" i="11"/>
  <c r="C30" i="11"/>
  <c r="AC6" i="3"/>
  <c r="AB7" i="36"/>
  <c r="T36" i="36" s="1"/>
  <c r="G36" i="36" s="1"/>
  <c r="N66" i="71"/>
  <c r="N65" i="71"/>
  <c r="T42" i="37"/>
  <c r="G42" i="37" s="1"/>
  <c r="E65" i="39"/>
  <c r="D36" i="71"/>
  <c r="T36" i="71"/>
  <c r="D32" i="71"/>
  <c r="T32" i="71"/>
  <c r="B11" i="71"/>
  <c r="B10" i="71" s="1"/>
  <c r="B9" i="71" s="1"/>
  <c r="B8" i="71" s="1"/>
  <c r="B7" i="71" s="1"/>
  <c r="B6" i="71" s="1"/>
  <c r="B5" i="71" s="1"/>
  <c r="S12" i="71"/>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3"/>
  <c r="F41" i="15"/>
  <c r="C16" i="83"/>
  <c r="M27" i="15"/>
  <c r="M27" i="67"/>
  <c r="F22" i="11" l="1"/>
  <c r="C23" i="11" s="1"/>
  <c r="L37" i="86"/>
  <c r="Q36" i="86"/>
  <c r="O36" i="86"/>
  <c r="M36" i="86"/>
  <c r="P36" i="86"/>
  <c r="N36" i="86"/>
  <c r="F24" i="83"/>
  <c r="C24" i="83" s="1"/>
  <c r="F22" i="84"/>
  <c r="C5" i="83"/>
  <c r="C38" i="83" s="1"/>
  <c r="F24" i="15"/>
  <c r="C24" i="15" s="1"/>
  <c r="F22" i="69"/>
  <c r="F41" i="69" s="1"/>
  <c r="L36" i="43"/>
  <c r="L37" i="43" s="1"/>
  <c r="P37" i="43" s="1"/>
  <c r="F22" i="68"/>
  <c r="F41" i="68" s="1"/>
  <c r="F24" i="67"/>
  <c r="C24" i="67" s="1"/>
  <c r="F25" i="12"/>
  <c r="C26" i="12" s="1"/>
  <c r="D25" i="12" s="1"/>
  <c r="L36" i="82"/>
  <c r="N36" i="82" s="1"/>
  <c r="C31" i="83"/>
  <c r="F59" i="83"/>
  <c r="G42" i="82"/>
  <c r="I42" i="82" s="1"/>
  <c r="E42" i="82"/>
  <c r="E38" i="82"/>
  <c r="G38" i="82"/>
  <c r="I38" i="82" s="1"/>
  <c r="E37" i="82"/>
  <c r="G37" i="82"/>
  <c r="I37" i="82" s="1"/>
  <c r="D17" i="71"/>
  <c r="C16" i="71"/>
  <c r="L56" i="83"/>
  <c r="Q52" i="83"/>
  <c r="F1" i="83"/>
  <c r="E50" i="43"/>
  <c r="B48" i="43" s="1"/>
  <c r="C28" i="43" s="1"/>
  <c r="E39" i="82"/>
  <c r="G39" i="82"/>
  <c r="I39" i="82" s="1"/>
  <c r="E40" i="82"/>
  <c r="G40" i="82"/>
  <c r="I40" i="82" s="1"/>
  <c r="E34" i="82"/>
  <c r="C34" i="82"/>
  <c r="E41" i="82"/>
  <c r="C30" i="82" s="1"/>
  <c r="G41" i="82"/>
  <c r="I41" i="82" s="1"/>
  <c r="J6" i="83"/>
  <c r="Q73" i="83"/>
  <c r="Q60" i="83"/>
  <c r="Q61" i="83"/>
  <c r="Q74" i="83"/>
  <c r="C49" i="83"/>
  <c r="AY253" i="3"/>
  <c r="AY168" i="3"/>
  <c r="AY111" i="3"/>
  <c r="AY281" i="3"/>
  <c r="AY152" i="3"/>
  <c r="AY42" i="3"/>
  <c r="AY95" i="3"/>
  <c r="AY124" i="3"/>
  <c r="AY144" i="3"/>
  <c r="AY207" i="3"/>
  <c r="AY34" i="3"/>
  <c r="AY51" i="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4" i="74" s="1"/>
  <c r="C18" i="4"/>
  <c r="D23" i="6"/>
  <c r="D5" i="6"/>
  <c r="D12" i="6"/>
  <c r="D11" i="6"/>
  <c r="D13" i="6"/>
  <c r="D28" i="6"/>
  <c r="E61" i="40"/>
  <c r="H26" i="6"/>
  <c r="P14" i="1"/>
  <c r="P16" i="1" s="1"/>
  <c r="C11" i="12" s="1"/>
  <c r="N16" i="1"/>
  <c r="F50" i="84"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24" i="11"/>
  <c r="C26" i="11"/>
  <c r="D22" i="11" s="1"/>
  <c r="C66" i="67"/>
  <c r="C60" i="67"/>
  <c r="D10" i="69"/>
  <c r="C34" i="69"/>
  <c r="C17" i="83"/>
  <c r="D10" i="68"/>
  <c r="C14" i="67"/>
  <c r="AE7" i="1"/>
  <c r="D10" i="84"/>
  <c r="C17" i="67"/>
  <c r="C17" i="15"/>
  <c r="C25" i="11" l="1"/>
  <c r="D19" i="84"/>
  <c r="D37" i="84" s="1"/>
  <c r="C37" i="84" s="1"/>
  <c r="C10" i="84"/>
  <c r="C8" i="84" s="1"/>
  <c r="M19" i="9"/>
  <c r="C118" i="9" s="1"/>
  <c r="C15" i="74"/>
  <c r="M19" i="85"/>
  <c r="C118" i="85" s="1"/>
  <c r="S20" i="6"/>
  <c r="L18" i="85"/>
  <c r="Q36" i="82"/>
  <c r="P37" i="86"/>
  <c r="N37" i="86"/>
  <c r="Q37" i="86"/>
  <c r="M37" i="86"/>
  <c r="O37" i="86"/>
  <c r="F41" i="84"/>
  <c r="C44" i="84"/>
  <c r="D41" i="84" s="1"/>
  <c r="C26" i="84"/>
  <c r="D22" i="84" s="1"/>
  <c r="C24" i="84"/>
  <c r="C44" i="69"/>
  <c r="D41" i="69" s="1"/>
  <c r="C26" i="68"/>
  <c r="D22" i="68" s="1"/>
  <c r="O37" i="43"/>
  <c r="O36" i="43"/>
  <c r="C44" i="68"/>
  <c r="D41" i="68" s="1"/>
  <c r="C26" i="69"/>
  <c r="D22" i="69" s="1"/>
  <c r="M37" i="43"/>
  <c r="P36" i="82"/>
  <c r="M36" i="43"/>
  <c r="N37" i="43"/>
  <c r="Q37" i="43"/>
  <c r="O36" i="82"/>
  <c r="N36" i="43"/>
  <c r="P36" i="43"/>
  <c r="Q36" i="43"/>
  <c r="M36" i="82"/>
  <c r="L37" i="82"/>
  <c r="O37" i="82" s="1"/>
  <c r="C59" i="83"/>
  <c r="J18" i="83"/>
  <c r="J19" i="83"/>
  <c r="J17" i="83"/>
  <c r="J5" i="83"/>
  <c r="T13" i="43"/>
  <c r="V13" i="43" s="1"/>
  <c r="T9" i="43"/>
  <c r="V9" i="43" s="1"/>
  <c r="T16" i="43"/>
  <c r="V16" i="43" s="1"/>
  <c r="T12" i="43"/>
  <c r="V12" i="43" s="1"/>
  <c r="T8" i="43"/>
  <c r="V8" i="43" s="1"/>
  <c r="T3" i="43"/>
  <c r="V3" i="43" s="1"/>
  <c r="T6" i="43"/>
  <c r="V6" i="43" s="1"/>
  <c r="C40" i="43"/>
  <c r="C41" i="43"/>
  <c r="C39" i="43"/>
  <c r="C38" i="43"/>
  <c r="T15" i="43"/>
  <c r="V15" i="43" s="1"/>
  <c r="T11" i="43"/>
  <c r="V11" i="43" s="1"/>
  <c r="T7" i="43"/>
  <c r="V7" i="43" s="1"/>
  <c r="T14" i="43"/>
  <c r="V14" i="43" s="1"/>
  <c r="T10" i="43"/>
  <c r="V10" i="43" s="1"/>
  <c r="T4" i="43"/>
  <c r="V4" i="43" s="1"/>
  <c r="T2" i="43"/>
  <c r="V2" i="43" s="1"/>
  <c r="T5" i="43"/>
  <c r="V5" i="43" s="1"/>
  <c r="C37" i="43"/>
  <c r="C42" i="43"/>
  <c r="E7" i="70"/>
  <c r="B2" i="82"/>
  <c r="C31" i="82"/>
  <c r="M23" i="82"/>
  <c r="M23" i="43"/>
  <c r="D16" i="71"/>
  <c r="U16" i="71" s="1"/>
  <c r="C15" i="71"/>
  <c r="T16" i="71"/>
  <c r="C48" i="83"/>
  <c r="C66" i="83" s="1"/>
  <c r="J59" i="83"/>
  <c r="J60" i="83" s="1"/>
  <c r="Q48" i="83" s="1"/>
  <c r="H21" i="6"/>
  <c r="D30" i="6"/>
  <c r="H24" i="6"/>
  <c r="R24" i="6" s="1"/>
  <c r="R11" i="1" s="1"/>
  <c r="H22" i="6"/>
  <c r="R22" i="6" s="1"/>
  <c r="R9" i="1" s="1"/>
  <c r="H25" i="6"/>
  <c r="R25" i="6" s="1"/>
  <c r="R12" i="1"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R23" i="6"/>
  <c r="R10" i="1" s="1"/>
  <c r="D27" i="6"/>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F41" i="83"/>
  <c r="C34" i="84"/>
  <c r="B7" i="76"/>
  <c r="M21" i="83"/>
  <c r="C14" i="15"/>
  <c r="C34" i="68"/>
  <c r="C14" i="83"/>
  <c r="F35" i="83"/>
  <c r="Q37" i="82" l="1"/>
  <c r="F69" i="83"/>
  <c r="C35" i="84"/>
  <c r="C38" i="84"/>
  <c r="L19" i="85"/>
  <c r="B2" i="74"/>
  <c r="C34" i="43"/>
  <c r="E34" i="43" s="1"/>
  <c r="P37" i="82"/>
  <c r="M37" i="82"/>
  <c r="N37" i="82"/>
  <c r="C15" i="83"/>
  <c r="C18" i="83"/>
  <c r="B3" i="82"/>
  <c r="E42" i="43"/>
  <c r="G42" i="43"/>
  <c r="I42" i="43" s="1"/>
  <c r="E38" i="43"/>
  <c r="G38" i="43"/>
  <c r="I38" i="43" s="1"/>
  <c r="G41" i="43"/>
  <c r="I41" i="43" s="1"/>
  <c r="E41" i="43"/>
  <c r="C14" i="71"/>
  <c r="D15" i="71"/>
  <c r="G37" i="43"/>
  <c r="I37" i="43" s="1"/>
  <c r="E37" i="43"/>
  <c r="G39" i="43"/>
  <c r="I39" i="43" s="1"/>
  <c r="E39" i="43"/>
  <c r="G40" i="43"/>
  <c r="I40" i="43" s="1"/>
  <c r="E40" i="43"/>
  <c r="J24" i="83"/>
  <c r="J26" i="83"/>
  <c r="J29" i="83" s="1"/>
  <c r="F63" i="83"/>
  <c r="J20" i="83"/>
  <c r="D31" i="6"/>
  <c r="I6" i="6" s="1"/>
  <c r="G3" i="86"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F7" i="21"/>
  <c r="J48" i="35"/>
  <c r="C33" i="84" l="1"/>
  <c r="C39" i="84" s="1"/>
  <c r="C43" i="84" s="1"/>
  <c r="I5" i="6"/>
  <c r="B116" i="86"/>
  <c r="F26" i="86"/>
  <c r="G26" i="86"/>
  <c r="J26" i="86"/>
  <c r="E26" i="86"/>
  <c r="Z7" i="86"/>
  <c r="H26" i="86"/>
  <c r="D7" i="74"/>
  <c r="D8" i="74"/>
  <c r="C19" i="83"/>
  <c r="C20" i="83" s="1"/>
  <c r="C26" i="83" s="1"/>
  <c r="G3" i="43"/>
  <c r="H26" i="43" s="1"/>
  <c r="G3" i="82"/>
  <c r="C30" i="43"/>
  <c r="B2" i="43" s="1"/>
  <c r="C6" i="68" s="1"/>
  <c r="C31" i="43"/>
  <c r="C13" i="71"/>
  <c r="D14" i="71"/>
  <c r="L57" i="83"/>
  <c r="L60" i="83" s="1"/>
  <c r="L46" i="83" s="1"/>
  <c r="F26" i="43"/>
  <c r="B116" i="43"/>
  <c r="J7" i="2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6" i="76"/>
  <c r="C42" i="84" l="1"/>
  <c r="C41" i="84" s="1"/>
  <c r="J26" i="43"/>
  <c r="E26" i="43"/>
  <c r="D26" i="43" s="1"/>
  <c r="C25" i="43" s="1"/>
  <c r="G26" i="43"/>
  <c r="N370" i="46"/>
  <c r="Z7" i="43"/>
  <c r="N94" i="46"/>
  <c r="C46" i="84"/>
  <c r="C45" i="84" s="1"/>
  <c r="D26" i="86"/>
  <c r="I121" i="86"/>
  <c r="J121" i="86" s="1"/>
  <c r="K121" i="86" s="1"/>
  <c r="L121" i="86" s="1"/>
  <c r="M121" i="86" s="1"/>
  <c r="I120" i="86"/>
  <c r="J120" i="86" s="1"/>
  <c r="K120" i="86" s="1"/>
  <c r="L120" i="86" s="1"/>
  <c r="M120" i="86" s="1"/>
  <c r="I118" i="86"/>
  <c r="J118" i="86" s="1"/>
  <c r="K118" i="86" s="1"/>
  <c r="L118" i="86" s="1"/>
  <c r="M118" i="86" s="1"/>
  <c r="D121" i="86"/>
  <c r="E121" i="86" s="1"/>
  <c r="F121" i="86" s="1"/>
  <c r="D119" i="86"/>
  <c r="E119" i="86" s="1"/>
  <c r="F119" i="86" s="1"/>
  <c r="G119" i="86" s="1"/>
  <c r="H119" i="86" s="1"/>
  <c r="B122" i="86"/>
  <c r="C122" i="86" s="1"/>
  <c r="B120" i="86"/>
  <c r="C120" i="86" s="1"/>
  <c r="B118" i="86"/>
  <c r="I122" i="86"/>
  <c r="J122" i="86" s="1"/>
  <c r="K122" i="86" s="1"/>
  <c r="L122" i="86" s="1"/>
  <c r="M122" i="86" s="1"/>
  <c r="G121" i="86"/>
  <c r="H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B121" i="86"/>
  <c r="C121" i="86" s="1"/>
  <c r="B119" i="86"/>
  <c r="C119" i="86" s="1"/>
  <c r="B2" i="76"/>
  <c r="D13" i="71"/>
  <c r="C12" i="71"/>
  <c r="B3" i="43"/>
  <c r="C23" i="83"/>
  <c r="C29" i="83" s="1"/>
  <c r="J26" i="82"/>
  <c r="E26" i="82"/>
  <c r="H26" i="82"/>
  <c r="F26" i="82"/>
  <c r="B116" i="82"/>
  <c r="G26" i="82"/>
  <c r="Z7" i="82"/>
  <c r="Q66" i="83"/>
  <c r="Q57" i="8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49" i="84" l="1"/>
  <c r="C51" i="84" s="1"/>
  <c r="C118" i="86"/>
  <c r="D116" i="86" s="1"/>
  <c r="C7" i="68"/>
  <c r="C5" i="68" s="1"/>
  <c r="I119" i="82"/>
  <c r="J119" i="82" s="1"/>
  <c r="K119" i="82" s="1"/>
  <c r="L119" i="82" s="1"/>
  <c r="M119" i="82" s="1"/>
  <c r="B122" i="82"/>
  <c r="C122" i="82" s="1"/>
  <c r="B121" i="82"/>
  <c r="C121" i="82" s="1"/>
  <c r="B120" i="82"/>
  <c r="C120" i="82" s="1"/>
  <c r="B119" i="82"/>
  <c r="C119" i="82" s="1"/>
  <c r="B118" i="82"/>
  <c r="I122" i="82"/>
  <c r="J122" i="82" s="1"/>
  <c r="K122" i="82" s="1"/>
  <c r="L122" i="82" s="1"/>
  <c r="M122" i="82" s="1"/>
  <c r="I120" i="82"/>
  <c r="J120" i="82" s="1"/>
  <c r="K120" i="82" s="1"/>
  <c r="L120" i="82" s="1"/>
  <c r="M120"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21" i="82"/>
  <c r="J121" i="82" s="1"/>
  <c r="K121" i="82" s="1"/>
  <c r="L121" i="82" s="1"/>
  <c r="M121" i="82" s="1"/>
  <c r="D26" i="82"/>
  <c r="C57" i="83"/>
  <c r="C64" i="83" s="1"/>
  <c r="Q49" i="83"/>
  <c r="C13" i="83"/>
  <c r="C36" i="83"/>
  <c r="J14" i="83"/>
  <c r="C11" i="71"/>
  <c r="D12" i="71"/>
  <c r="U12" i="71" s="1"/>
  <c r="T12" i="71"/>
  <c r="C118" i="43"/>
  <c r="D116" i="43" s="1"/>
  <c r="C3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8" i="76"/>
  <c r="C7" i="84" l="1"/>
  <c r="C5" i="84" s="1"/>
  <c r="C23" i="68"/>
  <c r="C20" i="68"/>
  <c r="C10" i="71"/>
  <c r="D11" i="71"/>
  <c r="J13" i="83"/>
  <c r="J23" i="83" s="1"/>
  <c r="J22" i="83"/>
  <c r="Q70" i="83"/>
  <c r="C75" i="83"/>
  <c r="C37" i="83"/>
  <c r="C30" i="83" s="1"/>
  <c r="C39" i="83" s="1"/>
  <c r="C56" i="83"/>
  <c r="C65" i="83" s="1"/>
  <c r="C58" i="83" s="1"/>
  <c r="C67" i="83" s="1"/>
  <c r="C68" i="83" s="1"/>
  <c r="C118" i="82"/>
  <c r="D116" i="82"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D2" i="21"/>
  <c r="L51" i="67"/>
  <c r="C23" i="84" l="1"/>
  <c r="C20" i="84"/>
  <c r="C25" i="84" s="1"/>
  <c r="C28" i="68"/>
  <c r="C27" i="68" s="1"/>
  <c r="C25" i="68"/>
  <c r="C22" i="68" s="1"/>
  <c r="E2" i="76"/>
  <c r="B3" i="76" s="1"/>
  <c r="C71" i="83"/>
  <c r="C80" i="83"/>
  <c r="C79" i="83" s="1"/>
  <c r="J16" i="83"/>
  <c r="J25" i="83" s="1"/>
  <c r="Q69" i="83"/>
  <c r="Q68" i="83" s="1"/>
  <c r="C40" i="83"/>
  <c r="C46" i="83" s="1"/>
  <c r="C9" i="71"/>
  <c r="D10"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83"/>
  <c r="C28" i="84" l="1"/>
  <c r="C27" i="84" s="1"/>
  <c r="C22" i="84"/>
  <c r="C31" i="68"/>
  <c r="C52" i="68" s="1"/>
  <c r="Q67" i="83"/>
  <c r="Q47" i="83"/>
  <c r="Q53" i="83" s="1"/>
  <c r="B2" i="83"/>
  <c r="B3" i="83" s="1"/>
  <c r="C43" i="83"/>
  <c r="Q56" i="83"/>
  <c r="Q62" i="83" s="1"/>
  <c r="Q65" i="83"/>
  <c r="Q75" i="83" s="1"/>
  <c r="C83" i="83"/>
  <c r="C82" i="83" s="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4"/>
  <c r="D2" i="37"/>
  <c r="C31" i="84" l="1"/>
  <c r="C52" i="84" s="1"/>
  <c r="B2" i="84" s="1"/>
  <c r="B2" i="68"/>
  <c r="C57" i="68"/>
  <c r="C56" i="68" s="1"/>
  <c r="C7" i="71"/>
  <c r="D8" i="7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12" i="1"/>
  <c r="AO9" i="1"/>
  <c r="AO8" i="1"/>
  <c r="C19" i="85"/>
  <c r="AO11" i="1"/>
  <c r="AO7" i="1"/>
  <c r="AO10" i="1"/>
  <c r="B3" i="84"/>
  <c r="C57" i="84" l="1"/>
  <c r="C56" i="84" s="1"/>
  <c r="C102" i="85"/>
  <c r="C21" i="85"/>
  <c r="C21" i="9"/>
  <c r="C102" i="9"/>
  <c r="C6" i="71"/>
  <c r="D7"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AO6" i="1"/>
  <c r="C20" i="9"/>
  <c r="C103" i="9" l="1"/>
  <c r="C5" i="71"/>
  <c r="D6" i="7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85"/>
  <c r="D19" i="85"/>
  <c r="C103" i="85" l="1"/>
  <c r="G26" i="85"/>
  <c r="D21" i="85"/>
  <c r="D102" i="85"/>
  <c r="D22" i="85"/>
  <c r="G19" i="85"/>
  <c r="D22" i="9"/>
  <c r="G19" i="9"/>
  <c r="D21" i="9"/>
  <c r="D102" i="9"/>
  <c r="B3" i="70"/>
  <c r="D5" i="71"/>
  <c r="M24" i="43" s="1"/>
  <c r="C42" i="40"/>
  <c r="C43" i="40"/>
  <c r="E47" i="40"/>
  <c r="F47" i="40" s="1"/>
  <c r="E46" i="40"/>
  <c r="F46" i="40" s="1"/>
  <c r="I47" i="40"/>
  <c r="J47" i="40" s="1"/>
  <c r="D20" i="85"/>
  <c r="D20" i="9"/>
  <c r="G24" i="85" l="1"/>
  <c r="D15" i="74"/>
  <c r="G15" i="74" s="1"/>
  <c r="G24" i="9"/>
  <c r="G26" i="9" s="1"/>
  <c r="D14" i="74"/>
  <c r="G14" i="74" s="1"/>
  <c r="G21" i="9"/>
  <c r="C32" i="9"/>
  <c r="C35" i="9" s="1"/>
  <c r="C34" i="9" s="1"/>
  <c r="D103" i="85"/>
  <c r="G20" i="85"/>
  <c r="C32" i="85"/>
  <c r="G21" i="85"/>
  <c r="D103" i="9"/>
  <c r="G20" i="9"/>
  <c r="M24" i="82"/>
  <c r="B58" i="40"/>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C35" i="85"/>
  <c r="F118" i="85" s="1"/>
  <c r="H118" i="85"/>
  <c r="E14" i="74"/>
  <c r="F14" i="74"/>
  <c r="B5" i="74"/>
  <c r="D5" i="74" s="1"/>
  <c r="I118" i="85" l="1"/>
  <c r="C104" i="85"/>
  <c r="H119" i="85"/>
  <c r="H101" i="85"/>
  <c r="C34" i="85"/>
  <c r="D118" i="85" s="1"/>
  <c r="D119" i="85" s="1"/>
  <c r="F119" i="85"/>
  <c r="G118" i="85"/>
  <c r="B6" i="74"/>
  <c r="D6" i="74" s="1"/>
  <c r="D45" i="85" l="1"/>
  <c r="M48" i="85"/>
  <c r="H107" i="85"/>
  <c r="E118" i="85"/>
  <c r="C105" i="85"/>
  <c r="H102" i="85"/>
  <c r="D118" i="9"/>
  <c r="D4" i="52" s="1"/>
  <c r="B47" i="72" s="1"/>
  <c r="F118" i="9"/>
  <c r="F119" i="9" s="1"/>
  <c r="F5" i="52" s="1"/>
  <c r="B53" i="72" s="1"/>
  <c r="H118" i="9"/>
  <c r="H4" i="52" s="1"/>
  <c r="D122" i="85" l="1"/>
  <c r="D123" i="85" s="1"/>
  <c r="H108" i="85"/>
  <c r="C78" i="85"/>
  <c r="C73" i="85" s="1"/>
  <c r="D52" i="85"/>
  <c r="C93" i="85"/>
  <c r="C86" i="85" s="1"/>
  <c r="C85" i="85"/>
  <c r="C72" i="85"/>
  <c r="D55" i="85"/>
  <c r="M53" i="85" s="1"/>
  <c r="D53" i="85"/>
  <c r="D48" i="85" s="1"/>
  <c r="M52" i="85" s="1"/>
  <c r="C64" i="85"/>
  <c r="C63" i="85" s="1"/>
  <c r="C67" i="85" s="1"/>
  <c r="H101" i="9"/>
  <c r="M48" i="9" s="1"/>
  <c r="I118" i="9"/>
  <c r="I4" i="52" s="1"/>
  <c r="D119" i="9"/>
  <c r="D5" i="52" s="1"/>
  <c r="B49" i="72" s="1"/>
  <c r="H119" i="9"/>
  <c r="H5" i="52" s="1"/>
  <c r="D5" i="53"/>
  <c r="C104" i="9"/>
  <c r="F4" i="52"/>
  <c r="B51" i="72" s="1"/>
  <c r="G118" i="9"/>
  <c r="G4" i="52" s="1"/>
  <c r="B52" i="72" s="1"/>
  <c r="C79" i="85" l="1"/>
  <c r="D59" i="85"/>
  <c r="M55" i="85" s="1"/>
  <c r="C68" i="85"/>
  <c r="D54" i="85" s="1"/>
  <c r="C95" i="85"/>
  <c r="C80" i="85"/>
  <c r="E80" i="85" s="1"/>
  <c r="E81" i="85" s="1"/>
  <c r="D45" i="9"/>
  <c r="C78" i="9" s="1"/>
  <c r="C73" i="9" s="1"/>
  <c r="H107" i="9"/>
  <c r="D13" i="53" s="1"/>
  <c r="E118" i="9"/>
  <c r="E4" i="52" s="1"/>
  <c r="B48" i="72" s="1"/>
  <c r="H102" i="9"/>
  <c r="D7" i="53" s="1"/>
  <c r="B21" i="72" s="1"/>
  <c r="C105" i="9"/>
  <c r="B20" i="72"/>
  <c r="D6" i="53"/>
  <c r="B22" i="72" s="1"/>
  <c r="C81" i="85" l="1"/>
  <c r="D58" i="85" s="1"/>
  <c r="D56" i="85" s="1"/>
  <c r="M54" i="85" s="1"/>
  <c r="N57" i="85" s="1"/>
  <c r="C96" i="85"/>
  <c r="E96" i="85" s="1"/>
  <c r="E97" i="85" s="1"/>
  <c r="C72" i="9"/>
  <c r="C93" i="9"/>
  <c r="C86" i="9" s="1"/>
  <c r="D52" i="9"/>
  <c r="D53" i="9"/>
  <c r="D48" i="9" s="1"/>
  <c r="M52" i="9" s="1"/>
  <c r="C85" i="9"/>
  <c r="H108" i="9"/>
  <c r="D15" i="53" s="1"/>
  <c r="B31" i="72" s="1"/>
  <c r="D122" i="9"/>
  <c r="D8" i="52" s="1"/>
  <c r="D55" i="9"/>
  <c r="M53" i="9" s="1"/>
  <c r="C64" i="9"/>
  <c r="C63" i="9" s="1"/>
  <c r="C67" i="9" s="1"/>
  <c r="C68" i="9" s="1"/>
  <c r="D54" i="9" s="1"/>
  <c r="C5" i="74"/>
  <c r="C79" i="9"/>
  <c r="C80" i="9" s="1"/>
  <c r="E80" i="9" s="1"/>
  <c r="E81" i="9" s="1"/>
  <c r="C6" i="74"/>
  <c r="B30" i="72"/>
  <c r="D14" i="53"/>
  <c r="B32" i="72" s="1"/>
  <c r="C97" i="85" l="1"/>
  <c r="N58" i="85"/>
  <c r="P57" i="85"/>
  <c r="N59" i="85"/>
  <c r="C95" i="9"/>
  <c r="D59" i="9"/>
  <c r="M55" i="9" s="1"/>
  <c r="D123" i="9"/>
  <c r="D9" i="52" s="1"/>
  <c r="C81" i="9"/>
  <c r="D58" i="9" s="1"/>
  <c r="D56" i="9" s="1"/>
  <c r="M54" i="9" s="1"/>
  <c r="N57" i="9" s="1"/>
  <c r="P57" i="9" s="1"/>
  <c r="C96" i="9"/>
  <c r="E96" i="9" s="1"/>
  <c r="E97" i="9" s="1"/>
  <c r="N60" i="85" l="1"/>
  <c r="N61" i="85"/>
  <c r="C97" i="9"/>
  <c r="N58" i="9"/>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<sst xmlns="http://schemas.openxmlformats.org/spreadsheetml/2006/main" count="9612" uniqueCount="3566">
  <si>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</si>
  <si>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</si>
  <si>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</si>
  <si>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</si>
  <si>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</si>
  <si>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</si>
  <si>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</si>
  <si>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</si>
  <si>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</si>
  <si>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</si>
  <si>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</si>
  <si>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</si>
  <si>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</si>
  <si>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</si>
  <si>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</si>
  <si>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</si>
  <si>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</si>
  <si>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</si>
  <si>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</si>
  <si>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</si>
  <si>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</si>
  <si>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</si>
  <si>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</si>
  <si>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</si>
  <si>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</si>
  <si>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</si>
  <si>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</si>
  <si>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</si>
  <si>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</si>
  <si>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</si>
  <si>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</si>
  <si>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</si>
  <si>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</si>
  <si>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</si>
  <si>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</si>
  <si>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</si>
  <si>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</si>
  <si>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</si>
  <si>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</si>
  <si>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</si>
  <si>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</si>
  <si>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</si>
  <si>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</si>
  <si>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</si>
  <si>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</si>
  <si>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</si>
  <si>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</si>
  <si>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</si>
  <si>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</si>
  <si>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</si>
  <si>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</si>
  <si>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</si>
  <si>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</si>
  <si>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</si>
  <si>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</si>
  <si>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</si>
  <si>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</si>
  <si>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</si>
  <si>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</si>
  <si>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</si>
  <si>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</si>
  <si>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</si>
  <si>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</si>
  <si>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</si>
  <si>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</si>
  <si>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</si>
  <si>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</si>
  <si>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</si>
  <si>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</si>
  <si>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</si>
  <si>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</si>
  <si>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</si>
  <si>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</si>
  <si>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</si>
  <si>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</si>
  <si>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</si>
  <si>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</si>
  <si>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</si>
  <si>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</si>
  <si>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</si>
  <si>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</si>
  <si>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</si>
  <si>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</si>
  <si>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</si>
  <si>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</si>
  <si>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</si>
  <si>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</si>
  <si>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</si>
  <si>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</si>
  <si>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</si>
  <si>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</si>
  <si>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</si>
  <si>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</si>
  <si>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</si>
  <si>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</si>
  <si>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</si>
  <si>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</si>
  <si>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</si>
  <si>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</si>
  <si>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</si>
  <si>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</si>
  <si>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</si>
  <si>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</si>
  <si>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</si>
  <si>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</si>
  <si>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</si>
  <si>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</si>
  <si>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</si>
  <si>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</si>
  <si>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</si>
  <si>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</si>
  <si>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</si>
  <si>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</si>
  <si>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</si>
  <si>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</si>
  <si>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</si>
  <si>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</si>
  <si>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</si>
  <si>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</si>
  <si>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</si>
  <si>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</si>
  <si>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</si>
  <si>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</si>
  <si>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</si>
  <si>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</si>
  <si>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</si>
  <si>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</si>
  <si>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</si>
  <si>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</si>
  <si>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</si>
  <si>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</si>
  <si>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</si>
  <si>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</si>
  <si>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</si>
  <si>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</si>
  <si>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</si>
  <si>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</si>
  <si>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</si>
  <si>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</si>
  <si>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</si>
  <si>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</si>
  <si>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</si>
  <si>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</si>
  <si>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</si>
  <si>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</si>
  <si>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</si>
  <si>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</si>
  <si>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</si>
  <si>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</si>
  <si>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</si>
  <si>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</si>
  <si>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</si>
  <si>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</si>
  <si>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</si>
  <si>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</si>
  <si>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</si>
  <si>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</si>
  <si>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</si>
  <si>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</si>
  <si>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</si>
  <si>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</si>
  <si>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</si>
  <si>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</si>
  <si>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</si>
  <si>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</si>
  <si>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</si>
  <si>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</si>
  <si>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</si>
  <si>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</si>
  <si>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</si>
  <si>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</si>
  <si>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</si>
  <si>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</si>
  <si>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</si>
  <si>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</si>
  <si>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</si>
  <si>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</si>
  <si>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</si>
  <si>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</si>
  <si>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</si>
  <si>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</si>
  <si>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</si>
  <si>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</si>
  <si>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</si>
  <si>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</si>
  <si>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</si>
  <si>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</si>
  <si>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</si>
  <si>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</si>
  <si>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</si>
  <si>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</si>
  <si>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</si>
  <si>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</si>
  <si>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</si>
  <si>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</si>
  <si>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</si>
  <si>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</si>
  <si>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</si>
  <si>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</si>
  <si>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</si>
  <si>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</si>
  <si>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</si>
  <si>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</si>
  <si>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</si>
  <si>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</si>
  <si>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</si>
  <si>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</si>
  <si>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</si>
  <si>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</si>
  <si>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</si>
  <si>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</si>
  <si>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</si>
  <si>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</si>
  <si>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</si>
  <si>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</si>
  <si>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</si>
  <si>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</si>
  <si>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</si>
  <si>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</si>
  <si>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</si>
  <si>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</si>
  <si>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</si>
  <si>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</si>
  <si>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</si>
  <si>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</si>
  <si>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</si>
  <si>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</si>
  <si>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</si>
  <si>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</si>
  <si>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</si>
  <si>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</si>
  <si>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</si>
  <si>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</si>
  <si>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</si>
  <si>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</si>
  <si>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</si>
  <si>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</si>
  <si>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</si>
  <si>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</si>
  <si>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</si>
  <si>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</si>
  <si>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</si>
  <si>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</si>
  <si>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</si>
  <si>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</si>
  <si>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</si>
  <si>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</si>
  <si>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</si>
  <si>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</si>
  <si>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</si>
  <si>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</si>
  <si>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</si>
  <si>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</si>
  <si>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</si>
  <si>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</si>
  <si>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</si>
  <si>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</si>
  <si>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</si>
  <si>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</si>
  <si>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</si>
  <si>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</si>
  <si>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</si>
  <si>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</si>
  <si>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</si>
  <si>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</si>
  <si>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</si>
  <si>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</si>
  <si>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</si>
  <si>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</si>
  <si>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</si>
  <si>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</si>
  <si>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</si>
  <si>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</si>
  <si>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</si>
  <si>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</si>
  <si>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</si>
  <si>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</si>
  <si>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</si>
  <si>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</si>
  <si>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</si>
  <si>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</si>
  <si>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</si>
  <si>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</si>
  <si>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</si>
  <si>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</si>
  <si>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</si>
  <si>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</si>
  <si>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</si>
  <si>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</si>
  <si>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</si>
  <si>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</si>
  <si>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</si>
  <si>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</si>
  <si>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</si>
  <si>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</si>
  <si>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</si>
  <si>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</si>
  <si>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</si>
  <si>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</si>
  <si>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</si>
  <si>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</si>
  <si>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</si>
  <si>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</si>
  <si>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</si>
  <si>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</si>
  <si>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</si>
  <si>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</si>
  <si>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</si>
  <si>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</si>
  <si>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</si>
  <si>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</si>
  <si>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</si>
  <si>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</si>
  <si>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</si>
  <si>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</si>
  <si>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</si>
  <si>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</si>
  <si>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</si>
  <si>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</si>
  <si>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</si>
  <si>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</si>
  <si>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</si>
  <si>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</si>
  <si>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</si>
  <si>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</si>
  <si>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</si>
  <si>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</si>
  <si>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</si>
  <si>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</si>
  <si>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</si>
  <si>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</si>
  <si>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</si>
  <si>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</si>
  <si>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</si>
  <si>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</si>
  <si>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</si>
  <si>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</si>
  <si>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</si>
  <si>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</si>
  <si>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</si>
  <si>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</si>
  <si>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</si>
  <si>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</si>
  <si>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</si>
  <si>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</si>
  <si>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</si>
  <si>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</si>
  <si>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</si>
  <si>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</si>
  <si>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</si>
  <si>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</si>
  <si>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</si>
  <si>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</si>
  <si>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</si>
  <si>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</si>
  <si>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</si>
  <si>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</si>
  <si>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</si>
  <si>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</si>
  <si>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</si>
  <si>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</si>
  <si>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</si>
  <si>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</si>
  <si>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</si>
  <si>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</si>
  <si>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</si>
  <si>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</si>
  <si>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</si>
  <si>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</si>
  <si>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</si>
  <si>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</si>
  <si>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</si>
  <si>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</si>
  <si>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</si>
  <si>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</si>
  <si>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</si>
  <si>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</si>
  <si>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</si>
  <si>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</si>
  <si>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</si>
  <si>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</si>
  <si>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</si>
  <si>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</si>
  <si>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</si>
  <si>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</si>
  <si>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</si>
  <si>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</si>
  <si>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</si>
  <si>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</si>
  <si>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</si>
  <si>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</si>
  <si>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</si>
  <si>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</si>
  <si>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</si>
  <si>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</si>
  <si>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</si>
  <si>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</si>
  <si>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</si>
  <si>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</si>
  <si>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</si>
  <si>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</si>
  <si>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</si>
  <si>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</si>
  <si>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</si>
  <si>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</si>
  <si>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</si>
  <si>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</si>
  <si>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</si>
  <si>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</si>
  <si>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</si>
  <si>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</si>
  <si>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</si>
  <si>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</si>
  <si>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</si>
  <si>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</si>
  <si>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</si>
  <si>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</si>
  <si>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</si>
  <si>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</si>
  <si>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</si>
  <si>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</si>
  <si>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</si>
  <si>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</si>
  <si>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</si>
  <si>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</si>
  <si>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</si>
  <si>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</si>
  <si>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</si>
  <si>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</si>
  <si>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</si>
  <si>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</si>
  <si>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</si>
  <si>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</si>
  <si>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</si>
  <si>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</si>
  <si>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</si>
  <si>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</si>
  <si>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</si>
  <si>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</si>
  <si>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</si>
  <si>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</si>
  <si>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</si>
  <si>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</si>
  <si>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</si>
  <si>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</si>
  <si>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</si>
  <si>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</si>
  <si>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</si>
  <si>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</si>
  <si>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</si>
  <si>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</si>
  <si>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</si>
  <si>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</si>
  <si>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</si>
  <si>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</si>
  <si>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</si>
  <si>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</si>
  <si>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</si>
  <si>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</si>
  <si>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</si>
  <si>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</si>
  <si>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</si>
  <si>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</si>
  <si>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</si>
  <si>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</si>
  <si>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</si>
  <si>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</si>
  <si>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</si>
  <si>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</si>
  <si>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</si>
  <si>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</si>
  <si>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</si>
  <si>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</si>
  <si>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</si>
  <si>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</si>
  <si>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</si>
  <si>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</si>
  <si>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</si>
  <si>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</si>
  <si>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</si>
  <si>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</si>
  <si>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</si>
  <si>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</si>
  <si>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</si>
  <si>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</si>
  <si>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</si>
  <si>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</si>
  <si>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</si>
  <si>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</si>
  <si>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</si>
  <si>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</si>
  <si>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</si>
  <si>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</si>
  <si>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</si>
  <si>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</si>
  <si>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</si>
  <si>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</si>
  <si>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</si>
  <si>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</si>
  <si>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</si>
  <si>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</si>
  <si>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</si>
  <si>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</si>
  <si>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</si>
  <si>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</si>
  <si>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</si>
  <si>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</si>
  <si>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</si>
  <si>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</si>
  <si>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</si>
  <si>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</si>
  <si>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</si>
  <si>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</si>
  <si>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</si>
  <si>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</si>
  <si>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</si>
  <si>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</si>
  <si>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</si>
  <si>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</si>
  <si>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</si>
  <si>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</si>
  <si>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</si>
  <si>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</si>
  <si>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</si>
  <si>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</si>
  <si>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</si>
  <si>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</si>
  <si>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</si>
  <si>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</si>
  <si>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</si>
  <si>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</si>
  <si>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</si>
  <si>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</si>
  <si>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</si>
  <si>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</si>
  <si>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</si>
  <si>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</si>
  <si>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</si>
  <si>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</si>
  <si>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</si>
  <si>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</si>
  <si>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</si>
  <si>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</si>
  <si>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</si>
  <si>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</si>
  <si>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</si>
  <si>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</si>
  <si>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</si>
  <si>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</si>
  <si>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</si>
  <si>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</si>
  <si>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</si>
  <si>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</si>
  <si>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</si>
  <si>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</si>
  <si>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</si>
  <si>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</si>
  <si>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</si>
  <si>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</si>
  <si>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</si>
  <si>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</si>
  <si>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</si>
  <si>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</si>
  <si>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</si>
  <si>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</si>
  <si>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</si>
  <si>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</si>
  <si>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</si>
  <si>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</si>
  <si>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</si>
  <si>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</si>
  <si>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</si>
  <si>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</si>
  <si>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</si>
  <si>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</si>
  <si>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</si>
  <si>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</si>
  <si>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</si>
  <si>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</si>
  <si>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</si>
  <si>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</si>
  <si>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</si>
  <si>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</si>
  <si>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</si>
  <si>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</si>
  <si>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</si>
  <si>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</si>
  <si>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</si>
  <si>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</si>
  <si>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</si>
  <si>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</si>
  <si>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</si>
  <si>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</si>
  <si>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</si>
  <si>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</si>
  <si>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</si>
  <si>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</si>
  <si>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</si>
  <si>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</si>
  <si>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</si>
  <si>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</si>
  <si>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</si>
  <si>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</si>
  <si>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</si>
  <si>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</si>
  <si>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</si>
  <si>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</si>
  <si>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</si>
  <si>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</si>
  <si>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</si>
  <si>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</si>
  <si>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</si>
  <si>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</si>
  <si>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</si>
  <si>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</si>
  <si>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</si>
  <si>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</si>
  <si>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</si>
  <si>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</si>
  <si>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</si>
  <si>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</si>
  <si>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</si>
  <si>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</si>
  <si>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</si>
  <si>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</si>
  <si>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</si>
  <si>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</si>
  <si>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</si>
  <si>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</si>
  <si>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</si>
  <si>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</si>
  <si>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</si>
  <si>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</si>
  <si>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</si>
  <si>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</si>
  <si>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</si>
  <si>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</si>
  <si>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</si>
  <si>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</si>
  <si>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</si>
  <si>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</si>
  <si>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</si>
  <si>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</si>
  <si>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</si>
  <si>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</si>
  <si>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</si>
  <si>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</si>
  <si>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</si>
  <si>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</si>
  <si>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</si>
  <si>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</si>
  <si>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</si>
  <si>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</si>
  <si>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</si>
  <si>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</si>
  <si>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</si>
  <si>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</si>
  <si>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</si>
  <si>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</si>
  <si>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</si>
  <si>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</si>
  <si>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</si>
  <si>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</si>
  <si>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</si>
  <si>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</si>
  <si>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</si>
  <si>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</si>
  <si>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</si>
  <si>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</si>
  <si>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</si>
  <si>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</si>
  <si>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</si>
  <si>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</si>
  <si>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</si>
  <si>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</si>
  <si>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</si>
  <si>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</si>
  <si>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</si>
  <si>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</si>
  <si>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</si>
  <si>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</si>
  <si>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</si>
  <si>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</si>
  <si>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</si>
  <si>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</si>
  <si>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</si>
  <si>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</si>
  <si>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</si>
  <si>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</si>
  <si>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</si>
  <si>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</si>
  <si>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</si>
  <si>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</si>
  <si>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</si>
  <si>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</si>
  <si>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</si>
  <si>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</si>
  <si>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</si>
  <si>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</si>
  <si>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</si>
  <si>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</si>
  <si>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</si>
  <si>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</si>
  <si>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</si>
  <si>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</si>
  <si>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</si>
  <si>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</si>
  <si>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</si>
  <si>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</si>
  <si>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</si>
  <si>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</si>
  <si>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</si>
  <si>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</si>
  <si>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</si>
  <si>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</si>
  <si>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</si>
  <si>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</si>
  <si>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</si>
  <si>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</si>
  <si>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</si>
  <si>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</si>
  <si>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</si>
  <si>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</si>
  <si>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</si>
  <si>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</si>
  <si>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</si>
  <si>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</si>
  <si>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</si>
  <si>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</si>
  <si>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</si>
  <si>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</si>
  <si>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</si>
  <si>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</si>
  <si>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</si>
  <si>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</si>
  <si>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</si>
  <si>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</si>
  <si>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</si>
  <si>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</si>
  <si>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</si>
  <si>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</si>
  <si>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</si>
  <si>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</si>
  <si>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</si>
  <si>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</si>
  <si>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</si>
  <si>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</si>
  <si>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</si>
  <si>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</si>
  <si>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</si>
  <si>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</si>
  <si>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</si>
  <si>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</si>
  <si>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</si>
  <si>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</si>
  <si>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</si>
  <si>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</si>
  <si>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</si>
  <si>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</si>
  <si>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</si>
  <si>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</si>
  <si>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</si>
  <si>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</si>
  <si>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</si>
  <si>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</si>
  <si>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</si>
  <si>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</si>
  <si>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</si>
  <si>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</si>
  <si>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</si>
  <si>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</si>
  <si>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</si>
  <si>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</si>
  <si>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</si>
  <si>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</si>
  <si>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</si>
  <si>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</si>
  <si>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</si>
  <si>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</si>
  <si>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</si>
  <si>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</si>
  <si>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</si>
  <si>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</si>
  <si>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</si>
  <si>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</si>
  <si>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</si>
  <si>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</si>
  <si>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</si>
  <si>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</si>
  <si>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</si>
  <si>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</si>
  <si>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</si>
  <si>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</si>
  <si>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</si>
  <si>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</si>
  <si>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</si>
  <si>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</si>
  <si>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</si>
  <si>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</si>
  <si>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</si>
  <si>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</si>
  <si>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</si>
  <si>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</si>
  <si>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</si>
  <si>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</si>
  <si>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</si>
  <si>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</si>
  <si>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</si>
  <si>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</si>
  <si>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</si>
  <si>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</si>
  <si>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</si>
  <si>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</si>
  <si>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</si>
  <si>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</si>
  <si>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</si>
  <si>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</si>
  <si>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</si>
  <si>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</si>
  <si>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</si>
  <si>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</si>
  <si>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</si>
  <si>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</si>
  <si>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</si>
  <si>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</si>
  <si>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</si>
  <si>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</si>
  <si>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</si>
  <si>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</si>
  <si>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</si>
  <si>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</si>
  <si>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</si>
  <si>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</si>
  <si>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</si>
  <si>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</si>
  <si>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</si>
  <si>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</si>
  <si>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</si>
  <si>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</si>
  <si>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</si>
  <si>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</si>
  <si>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</si>
  <si>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</si>
  <si>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</si>
  <si>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</si>
  <si>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</si>
  <si>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</si>
  <si>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</si>
  <si>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</si>
  <si>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</si>
  <si>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</si>
  <si>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</si>
  <si>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</si>
  <si>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</si>
  <si>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</si>
  <si>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</si>
  <si>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</si>
  <si>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</si>
  <si>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</si>
  <si>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</si>
  <si>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</si>
  <si>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</si>
  <si>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</si>
  <si>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</si>
  <si>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</si>
  <si>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</si>
  <si>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</si>
  <si>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</si>
  <si>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</si>
  <si>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</si>
  <si>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</si>
  <si>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</si>
  <si>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</si>
  <si>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</si>
  <si>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</si>
  <si>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</si>
  <si>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</si>
  <si>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</si>
  <si>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</si>
  <si>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</si>
  <si>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</si>
  <si>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</si>
  <si>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</si>
  <si>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</si>
  <si>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</si>
  <si>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</si>
  <si>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</si>
  <si>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</si>
  <si>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</si>
  <si>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</si>
  <si>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</si>
  <si>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</si>
  <si>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</si>
  <si>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</si>
  <si>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</si>
  <si>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</si>
  <si>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</si>
  <si>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</si>
  <si>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</si>
  <si>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</si>
  <si>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</si>
  <si>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</si>
  <si>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</si>
  <si>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</si>
  <si>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</si>
  <si>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</si>
  <si>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</si>
  <si>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</si>
  <si>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</si>
  <si>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</si>
  <si>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</si>
  <si>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</si>
  <si>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</si>
  <si>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</si>
  <si>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</si>
  <si>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</si>
  <si>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</si>
  <si>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</si>
  <si>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</si>
  <si>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</si>
  <si>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</si>
  <si>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</si>
  <si>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</si>
  <si>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</si>
  <si>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</si>
  <si>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</si>
  <si>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</si>
  <si>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</si>
  <si>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</si>
  <si>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</si>
  <si>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</si>
  <si>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</si>
  <si>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</si>
  <si>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</si>
  <si>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</si>
  <si>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</si>
  <si>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</si>
  <si>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</si>
  <si>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</si>
  <si>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</si>
  <si>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</si>
  <si>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</si>
  <si>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</si>
  <si>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</si>
  <si>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</si>
  <si>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</si>
  <si>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</si>
  <si>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</si>
  <si>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</si>
  <si>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</si>
  <si>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</si>
  <si>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</si>
  <si>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</si>
  <si>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</si>
  <si>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</si>
  <si>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</si>
  <si>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</si>
  <si>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</si>
  <si>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</si>
  <si>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</si>
  <si>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</si>
  <si>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</si>
  <si>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</si>
  <si>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</si>
  <si>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</si>
  <si>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</si>
  <si>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</si>
  <si>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</si>
  <si>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</si>
  <si>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</si>
  <si>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</si>
  <si>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</si>
  <si>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</si>
  <si>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</si>
  <si>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</si>
  <si>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</si>
  <si>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</si>
  <si>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</si>
  <si>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</si>
  <si>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</si>
  <si>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</si>
  <si>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</si>
  <si>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</si>
  <si>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</si>
  <si>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</si>
  <si>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</si>
  <si>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</si>
  <si>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</si>
  <si>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</si>
  <si>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</si>
  <si>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</si>
  <si>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</si>
  <si>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</si>
  <si>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</si>
  <si>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</si>
  <si>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</si>
  <si>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</si>
  <si>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</si>
  <si>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</si>
  <si>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</si>
  <si>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</si>
  <si>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</si>
  <si>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</si>
  <si>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</si>
  <si>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</si>
  <si>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</si>
  <si>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</si>
  <si>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</si>
  <si>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</si>
  <si>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</si>
  <si>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</si>
  <si>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</si>
  <si>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</si>
  <si>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</si>
  <si>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</si>
  <si>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</si>
  <si>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</si>
  <si>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</si>
  <si>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</si>
  <si>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</si>
  <si>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</si>
  <si>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</si>
  <si>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</si>
  <si>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</si>
  <si>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</si>
  <si>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</si>
  <si>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</si>
  <si>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</si>
  <si>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</si>
  <si>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</si>
  <si>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</si>
  <si>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</si>
  <si>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</si>
  <si>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</si>
  <si>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</si>
  <si>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</si>
  <si>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</si>
  <si>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</si>
  <si>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</si>
  <si>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</si>
  <si>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</si>
  <si>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</si>
  <si>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</si>
  <si>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</si>
  <si>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</si>
  <si>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</si>
  <si>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</si>
  <si>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</si>
  <si>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</si>
  <si>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</si>
  <si>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</si>
  <si>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</si>
  <si>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</si>
  <si>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</si>
  <si>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</si>
  <si>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</si>
  <si>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</si>
  <si>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</si>
  <si>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</si>
  <si>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</si>
  <si>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</si>
  <si>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</si>
  <si>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</si>
  <si>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</si>
  <si>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</si>
  <si>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</si>
  <si>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</si>
  <si>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</si>
  <si>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</si>
  <si>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</si>
  <si>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</si>
  <si>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</si>
  <si>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</si>
  <si>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</si>
  <si>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</si>
  <si>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</si>
  <si>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</si>
  <si>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</si>
  <si>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</si>
  <si>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</si>
  <si>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</si>
  <si>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</si>
  <si>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</si>
  <si>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</si>
  <si>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</si>
  <si>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</si>
  <si>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</si>
  <si>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</si>
  <si>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</si>
  <si>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</si>
  <si>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</si>
  <si>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</si>
  <si>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</si>
  <si>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</si>
  <si>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</si>
  <si>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</si>
  <si>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</si>
  <si>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</si>
  <si>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</si>
  <si>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</si>
  <si>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</si>
  <si>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</si>
  <si>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</si>
  <si>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</si>
  <si>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</si>
  <si>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</si>
  <si>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</si>
  <si>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</si>
  <si>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</si>
  <si>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</si>
  <si>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</si>
  <si>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</si>
  <si>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</si>
  <si>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</si>
  <si>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</si>
  <si>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</si>
  <si>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</si>
  <si>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</si>
  <si>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</si>
  <si>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</si>
  <si>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</si>
  <si>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</si>
  <si>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</si>
  <si>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</si>
  <si>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</si>
  <si>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</si>
  <si>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</si>
  <si>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</si>
  <si>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</si>
  <si>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</si>
  <si>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</si>
  <si>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</si>
  <si>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</si>
  <si>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</si>
  <si>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</si>
  <si>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</si>
  <si>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</si>
  <si>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</si>
  <si>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</si>
  <si>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</si>
  <si>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</si>
  <si>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</si>
  <si>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</si>
  <si>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</si>
  <si>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</si>
  <si>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</si>
  <si>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</si>
  <si>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</si>
  <si>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</si>
  <si>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</si>
  <si>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</si>
  <si>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</si>
  <si>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</si>
  <si>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</si>
  <si>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</si>
  <si>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</si>
  <si>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</si>
  <si>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</si>
  <si>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</si>
  <si>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</si>
  <si>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</si>
  <si>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</si>
  <si>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</si>
  <si>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</si>
  <si>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</si>
  <si>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</si>
  <si>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</si>
  <si>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</si>
  <si>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</si>
  <si>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</si>
  <si>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</si>
  <si>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</si>
  <si>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</si>
  <si>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</si>
  <si>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</si>
  <si>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</si>
  <si>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</si>
  <si>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</si>
  <si>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</si>
  <si>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</si>
  <si>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</si>
  <si>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</si>
  <si>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</si>
  <si>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</si>
  <si>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</si>
  <si>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</si>
  <si>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</si>
  <si>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</si>
  <si>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</si>
  <si>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</si>
  <si>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</si>
  <si>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</si>
  <si>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</si>
  <si>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</si>
  <si>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</si>
  <si>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</si>
  <si>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</si>
  <si>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</si>
  <si>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</si>
  <si>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</si>
  <si>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</si>
  <si>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</si>
  <si>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</si>
  <si>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</si>
  <si>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</si>
  <si>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</si>
  <si>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</si>
  <si>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</si>
  <si>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</si>
  <si>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</si>
  <si>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</si>
  <si>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</si>
  <si>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</si>
  <si>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</si>
  <si>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</si>
  <si>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</si>
  <si>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</si>
  <si>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</si>
  <si>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</si>
  <si>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</si>
  <si>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</si>
  <si>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</si>
  <si>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</si>
  <si>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</si>
  <si>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</si>
  <si>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</si>
  <si>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</si>
  <si>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</si>
  <si>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</si>
  <si>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</si>
  <si>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</si>
  <si>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</si>
  <si>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</si>
  <si>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</si>
  <si>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</si>
  <si>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</si>
  <si>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</si>
  <si>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</si>
  <si>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</si>
  <si>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</si>
  <si>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</si>
  <si>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</si>
  <si>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</si>
  <si>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</si>
  <si>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</si>
  <si>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</si>
  <si>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</si>
  <si>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</si>
  <si>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</si>
  <si>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</si>
  <si>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</si>
  <si>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</si>
  <si>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</si>
  <si>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</si>
  <si>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</si>
  <si>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</si>
  <si>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</si>
  <si>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</si>
  <si>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</si>
  <si>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</si>
  <si>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</si>
  <si>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</si>
  <si>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</si>
  <si>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</si>
  <si>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</si>
  <si>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</si>
  <si>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</si>
  <si>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</si>
  <si>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</si>
  <si>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</si>
  <si>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</si>
  <si>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</si>
  <si>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</si>
  <si>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</si>
  <si>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</si>
  <si>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</si>
  <si>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</si>
  <si>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</si>
  <si>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</si>
  <si>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</si>
  <si>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</si>
  <si>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</si>
  <si>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</si>
  <si>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</si>
  <si>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</si>
  <si>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</si>
  <si>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</si>
  <si>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</si>
  <si>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</si>
  <si>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</si>
  <si>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</si>
  <si>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</si>
  <si>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</si>
  <si>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</si>
  <si>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</si>
  <si>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</si>
  <si>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</si>
  <si>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</si>
  <si>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</si>
  <si>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</si>
  <si>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</si>
  <si>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</si>
  <si>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</si>
  <si>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</si>
  <si>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</si>
  <si>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</si>
  <si>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</si>
  <si>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</si>
  <si>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</si>
  <si>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</si>
  <si>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</si>
  <si>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</si>
  <si>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</si>
  <si>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</si>
  <si>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</si>
  <si>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</si>
  <si>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</si>
  <si>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</si>
  <si>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</si>
  <si>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</si>
  <si>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</si>
  <si>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</si>
  <si>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</si>
  <si>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</si>
  <si>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</si>
  <si>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</si>
  <si>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</si>
  <si>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</si>
  <si>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</si>
  <si>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</si>
  <si>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</si>
  <si>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</si>
  <si>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</si>
  <si>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</si>
  <si>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</si>
  <si>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</si>
  <si>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</si>
  <si>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</si>
  <si>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</si>
  <si>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</si>
  <si>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</si>
  <si>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</si>
  <si>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</si>
  <si>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</si>
  <si>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</si>
  <si>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</si>
  <si>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</si>
  <si>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</si>
  <si>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</si>
  <si>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</si>
  <si>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</si>
  <si>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</si>
  <si>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</si>
  <si>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</si>
  <si>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</si>
  <si>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</si>
  <si>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</si>
  <si>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</si>
  <si>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</si>
  <si>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</si>
  <si>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</si>
  <si>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</si>
  <si>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</si>
  <si>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</si>
  <si>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</si>
  <si>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</si>
  <si>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</si>
  <si>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</si>
  <si>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</si>
  <si>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</si>
  <si>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</si>
  <si>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</si>
  <si>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</si>
  <si>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</si>
  <si>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</si>
  <si>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</si>
  <si>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</si>
  <si>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</si>
  <si>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</si>
  <si>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</si>
  <si>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</si>
  <si>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</si>
  <si>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</si>
  <si>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</si>
  <si>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</si>
  <si>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</si>
  <si>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</si>
  <si>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</si>
  <si>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</si>
  <si>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</si>
  <si>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</si>
  <si>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</si>
  <si>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</si>
  <si>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</si>
  <si>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</si>
  <si>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</si>
  <si>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</si>
  <si>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</si>
  <si>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</si>
  <si>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</si>
  <si>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</si>
  <si>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</si>
  <si>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</si>
  <si>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</si>
  <si>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</si>
  <si>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</si>
  <si>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</si>
  <si>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</si>
  <si>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</si>
  <si>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</si>
  <si>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</si>
  <si>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</si>
  <si>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</si>
  <si>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</si>
  <si>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</si>
  <si>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</si>
  <si>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</si>
  <si>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</si>
  <si>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</si>
  <si>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</si>
  <si>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</si>
  <si>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</si>
  <si>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</si>
  <si>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</si>
  <si>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</si>
  <si>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</si>
  <si>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</si>
  <si>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</si>
  <si>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</si>
  <si>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</si>
  <si>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</si>
  <si>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</si>
  <si>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</si>
  <si>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</si>
  <si>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</si>
  <si>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</si>
  <si>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</si>
  <si>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</si>
  <si>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</si>
  <si>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</si>
  <si>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</si>
  <si>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</si>
  <si>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</si>
  <si>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</si>
  <si>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</si>
  <si>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</si>
  <si>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</si>
  <si>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</si>
  <si>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</si>
  <si>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</si>
  <si>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</si>
  <si>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</si>
  <si>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</si>
  <si>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</si>
  <si>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</si>
  <si>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</si>
  <si>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</si>
  <si>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</si>
  <si>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</si>
  <si>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</si>
  <si>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</si>
  <si>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</si>
  <si>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</si>
  <si>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</si>
  <si>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</si>
  <si>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</si>
  <si>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</si>
  <si>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</si>
  <si>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</si>
  <si>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</si>
  <si>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</si>
  <si>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</si>
  <si>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</si>
  <si>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</si>
  <si>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</si>
  <si>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</si>
  <si>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</si>
  <si>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</si>
  <si>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</si>
  <si>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</si>
  <si>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</si>
  <si>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</si>
  <si>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</si>
  <si>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</si>
  <si>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</si>
  <si>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</si>
  <si>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</si>
  <si>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</si>
  <si>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</si>
  <si>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</si>
  <si>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</si>
  <si>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</si>
  <si>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</si>
  <si>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</si>
  <si>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</si>
  <si>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</si>
  <si>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</si>
  <si>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</si>
  <si>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</si>
  <si>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</si>
  <si>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</si>
  <si>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</si>
  <si>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</si>
  <si>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</si>
  <si>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</si>
  <si>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</si>
  <si>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</si>
  <si>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</si>
  <si>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</si>
  <si>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</si>
  <si>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</si>
  <si>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</si>
  <si>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</si>
  <si>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</si>
  <si>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</si>
  <si>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</si>
  <si>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</si>
  <si>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</si>
  <si>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</si>
  <si>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</si>
  <si>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</si>
  <si>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</si>
  <si>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</si>
  <si>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</si>
  <si>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</si>
  <si>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</si>
  <si>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</si>
  <si>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</si>
  <si>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</si>
  <si>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</si>
  <si>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</si>
  <si>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</si>
  <si>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</si>
  <si>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</si>
  <si>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</si>
  <si>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</si>
  <si>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</si>
  <si>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</si>
  <si>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</si>
  <si>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</si>
  <si>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</si>
  <si>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</si>
  <si>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</si>
  <si>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</si>
  <si>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</si>
  <si>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</si>
  <si>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</si>
  <si>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</si>
  <si>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</si>
  <si>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</si>
  <si>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</si>
  <si>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</si>
  <si>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</si>
  <si>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</si>
  <si>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</si>
  <si>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</si>
  <si>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</si>
  <si>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</si>
  <si>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</si>
  <si>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</si>
  <si>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</si>
  <si>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</si>
  <si>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</si>
  <si>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</si>
  <si>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</si>
  <si>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</si>
  <si>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</si>
  <si>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</si>
  <si>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</si>
  <si>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</si>
  <si>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</si>
  <si>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</si>
  <si>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</si>
  <si>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</si>
  <si>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</si>
  <si>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</si>
  <si>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</si>
  <si>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</si>
  <si>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</si>
  <si>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</si>
  <si>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</si>
  <si>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</si>
  <si>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</si>
  <si>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</si>
  <si>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</si>
  <si>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</si>
  <si>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</si>
  <si>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</si>
  <si>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</si>
  <si>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</si>
  <si>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</si>
  <si>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</si>
  <si>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</si>
  <si>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</si>
  <si>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</si>
  <si>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</si>
  <si>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</si>
  <si>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</si>
  <si>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</si>
  <si>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</si>
  <si>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</si>
  <si>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</si>
  <si>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</si>
  <si>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</si>
  <si>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</si>
  <si>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</si>
  <si>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</si>
  <si>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</si>
  <si>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</si>
  <si>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</si>
  <si>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</si>
  <si>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</si>
  <si>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</si>
  <si>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</si>
  <si>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</si>
  <si>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</si>
  <si>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</si>
  <si>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</si>
  <si>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</si>
  <si>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</si>
  <si>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</si>
  <si>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</si>
  <si>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</si>
  <si>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</si>
  <si>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</si>
  <si>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</si>
  <si>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</si>
  <si>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</si>
  <si>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</si>
  <si>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</si>
  <si>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</si>
  <si>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</si>
  <si>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</si>
  <si>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</si>
  <si>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</si>
  <si>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</si>
  <si>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</si>
  <si>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</si>
  <si>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</si>
  <si>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</si>
  <si>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</si>
  <si>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</si>
  <si>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</si>
  <si>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</si>
  <si>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</si>
  <si>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</si>
  <si>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</si>
  <si>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</si>
  <si>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</si>
  <si>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</si>
  <si>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</si>
  <si>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</si>
  <si>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</si>
  <si>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</si>
  <si>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</si>
  <si>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</si>
  <si>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</si>
  <si>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</si>
  <si>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</si>
  <si>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</si>
  <si>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</si>
  <si>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</si>
  <si>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</si>
  <si>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</si>
  <si>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</si>
  <si>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</si>
  <si>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</si>
  <si>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</si>
  <si>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</si>
  <si>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</si>
  <si>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</si>
  <si>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</si>
  <si>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</si>
  <si>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</si>
  <si>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</si>
  <si>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</si>
  <si>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</si>
  <si>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</si>
  <si>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</si>
  <si>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</si>
  <si>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</si>
  <si>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</si>
  <si>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</si>
  <si>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</si>
  <si>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</si>
  <si>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</si>
  <si>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</si>
  <si>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</si>
  <si>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</si>
  <si>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</si>
  <si>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</si>
  <si>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</si>
  <si>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</si>
  <si>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</si>
  <si>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</si>
  <si>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</si>
  <si>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</si>
  <si>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</si>
  <si>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</si>
  <si>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</si>
  <si>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</si>
  <si>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</si>
  <si>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</si>
  <si>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</si>
  <si>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</si>
  <si>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</si>
  <si>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</si>
  <si>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</si>
  <si>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</si>
  <si>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</si>
  <si>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</si>
  <si>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</si>
  <si>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</si>
  <si>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</si>
  <si>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</si>
  <si>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</si>
  <si>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</si>
  <si>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</si>
  <si>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</si>
  <si>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</si>
  <si>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</si>
  <si>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</si>
  <si>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</si>
  <si>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</si>
  <si>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</si>
  <si>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</si>
  <si>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</si>
  <si>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</si>
  <si>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</si>
  <si>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</si>
  <si>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</si>
  <si>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</si>
  <si>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</si>
  <si>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</si>
  <si>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</si>
  <si>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</si>
  <si>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</si>
  <si>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</si>
  <si>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</si>
  <si>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</si>
  <si>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</si>
  <si>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</si>
  <si>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</si>
  <si>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</si>
  <si>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</si>
  <si>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</si>
  <si>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</si>
  <si>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</si>
  <si>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</si>
  <si>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</si>
  <si>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</si>
  <si>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</si>
  <si>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</si>
  <si>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</si>
  <si>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</si>
  <si>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</si>
  <si>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</si>
  <si>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</si>
  <si>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</si>
  <si>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</si>
  <si>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</si>
  <si>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</si>
  <si>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</si>
  <si>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</si>
  <si>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</si>
  <si>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</si>
  <si>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</si>
  <si>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</si>
  <si>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</si>
  <si>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</si>
  <si>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</si>
  <si>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</si>
  <si>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</si>
  <si>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</si>
  <si>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</si>
  <si>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</si>
  <si>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</si>
  <si>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</si>
  <si>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</si>
  <si>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</si>
  <si>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</si>
  <si>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</si>
  <si>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</si>
  <si>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</si>
  <si>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</si>
  <si>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</si>
  <si>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</si>
  <si>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</si>
  <si>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</si>
  <si>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</si>
  <si>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</si>
  <si>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</si>
  <si>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</si>
  <si>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</si>
  <si>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</si>
  <si>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</si>
  <si>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</si>
  <si>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</si>
  <si>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</si>
  <si>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</si>
  <si>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</si>
  <si>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</si>
  <si>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</si>
  <si>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</si>
  <si>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</si>
  <si>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</si>
  <si>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</si>
  <si>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</si>
  <si>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</si>
  <si>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</si>
  <si>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</si>
  <si>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</si>
  <si>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</si>
  <si>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</si>
  <si>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</si>
  <si>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</si>
  <si>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</si>
  <si>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</si>
  <si>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</si>
  <si>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</si>
  <si>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</si>
  <si>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</si>
  <si>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</si>
  <si>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</si>
  <si>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</si>
  <si>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</si>
  <si>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</si>
  <si>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</si>
  <si>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</si>
  <si>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</si>
  <si>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</si>
  <si>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</si>
  <si>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</si>
  <si>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</si>
  <si>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</si>
  <si>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</si>
  <si>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</si>
  <si>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</si>
  <si>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</si>
  <si>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</si>
  <si>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</si>
  <si>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</si>
  <si>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</si>
  <si>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</si>
  <si>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</si>
  <si>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</si>
  <si>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</si>
  <si>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</si>
  <si>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</si>
  <si>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</si>
  <si>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</si>
  <si>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</si>
  <si>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</si>
  <si>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</si>
  <si>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</si>
  <si>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</si>
  <si>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</si>
  <si>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</si>
  <si>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</si>
  <si>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</si>
  <si>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</si>
  <si>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</si>
  <si>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</si>
  <si>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</si>
  <si>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</si>
  <si>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</si>
  <si>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</si>
  <si>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</si>
  <si>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</si>
  <si>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</si>
  <si>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</si>
  <si>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</si>
  <si>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</si>
  <si>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</si>
  <si>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</si>
  <si>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</si>
  <si>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</si>
  <si>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</si>
  <si>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</si>
  <si>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</si>
  <si>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</si>
  <si>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</si>
  <si>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</si>
  <si>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</si>
  <si>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</si>
  <si>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</si>
  <si>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</si>
  <si>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</si>
  <si>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</si>
  <si>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</si>
  <si>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</si>
  <si>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</si>
  <si>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</si>
  <si>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</si>
  <si>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</si>
  <si>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</si>
  <si>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</si>
  <si>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</si>
  <si>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</si>
  <si>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</si>
  <si>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</si>
  <si>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</si>
  <si>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</si>
  <si>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</si>
  <si>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</si>
  <si>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</si>
  <si>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</si>
  <si>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</si>
  <si>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</si>
  <si>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</si>
  <si>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</si>
  <si>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</si>
  <si>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</si>
  <si>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</si>
  <si>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</si>
  <si>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</si>
  <si>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</si>
  <si>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</si>
  <si>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</si>
  <si>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</si>
  <si>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</si>
  <si>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</si>
  <si>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</si>
  <si>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</si>
  <si>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</si>
  <si>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</si>
  <si>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</si>
  <si>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</si>
  <si>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</si>
  <si>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</si>
  <si>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</si>
  <si>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</si>
  <si>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</si>
  <si>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</si>
  <si>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</si>
  <si>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</si>
  <si>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</si>
  <si>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</si>
  <si>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</si>
  <si>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</si>
  <si>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</si>
  <si>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</si>
  <si>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</si>
  <si>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</si>
  <si>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</si>
  <si>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</si>
  <si>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</si>
  <si>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</si>
  <si>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</si>
  <si>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</si>
  <si>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</si>
  <si>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</si>
  <si>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</si>
  <si>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</si>
  <si>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</si>
  <si>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</si>
  <si>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</si>
  <si>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</si>
  <si>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</si>
  <si>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</si>
  <si>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</si>
  <si>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</si>
  <si>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</si>
  <si>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</si>
  <si>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</si>
  <si>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</si>
  <si>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</si>
  <si>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</si>
  <si>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</si>
  <si>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</si>
  <si>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</si>
  <si>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</si>
  <si>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</si>
  <si>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</si>
  <si>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</si>
  <si>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</si>
  <si>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</si>
  <si>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</si>
  <si>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</si>
  <si>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</si>
  <si>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</si>
  <si>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</si>
  <si>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</si>
  <si>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</si>
  <si>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</si>
  <si>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</si>
  <si>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</si>
  <si>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</si>
  <si>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</si>
  <si>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</si>
  <si>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</si>
  <si>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</si>
  <si>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</si>
  <si>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</si>
  <si>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</si>
  <si>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</si>
  <si>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</si>
  <si>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</si>
  <si>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</si>
  <si>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</si>
  <si>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</si>
  <si>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</si>
  <si>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</si>
  <si>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</si>
  <si>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</si>
  <si>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</si>
  <si>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</si>
  <si>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</si>
  <si>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</si>
  <si>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</si>
  <si>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</si>
  <si>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</si>
  <si>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</si>
  <si>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</si>
  <si>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</si>
  <si>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</si>
  <si>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</si>
  <si>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</si>
  <si>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</si>
  <si>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</si>
  <si>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</si>
  <si>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</si>
  <si>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</si>
  <si>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</si>
  <si>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</si>
  <si>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</si>
  <si>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</si>
  <si>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</si>
  <si>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</si>
  <si>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</si>
  <si>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</si>
  <si>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</si>
  <si>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</si>
  <si>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</si>
  <si>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</si>
  <si>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</si>
  <si>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</si>
  <si>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</si>
  <si>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</si>
  <si>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</si>
  <si>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</si>
  <si>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</si>
  <si>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</si>
  <si>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</si>
  <si>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</si>
  <si>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</si>
  <si>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</si>
  <si>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</si>
  <si>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</si>
  <si>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</si>
  <si>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</si>
  <si>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</si>
  <si>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</si>
  <si>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</si>
  <si>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</si>
  <si>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</si>
  <si>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</si>
  <si>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</si>
  <si>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</si>
  <si>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</si>
  <si>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</si>
  <si>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</si>
  <si>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</si>
  <si>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</si>
  <si>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</si>
  <si>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</si>
  <si>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</si>
  <si>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</si>
  <si>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</si>
  <si>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</si>
  <si>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</si>
  <si>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</si>
  <si>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</si>
  <si>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</si>
  <si>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</si>
  <si>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</si>
  <si>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</si>
  <si>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</si>
  <si>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</si>
  <si>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</si>
  <si>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</si>
  <si>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</si>
  <si>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</si>
  <si>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</si>
  <si>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</si>
  <si>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</si>
  <si>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</si>
  <si>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</si>
  <si>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</si>
  <si>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</si>
  <si>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</si>
  <si>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</si>
  <si>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</si>
  <si>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</si>
  <si>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</si>
  <si>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</si>
  <si>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</si>
  <si>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</si>
  <si>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</si>
  <si>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</si>
  <si>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</si>
  <si>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</si>
  <si>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</si>
  <si>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</si>
  <si>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</si>
  <si>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</si>
  <si>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</si>
  <si>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</si>
  <si>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</si>
  <si>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</si>
  <si>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</si>
  <si>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</si>
  <si>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</si>
  <si>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</si>
  <si>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</si>
  <si>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</si>
  <si>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</si>
  <si>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</si>
  <si>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</si>
  <si>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</si>
  <si>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</si>
  <si>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</si>
  <si>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</si>
  <si>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</si>
  <si>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</si>
  <si>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</si>
  <si>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</si>
  <si>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</si>
  <si>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</si>
  <si>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</si>
  <si>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</si>
  <si>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</si>
  <si>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</si>
  <si>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</si>
  <si>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</si>
  <si>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</si>
  <si>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</si>
  <si>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</si>
  <si>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</si>
  <si>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</si>
  <si>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</si>
  <si>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</si>
  <si>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</si>
  <si>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</si>
  <si>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</si>
  <si>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</si>
  <si>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</si>
  <si>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</si>
  <si>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</si>
  <si>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</si>
  <si>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</si>
  <si>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</si>
  <si>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</si>
  <si>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</si>
  <si>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</si>
  <si>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</si>
  <si>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</si>
  <si>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</si>
  <si>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</si>
  <si>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</si>
  <si>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</si>
  <si>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</si>
  <si>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</si>
  <si>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</si>
  <si>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</si>
  <si>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</si>
  <si>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</si>
  <si>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</si>
  <si>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</si>
  <si>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</si>
  <si>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</si>
  <si>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</si>
  <si>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</si>
  <si>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</si>
  <si>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</si>
  <si>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</si>
  <si>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</si>
  <si>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</si>
  <si>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</si>
  <si>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</si>
  <si>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</si>
  <si>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</si>
  <si>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</si>
  <si>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</si>
  <si>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</si>
  <si>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</si>
  <si>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</si>
  <si>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</si>
  <si>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</si>
  <si>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</si>
  <si>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</si>
  <si>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</si>
  <si>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</si>
  <si>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</si>
  <si>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</si>
  <si>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</si>
  <si>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</si>
  <si>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</si>
  <si>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</si>
  <si>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</si>
  <si>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</si>
  <si>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</si>
  <si>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</si>
  <si>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</si>
  <si>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</si>
  <si>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</si>
  <si>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</si>
  <si>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</si>
  <si>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</si>
  <si>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</si>
  <si>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</si>
  <si>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</si>
  <si>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</si>
  <si>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</si>
  <si>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</si>
  <si>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</si>
  <si>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</si>
  <si>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</si>
  <si>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</si>
  <si>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</si>
  <si>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</si>
  <si>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</si>
  <si>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</si>
  <si>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</si>
  <si>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</si>
  <si>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</si>
  <si>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</si>
  <si>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</si>
  <si>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</si>
  <si>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</si>
  <si>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</si>
  <si>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</si>
  <si>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</si>
  <si>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</si>
  <si>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</si>
  <si>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</si>
  <si>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</si>
  <si>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</si>
  <si>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</si>
  <si>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</si>
  <si>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</si>
  <si>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</si>
  <si>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</si>
  <si>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</si>
  <si>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</si>
  <si>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</si>
  <si>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</si>
  <si>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</si>
  <si>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</si>
  <si>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</si>
  <si>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</si>
  <si>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</si>
  <si>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</si>
  <si>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</si>
  <si>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</si>
  <si>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</si>
  <si>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</si>
  <si>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</si>
  <si>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</si>
  <si>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</si>
  <si>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</si>
  <si>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</si>
  <si>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</si>
  <si>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</si>
  <si>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</si>
  <si>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</si>
  <si>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</si>
  <si>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</si>
  <si>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</si>
  <si>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</si>
  <si>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</si>
  <si>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</si>
  <si>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</si>
  <si>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</si>
  <si>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</si>
  <si>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</si>
  <si>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</si>
  <si>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</si>
  <si>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</si>
  <si>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</si>
  <si>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</si>
  <si>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</si>
  <si>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</si>
  <si>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</si>
  <si>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</si>
  <si>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</si>
  <si>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</si>
  <si>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</si>
  <si>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</si>
  <si>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</si>
  <si>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</si>
  <si>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</si>
  <si>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</si>
  <si>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</si>
  <si>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</si>
  <si>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</si>
  <si>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</si>
  <si>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</si>
  <si>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</si>
  <si>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</si>
  <si>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</si>
  <si>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</si>
  <si>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</si>
  <si>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</si>
  <si>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</si>
  <si>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</si>
  <si>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</si>
  <si>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</si>
  <si>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</si>
  <si>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</si>
  <si>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</si>
  <si>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</si>
  <si>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</si>
  <si>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</si>
  <si>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</si>
  <si>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</si>
  <si>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</si>
  <si>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</si>
  <si>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</si>
  <si>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</si>
  <si>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</si>
  <si>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</si>
  <si>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</si>
  <si>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</si>
  <si>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</si>
  <si>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</si>
  <si>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</si>
  <si>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</si>
  <si>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</si>
  <si>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</si>
  <si>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</si>
  <si>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</si>
  <si>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</si>
  <si>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</si>
  <si>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</si>
  <si>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</si>
  <si>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</si>
  <si>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</si>
  <si>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</si>
  <si>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</si>
  <si>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</si>
  <si>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</si>
  <si>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</si>
  <si>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</si>
  <si>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</si>
  <si>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</si>
  <si>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</si>
  <si>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</si>
  <si>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</si>
  <si>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</si>
  <si>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</si>
  <si>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</si>
  <si>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</si>
  <si>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</si>
  <si>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</si>
  <si>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</si>
  <si>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</si>
  <si>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</si>
  <si>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</si>
  <si>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</si>
  <si>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</si>
  <si>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</si>
  <si>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</si>
  <si>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</si>
  <si>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</si>
  <si>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</si>
  <si>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</si>
  <si>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</si>
  <si>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</si>
  <si>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</si>
  <si>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</si>
  <si>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</si>
  <si>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</si>
  <si>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</si>
  <si>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</si>
  <si>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</si>
  <si>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</si>
  <si>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</si>
  <si>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</si>
  <si>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</si>
  <si>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</si>
  <si>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</si>
  <si>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</si>
  <si>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</si>
  <si>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</si>
  <si>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</si>
  <si>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</si>
  <si>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</si>
  <si>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</si>
  <si>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</si>
  <si>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</si>
  <si>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</si>
  <si>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</si>
  <si>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</si>
  <si>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</si>
  <si>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</si>
  <si>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</si>
  <si>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</si>
  <si>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</si>
  <si>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</si>
  <si>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</si>
  <si>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</si>
  <si>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</si>
  <si>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</si>
  <si>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</si>
  <si>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</si>
  <si>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</si>
  <si>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</si>
  <si>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</si>
  <si>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</si>
  <si>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</si>
  <si>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</si>
  <si>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</si>
  <si>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</si>
  <si>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</si>
  <si>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</si>
  <si>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</si>
  <si>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</si>
  <si>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</si>
  <si>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</si>
  <si>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</si>
  <si>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</si>
  <si>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</si>
  <si>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</si>
  <si>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</si>
  <si>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</si>
  <si>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</si>
  <si>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</si>
  <si>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</si>
  <si>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</si>
  <si>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</si>
  <si>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</si>
  <si>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</si>
  <si>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</si>
  <si>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</si>
  <si>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</si>
  <si>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</si>
  <si>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</si>
  <si>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</si>
  <si>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</si>
  <si>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</si>
  <si>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</si>
  <si>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</si>
  <si>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</si>
  <si>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</si>
  <si>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</si>
  <si>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</si>
  <si>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</si>
  <si>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</si>
  <si>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</si>
  <si>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</si>
  <si>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</si>
  <si>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</si>
  <si>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</si>
  <si>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</si>
  <si>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</si>
  <si>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</si>
  <si>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</si>
  <si>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</si>
  <si>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</si>
  <si>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</si>
  <si>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</si>
  <si>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</si>
  <si>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</si>
  <si>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</si>
  <si>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</si>
  <si>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</si>
  <si>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</si>
  <si>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</si>
  <si>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</si>
  <si>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</si>
  <si>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</si>
  <si>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</si>
  <si>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</si>
  <si>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</si>
  <si>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</si>
  <si>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</si>
  <si>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</si>
  <si>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</si>
  <si>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</si>
  <si>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</si>
  <si>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</si>
  <si>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</si>
  <si>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</si>
  <si>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</si>
  <si>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</si>
  <si>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</si>
  <si>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</si>
  <si>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</si>
  <si>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</si>
  <si>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</si>
  <si>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</si>
  <si>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</si>
  <si>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</si>
  <si>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</si>
  <si>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</si>
  <si>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</si>
  <si>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</si>
  <si>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</si>
  <si>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</si>
  <si>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</si>
  <si>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</si>
  <si>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</si>
  <si>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</si>
  <si>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</si>
  <si>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</si>
  <si>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</si>
  <si>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</si>
  <si>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</si>
  <si>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</si>
  <si>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</si>
  <si>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</si>
  <si>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</si>
  <si>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</si>
  <si>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</si>
  <si>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</si>
  <si>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</si>
  <si>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</si>
  <si>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</si>
  <si>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</si>
  <si>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</si>
  <si>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</si>
  <si>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</si>
  <si>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</si>
  <si>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</si>
  <si>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</si>
  <si>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</si>
  <si>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</si>
  <si>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</si>
  <si>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</si>
  <si>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</si>
  <si>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</si>
  <si>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</si>
  <si>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</si>
  <si>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</si>
  <si>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</si>
  <si>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</si>
  <si>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</si>
  <si>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</si>
  <si>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</si>
  <si>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</si>
  <si>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</si>
  <si>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</si>
  <si>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</si>
  <si>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</si>
  <si>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</si>
  <si>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</si>
  <si>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</si>
  <si>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</si>
  <si>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</si>
  <si>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</si>
  <si>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</si>
  <si>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</si>
  <si>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</si>
  <si>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</si>
  <si>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</si>
  <si>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</si>
  <si>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</si>
  <si>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</si>
  <si>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</si>
  <si>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</si>
  <si>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</si>
  <si>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</si>
  <si>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</si>
  <si>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</si>
  <si>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</si>
  <si>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</si>
  <si>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</si>
  <si>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</si>
  <si>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</si>
  <si>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</si>
  <si>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</si>
  <si>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</si>
  <si>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</si>
  <si>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</si>
  <si>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</si>
  <si>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</si>
  <si>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</si>
  <si>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</si>
  <si>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</si>
  <si>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</si>
  <si>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</si>
  <si>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</si>
  <si>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</si>
  <si>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</si>
  <si>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</si>
  <si>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</si>
  <si>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</si>
  <si>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</si>
  <si>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</si>
  <si>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</si>
  <si>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</si>
  <si>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</si>
  <si>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</si>
  <si>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</si>
  <si>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</si>
  <si>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</si>
  <si>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</si>
  <si>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</si>
  <si>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</si>
  <si>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</si>
  <si>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</si>
  <si>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</si>
  <si>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</si>
  <si>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</si>
  <si>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</si>
  <si>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</si>
  <si>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</si>
  <si>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</si>
  <si>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</si>
  <si>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</si>
  <si>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</si>
  <si>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</si>
  <si>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</si>
  <si>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</si>
  <si>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</si>
  <si>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</si>
  <si>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</si>
  <si>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</si>
  <si>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</si>
  <si>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</si>
  <si>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</si>
  <si>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</si>
  <si>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</si>
  <si>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</si>
  <si>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</si>
  <si>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</si>
  <si>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</si>
  <si>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</si>
  <si>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</si>
  <si>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</si>
  <si>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</si>
  <si>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</si>
  <si>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</si>
  <si>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</si>
  <si>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</si>
  <si>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</si>
  <si>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</si>
  <si>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</si>
  <si>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</si>
  <si>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</si>
  <si>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</si>
  <si>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</si>
  <si>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</si>
  <si>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</si>
  <si>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</si>
  <si>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</si>
  <si>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</si>
  <si>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</si>
  <si>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</si>
  <si>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</si>
  <si>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</si>
  <si>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</si>
  <si>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</si>
  <si>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</si>
  <si>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</si>
  <si>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</si>
  <si>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</si>
  <si>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</si>
  <si>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</si>
  <si>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</si>
  <si>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</si>
  <si>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</si>
  <si>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</si>
  <si>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</si>
  <si>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</si>
  <si>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</si>
  <si>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</si>
  <si>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</si>
  <si>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</si>
  <si>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</si>
  <si>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</si>
  <si>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</si>
  <si>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</si>
  <si>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</si>
  <si>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</si>
  <si>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</si>
  <si>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</si>
  <si>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</si>
  <si>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</si>
  <si>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</si>
  <si>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</si>
  <si>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</si>
  <si>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</si>
  <si>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</si>
  <si>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</si>
  <si>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</si>
  <si>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</si>
  <si>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</si>
  <si>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</si>
  <si>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</si>
  <si>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</si>
  <si>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</si>
  <si>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</si>
  <si>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</si>
  <si>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</si>
  <si>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</si>
  <si>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</si>
  <si>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</si>
  <si>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</si>
  <si>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</si>
  <si>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</si>
  <si>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</si>
  <si>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</si>
  <si>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</si>
  <si>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</si>
  <si>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</si>
  <si>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</si>
  <si>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</si>
  <si>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</si>
  <si>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</si>
  <si>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</si>
  <si>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</si>
  <si>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</si>
  <si>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</si>
  <si>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</si>
  <si>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</si>
  <si>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</si>
  <si>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</si>
  <si>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</si>
  <si>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</si>
  <si>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</si>
  <si>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</si>
  <si>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</si>
  <si>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</si>
  <si>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</si>
  <si>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</si>
  <si>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</si>
  <si>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</si>
  <si>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</si>
  <si>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</si>
  <si>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</si>
  <si>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</si>
  <si>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</si>
  <si>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</si>
  <si>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</si>
  <si>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</si>
  <si>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</si>
  <si>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</si>
  <si>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</si>
  <si>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</si>
  <si>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</si>
  <si>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</si>
  <si>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</si>
  <si>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</si>
  <si>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</si>
  <si>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</si>
  <si>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</si>
  <si>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</si>
  <si>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</si>
  <si>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</si>
  <si>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</si>
  <si>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</si>
  <si>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</si>
  <si>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</si>
  <si>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</si>
  <si>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</si>
  <si>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</si>
  <si>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</si>
  <si>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</si>
  <si>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</si>
  <si>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</si>
  <si>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</si>
  <si>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</si>
  <si>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</si>
  <si>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</si>
  <si>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</si>
  <si>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</si>
  <si>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</si>
  <si>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</si>
  <si>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</si>
  <si>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</si>
  <si>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</si>
  <si>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</si>
  <si>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</si>
  <si>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</si>
  <si>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</si>
  <si>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</si>
  <si>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</si>
  <si>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</si>
  <si>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</si>
  <si>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</si>
  <si>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</si>
  <si>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</si>
  <si>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</si>
  <si>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</si>
  <si>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</si>
  <si>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</si>
  <si>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</si>
  <si>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</si>
  <si>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</si>
  <si>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</si>
  <si>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</si>
  <si>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</si>
  <si>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</si>
  <si>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</si>
  <si>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</si>
  <si>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</si>
  <si>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</si>
  <si>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</si>
  <si>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</si>
  <si>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</si>
  <si>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</si>
  <si>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</si>
  <si>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</si>
  <si>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</si>
  <si>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</si>
  <si>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</si>
  <si>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</si>
  <si>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</si>
  <si>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</si>
  <si>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</si>
  <si>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</si>
  <si>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</si>
  <si>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</si>
  <si>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</si>
  <si>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</si>
  <si>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</si>
  <si>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</si>
  <si>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</si>
  <si>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</si>
  <si>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</si>
  <si>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</si>
  <si>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</si>
  <si>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</si>
  <si>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</si>
  <si>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</si>
  <si>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</si>
  <si>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</si>
  <si>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</si>
  <si>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</si>
  <si>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</si>
  <si>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</si>
  <si>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</si>
  <si>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</si>
  <si>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</si>
  <si>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</si>
  <si>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</si>
  <si>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</si>
  <si>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</si>
  <si>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</si>
  <si>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</si>
  <si>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</si>
  <si>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</si>
  <si>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</si>
  <si>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</si>
  <si>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</si>
  <si>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</si>
  <si>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</si>
  <si>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</si>
  <si>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</si>
  <si>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</si>
  <si>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</si>
  <si>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</si>
  <si>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</si>
  <si>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</si>
  <si>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</si>
  <si>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</si>
  <si>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</si>
  <si>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</si>
  <si>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</si>
  <si>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</si>
  <si>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</si>
  <si>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</si>
  <si>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</si>
  <si>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</si>
  <si>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</si>
  <si>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</si>
  <si>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</si>
  <si>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</si>
  <si>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</si>
  <si>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</si>
  <si>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</si>
  <si>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</si>
  <si>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</si>
  <si>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</si>
  <si>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</si>
  <si>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</si>
  <si>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</si>
  <si>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</si>
  <si>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</si>
  <si>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</si>
  <si>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</si>
  <si>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</si>
  <si>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</si>
  <si>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</si>
  <si>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</si>
  <si>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</si>
  <si>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</si>
  <si>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</si>
  <si>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</si>
  <si>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</si>
  <si>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</si>
  <si>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</si>
  <si>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</si>
  <si>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</si>
  <si>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</si>
  <si>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</si>
  <si>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</si>
  <si>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</si>
  <si>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</si>
  <si>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</si>
  <si>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</si>
  <si>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</si>
  <si>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</si>
  <si>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</si>
  <si>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</si>
  <si>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</si>
  <si>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</si>
  <si>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</si>
  <si>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</si>
  <si>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</si>
  <si>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</si>
  <si>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</si>
  <si>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</si>
  <si>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</si>
  <si>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</si>
  <si>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</si>
  <si>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</si>
  <si>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</si>
  <si>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</si>
  <si>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</si>
  <si>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</si>
  <si>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</si>
  <si>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</si>
  <si>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</si>
  <si>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</si>
  <si>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</si>
  <si>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</si>
  <si>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</si>
  <si>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</si>
  <si>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</si>
  <si>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</si>
  <si>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</si>
  <si>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</si>
  <si>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</si>
  <si>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</si>
  <si>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</si>
  <si>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</si>
  <si>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</si>
  <si>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</si>
  <si>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</si>
  <si>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</si>
  <si>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</si>
  <si>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</si>
  <si>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</si>
  <si>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</si>
  <si>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</si>
  <si>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</si>
  <si>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</si>
  <si>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</si>
  <si>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</si>
  <si>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</si>
  <si>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</si>
  <si>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</si>
  <si>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</si>
  <si>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</si>
  <si>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</si>
  <si>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</si>
  <si>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</si>
  <si>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</si>
  <si>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</si>
  <si>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</si>
  <si>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</si>
  <si>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</si>
  <si>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</si>
  <si>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</si>
  <si>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</si>
  <si>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</si>
  <si>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</si>
  <si>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</si>
  <si>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</si>
  <si>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</si>
  <si>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</si>
  <si>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</si>
  <si>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</si>
  <si>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</si>
  <si>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</si>
  <si>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</si>
  <si>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</si>
  <si>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</si>
  <si>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</si>
  <si>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</si>
  <si>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</si>
  <si>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</si>
  <si>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</si>
  <si>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</si>
  <si>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</si>
  <si>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</si>
  <si>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</si>
  <si>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</si>
  <si>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</si>
  <si>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</si>
  <si>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</si>
  <si>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</si>
  <si>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</si>
  <si>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</si>
  <si>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</si>
  <si>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</si>
  <si>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</si>
  <si>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</si>
  <si>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</si>
  <si>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</si>
  <si>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</si>
  <si>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</si>
  <si>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</si>
  <si>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</si>
  <si>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</si>
  <si>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</si>
  <si>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</si>
  <si>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</si>
  <si>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</si>
  <si>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</si>
  <si>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</si>
  <si>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</si>
  <si>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</si>
  <si>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</si>
  <si>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</si>
  <si>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</si>
  <si>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</si>
  <si>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</si>
  <si>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</si>
  <si>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</si>
  <si>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</si>
  <si>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</si>
  <si>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</si>
  <si>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</si>
  <si>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</si>
  <si>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</si>
  <si>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</si>
  <si>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</si>
  <si>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</si>
  <si>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</si>
  <si>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</si>
  <si>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</si>
  <si>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</si>
  <si>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</si>
  <si>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</si>
  <si>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</si>
  <si>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</si>
  <si>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</si>
  <si>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</si>
  <si>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</si>
  <si>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</si>
  <si>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</si>
  <si>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</si>
  <si>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</si>
  <si>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</si>
  <si>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</si>
  <si>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</si>
  <si>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</si>
  <si>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</si>
  <si>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</si>
  <si>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</si>
  <si>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</si>
  <si>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</si>
  <si>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</si>
  <si>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</si>
  <si>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</si>
  <si>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</si>
  <si>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</si>
  <si>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</si>
  <si>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</si>
  <si>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</si>
  <si>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</si>
  <si>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</si>
  <si>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</si>
  <si>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</si>
  <si>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</si>
  <si>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</si>
  <si>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</si>
  <si>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</si>
  <si>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</si>
  <si>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</si>
  <si>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</si>
  <si>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</si>
  <si>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</si>
  <si>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</si>
  <si>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</si>
  <si>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</si>
  <si>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</si>
  <si>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</si>
  <si>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</si>
  <si>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</si>
  <si>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</si>
  <si>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</si>
  <si>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</si>
  <si>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</si>
  <si>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</si>
  <si>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</si>
  <si>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</si>
  <si>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</si>
  <si>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</si>
  <si>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</si>
  <si>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</si>
  <si>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</si>
  <si>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</si>
  <si>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</si>
  <si>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</si>
  <si>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</si>
  <si>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</si>
  <si>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</si>
  <si>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</si>
  <si>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</si>
  <si>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</si>
  <si>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</si>
  <si>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</si>
  <si>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</si>
  <si>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</si>
  <si>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</si>
  <si>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</si>
  <si>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</si>
  <si>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</si>
  <si>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</si>
  <si>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</si>
  <si>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</si>
  <si>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</si>
  <si>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</si>
  <si>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</si>
  <si>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</si>
  <si>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</si>
  <si>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</si>
  <si>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</si>
  <si>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</si>
  <si>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</si>
  <si>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</si>
  <si>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</si>
  <si>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</si>
  <si>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</si>
  <si>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</si>
  <si>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</si>
  <si>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</si>
  <si>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</si>
  <si>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</si>
  <si>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</si>
  <si>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</si>
  <si>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</si>
  <si>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</si>
  <si>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</si>
  <si>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</si>
  <si>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</si>
  <si>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</si>
  <si>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</si>
  <si>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</si>
  <si>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</si>
  <si>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</si>
  <si>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</si>
  <si>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</si>
  <si>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</si>
  <si>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</si>
  <si>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</si>
  <si>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</si>
  <si>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</si>
  <si>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</si>
  <si>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</si>
  <si>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</si>
  <si>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</si>
  <si>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</si>
  <si>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</si>
  <si>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</si>
  <si>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</si>
  <si>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</si>
  <si>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</si>
  <si>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</si>
  <si>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</si>
  <si>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</si>
  <si>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</si>
  <si>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</si>
  <si>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</si>
  <si>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</si>
  <si>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</si>
  <si>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</si>
  <si>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</si>
  <si>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</si>
  <si>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</si>
  <si>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</si>
  <si>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</si>
  <si>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</si>
  <si>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</si>
  <si>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</si>
  <si>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</si>
  <si>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</si>
  <si>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</si>
  <si>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</si>
  <si>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</si>
  <si>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</si>
  <si>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</si>
  <si>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</si>
  <si>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</si>
  <si>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</si>
  <si>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</si>
  <si>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</si>
  <si>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</si>
  <si>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</si>
  <si>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</si>
  <si>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</si>
  <si>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</si>
  <si>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</si>
  <si>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</si>
  <si>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</si>
  <si>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</si>
  <si>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</si>
  <si>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</si>
  <si>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</si>
  <si>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</si>
  <si>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</si>
  <si>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</si>
  <si>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</si>
  <si>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</si>
  <si>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</si>
  <si>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</si>
  <si>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</si>
  <si>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</si>
  <si>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</si>
  <si>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</si>
  <si>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</si>
  <si>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</si>
  <si>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</si>
  <si>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</si>
  <si>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</si>
  <si>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</si>
  <si>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</si>
  <si>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</si>
  <si>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</si>
  <si>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</si>
  <si>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</si>
  <si>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</si>
  <si>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</si>
  <si>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</si>
  <si>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</si>
  <si>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</si>
  <si>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</si>
  <si>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</si>
  <si>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</si>
  <si>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</si>
  <si>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</si>
  <si>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</si>
  <si>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</si>
  <si>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</si>
  <si>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</si>
  <si>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</si>
  <si>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</si>
  <si>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</si>
  <si>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</si>
  <si>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</si>
  <si>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</si>
  <si>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</si>
  <si>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</si>
  <si>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</si>
  <si>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</si>
  <si>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</si>
  <si>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</si>
  <si>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</si>
  <si>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</si>
  <si>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</si>
  <si>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</si>
  <si>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</si>
  <si>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</si>
  <si>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</si>
  <si>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</si>
  <si>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</si>
  <si>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</si>
  <si>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</si>
  <si>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</si>
  <si>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</si>
  <si>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</si>
  <si>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</si>
  <si>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</si>
  <si>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</si>
  <si>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</si>
  <si>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</si>
  <si>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</si>
  <si>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</si>
  <si>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</si>
  <si>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</si>
  <si>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</si>
  <si>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</si>
  <si>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</si>
  <si>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</si>
  <si>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</si>
  <si>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</si>
  <si>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</si>
  <si>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</si>
  <si>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</si>
  <si>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</si>
  <si>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</si>
  <si>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</si>
  <si>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</si>
  <si>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</si>
  <si>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</si>
  <si>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</si>
  <si>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</si>
  <si>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</si>
  <si>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</si>
  <si>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</si>
  <si>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</si>
  <si>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</si>
  <si>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</si>
  <si>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</si>
  <si>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</si>
  <si>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</si>
  <si>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</si>
  <si>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</si>
  <si>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</si>
  <si>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</si>
  <si>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</si>
  <si>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</si>
  <si>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</si>
  <si>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</si>
  <si>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</si>
  <si>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</si>
  <si>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</si>
  <si>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</si>
  <si>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</si>
  <si>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</si>
  <si>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</si>
  <si>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</si>
  <si>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</si>
  <si>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</si>
  <si>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</si>
  <si>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</si>
  <si>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</si>
  <si>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</si>
  <si>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</si>
  <si>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</si>
  <si>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</si>
  <si>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</si>
  <si>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</si>
  <si>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</si>
  <si>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</si>
  <si>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</si>
  <si>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</si>
  <si>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</si>
  <si>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</si>
  <si>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</si>
  <si>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</si>
  <si>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</si>
  <si>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</si>
  <si>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</si>
  <si>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</si>
  <si>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</si>
  <si>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</si>
  <si>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</si>
  <si>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</si>
  <si>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</si>
  <si>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</si>
  <si>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</si>
  <si>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</si>
  <si>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</si>
  <si>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</si>
  <si>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</si>
  <si>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</si>
  <si>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</si>
  <si>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</si>
  <si>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</si>
  <si>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</si>
  <si>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</si>
  <si>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</si>
  <si>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</si>
  <si>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</si>
  <si>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</si>
  <si>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</si>
  <si>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</si>
  <si>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</si>
  <si>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</si>
  <si>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</si>
  <si>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</si>
  <si>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</si>
  <si>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</si>
  <si>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</si>
  <si>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</si>
  <si>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</si>
  <si>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</si>
  <si>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</si>
  <si>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</si>
  <si>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</si>
  <si>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</si>
  <si>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</si>
  <si>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</si>
  <si>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</si>
  <si>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</si>
  <si>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</si>
  <si>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纳入评估范围内的建筑面积数据汇总表</t>
    <phoneticPr fontId="134" type="noConversion"/>
  </si>
  <si>
    <t>楼层/业态</t>
    <phoneticPr fontId="134" type="noConversion"/>
  </si>
  <si>
    <t>建筑面积（平方米）</t>
    <phoneticPr fontId="134" type="noConversion"/>
  </si>
  <si>
    <t>商业</t>
    <phoneticPr fontId="134" type="noConversion"/>
  </si>
  <si>
    <t>车位</t>
    <phoneticPr fontId="134" type="noConversion"/>
  </si>
  <si>
    <t>合计</t>
    <phoneticPr fontId="134" type="noConversion"/>
  </si>
  <si>
    <t>文化娱乐</t>
    <phoneticPr fontId="134" type="noConversion"/>
  </si>
  <si>
    <t>地下车位</t>
    <phoneticPr fontId="134" type="noConversion"/>
  </si>
  <si>
    <t>车位个数</t>
    <phoneticPr fontId="134" type="noConversion"/>
  </si>
  <si>
    <t>地上</t>
    <phoneticPr fontId="134" type="noConversion"/>
  </si>
  <si>
    <t>地下</t>
    <phoneticPr fontId="134" type="noConversion"/>
  </si>
  <si>
    <t>合计</t>
    <phoneticPr fontId="134" type="noConversion"/>
  </si>
  <si>
    <t>项目</t>
    <phoneticPr fontId="134" type="noConversion"/>
  </si>
  <si>
    <t>建筑面积</t>
    <phoneticPr fontId="134" type="noConversion"/>
  </si>
  <si>
    <t>坐在楼层/总楼层</t>
    <phoneticPr fontId="134" type="noConversion"/>
  </si>
  <si>
    <t>证载用途</t>
    <phoneticPr fontId="134" type="noConversion"/>
  </si>
  <si>
    <t>实际用途</t>
    <phoneticPr fontId="134" type="noConversion"/>
  </si>
  <si>
    <t>g</t>
    <phoneticPr fontId="134" type="noConversion"/>
  </si>
  <si>
    <t>估价对象1</t>
    <phoneticPr fontId="134" type="noConversion"/>
  </si>
  <si>
    <t>-1-6/19(-3)</t>
    <phoneticPr fontId="134" type="noConversion"/>
  </si>
  <si>
    <t>文化娱乐、商业</t>
    <phoneticPr fontId="134" type="noConversion"/>
  </si>
  <si>
    <t>商业</t>
    <phoneticPr fontId="134" type="noConversion"/>
  </si>
  <si>
    <t>估价对象2</t>
    <phoneticPr fontId="134" type="noConversion"/>
  </si>
  <si>
    <t>-2/19(-3)</t>
    <phoneticPr fontId="134" type="noConversion"/>
  </si>
  <si>
    <t>车位</t>
    <phoneticPr fontId="134" type="noConversion"/>
  </si>
  <si>
    <t>楼号</t>
    <phoneticPr fontId="134" type="noConversion"/>
  </si>
  <si>
    <t>房屋总层数</t>
    <phoneticPr fontId="134" type="noConversion"/>
  </si>
  <si>
    <t>所在层</t>
    <phoneticPr fontId="134" type="noConversion"/>
  </si>
  <si>
    <t>房号</t>
    <phoneticPr fontId="134" type="noConversion"/>
  </si>
  <si>
    <t>结构</t>
    <phoneticPr fontId="134" type="noConversion"/>
  </si>
  <si>
    <t>规划用途</t>
    <phoneticPr fontId="134" type="noConversion"/>
  </si>
  <si>
    <t>地上</t>
    <phoneticPr fontId="134" type="noConversion"/>
  </si>
  <si>
    <t>19（-03）</t>
    <phoneticPr fontId="134" type="noConversion"/>
  </si>
  <si>
    <t>1-6</t>
    <phoneticPr fontId="134" type="noConversion"/>
  </si>
  <si>
    <t>钢混</t>
    <phoneticPr fontId="134" type="noConversion"/>
  </si>
  <si>
    <t>文化娱乐</t>
    <phoneticPr fontId="134" type="noConversion"/>
  </si>
  <si>
    <t>-1-6</t>
    <phoneticPr fontId="134" type="noConversion"/>
  </si>
  <si>
    <t>办公</t>
    <phoneticPr fontId="134" type="noConversion"/>
  </si>
  <si>
    <t>住宅</t>
    <phoneticPr fontId="134" type="noConversion"/>
  </si>
  <si>
    <t>文化娱乐</t>
    <phoneticPr fontId="134" type="noConversion"/>
  </si>
  <si>
    <t>商业</t>
    <phoneticPr fontId="134" type="noConversion"/>
  </si>
  <si>
    <t>地下</t>
    <phoneticPr fontId="134" type="noConversion"/>
  </si>
  <si>
    <t>库房</t>
    <phoneticPr fontId="134" type="noConversion"/>
  </si>
  <si>
    <t>管理用房</t>
    <phoneticPr fontId="134" type="noConversion"/>
  </si>
  <si>
    <t>设备用房</t>
    <phoneticPr fontId="134" type="noConversion"/>
  </si>
  <si>
    <t>自行车库</t>
    <phoneticPr fontId="134" type="noConversion"/>
  </si>
  <si>
    <t>车库</t>
    <phoneticPr fontId="134" type="noConversion"/>
  </si>
  <si>
    <t>估价方法及结果</t>
  </si>
  <si>
    <t>测算结果</t>
  </si>
  <si>
    <t>估价结果</t>
  </si>
  <si>
    <t>估价对象及结果</t>
  </si>
  <si>
    <t>成本法</t>
  </si>
  <si>
    <t>收益法</t>
  </si>
  <si>
    <r>
      <t>估价对象</t>
    </r>
    <r>
      <rPr>
        <sz val="9"/>
        <color rgb="FFE36C0A"/>
        <rFont val="Arial"/>
        <family val="2"/>
      </rPr>
      <t>1</t>
    </r>
  </si>
  <si>
    <t>总价</t>
  </si>
  <si>
    <t>单价</t>
  </si>
  <si>
    <r>
      <t>估价对象</t>
    </r>
    <r>
      <rPr>
        <sz val="9"/>
        <color rgb="FFE36C0A"/>
        <rFont val="Arial"/>
        <family val="2"/>
      </rPr>
      <t>2</t>
    </r>
  </si>
  <si>
    <t>汇总评估价值</t>
  </si>
  <si>
    <t>楼层及用途</t>
  </si>
  <si>
    <r>
      <t>楼层面积（</t>
    </r>
    <r>
      <rPr>
        <sz val="9"/>
        <color theme="1"/>
        <rFont val="Arial"/>
        <family val="2"/>
      </rPr>
      <t>m</t>
    </r>
    <r>
      <rPr>
        <vertAlign val="superscript"/>
        <sz val="9"/>
        <color theme="1"/>
        <rFont val="Arial"/>
        <family val="2"/>
      </rPr>
      <t>2</t>
    </r>
    <r>
      <rPr>
        <sz val="9"/>
        <color theme="1"/>
        <rFont val="华文细黑"/>
        <family val="3"/>
        <charset val="134"/>
      </rPr>
      <t>）</t>
    </r>
  </si>
  <si>
    <r>
      <t>楼面熟地价（或政府土地出让收益）（元</t>
    </r>
    <r>
      <rPr>
        <sz val="9"/>
        <color theme="1"/>
        <rFont val="Arial"/>
        <family val="2"/>
      </rPr>
      <t>/m</t>
    </r>
    <r>
      <rPr>
        <vertAlign val="superscript"/>
        <sz val="9"/>
        <color theme="1"/>
        <rFont val="Arial"/>
        <family val="2"/>
      </rPr>
      <t>2</t>
    </r>
    <r>
      <rPr>
        <sz val="9"/>
        <color theme="1"/>
        <rFont val="华文细黑"/>
        <family val="3"/>
        <charset val="134"/>
      </rPr>
      <t>）</t>
    </r>
  </si>
  <si>
    <t>土地价格（万元）</t>
  </si>
  <si>
    <r>
      <t>地上</t>
    </r>
    <r>
      <rPr>
        <sz val="9"/>
        <color theme="1"/>
        <rFont val="Arial"/>
        <family val="2"/>
      </rPr>
      <t>1</t>
    </r>
    <r>
      <rPr>
        <sz val="9"/>
        <color theme="1"/>
        <rFont val="华文细黑"/>
        <family val="3"/>
        <charset val="134"/>
      </rPr>
      <t>层商业</t>
    </r>
  </si>
  <si>
    <r>
      <t>地上</t>
    </r>
    <r>
      <rPr>
        <sz val="9"/>
        <color theme="1"/>
        <rFont val="Arial"/>
        <family val="2"/>
      </rPr>
      <t>2</t>
    </r>
    <r>
      <rPr>
        <sz val="9"/>
        <color theme="1"/>
        <rFont val="华文细黑"/>
        <family val="3"/>
        <charset val="134"/>
      </rPr>
      <t>层商业</t>
    </r>
  </si>
  <si>
    <r>
      <t>地上</t>
    </r>
    <r>
      <rPr>
        <sz val="9"/>
        <color theme="1"/>
        <rFont val="Arial"/>
        <family val="2"/>
      </rPr>
      <t>3</t>
    </r>
    <r>
      <rPr>
        <sz val="9"/>
        <color theme="1"/>
        <rFont val="华文细黑"/>
        <family val="3"/>
        <charset val="134"/>
      </rPr>
      <t>层商业</t>
    </r>
  </si>
  <si>
    <r>
      <t>地上</t>
    </r>
    <r>
      <rPr>
        <sz val="9"/>
        <color theme="1"/>
        <rFont val="Arial"/>
        <family val="2"/>
      </rPr>
      <t>4</t>
    </r>
    <r>
      <rPr>
        <sz val="9"/>
        <color theme="1"/>
        <rFont val="华文细黑"/>
        <family val="3"/>
        <charset val="134"/>
      </rPr>
      <t>层商业</t>
    </r>
  </si>
  <si>
    <r>
      <t>地上</t>
    </r>
    <r>
      <rPr>
        <sz val="9"/>
        <color theme="1"/>
        <rFont val="Arial"/>
        <family val="2"/>
      </rPr>
      <t>5</t>
    </r>
    <r>
      <rPr>
        <sz val="9"/>
        <color theme="1"/>
        <rFont val="华文细黑"/>
        <family val="3"/>
        <charset val="134"/>
      </rPr>
      <t>层商业</t>
    </r>
  </si>
  <si>
    <r>
      <t>地上</t>
    </r>
    <r>
      <rPr>
        <sz val="9"/>
        <color theme="1"/>
        <rFont val="Arial"/>
        <family val="2"/>
      </rPr>
      <t>6</t>
    </r>
    <r>
      <rPr>
        <sz val="9"/>
        <color theme="1"/>
        <rFont val="华文细黑"/>
        <family val="3"/>
        <charset val="134"/>
      </rPr>
      <t>层商业</t>
    </r>
  </si>
  <si>
    <r>
      <t>地下</t>
    </r>
    <r>
      <rPr>
        <sz val="9"/>
        <color theme="1"/>
        <rFont val="Arial"/>
        <family val="2"/>
      </rPr>
      <t>1</t>
    </r>
    <r>
      <rPr>
        <sz val="9"/>
        <color theme="1"/>
        <rFont val="华文细黑"/>
        <family val="3"/>
        <charset val="134"/>
      </rPr>
      <t>层商业</t>
    </r>
  </si>
  <si>
    <t>小计</t>
  </si>
  <si>
    <r>
      <t>地上</t>
    </r>
    <r>
      <rPr>
        <sz val="9"/>
        <color theme="1"/>
        <rFont val="Arial"/>
        <family val="2"/>
      </rPr>
      <t>1</t>
    </r>
    <r>
      <rPr>
        <sz val="9"/>
        <color theme="1"/>
        <rFont val="华文细黑"/>
        <family val="3"/>
        <charset val="134"/>
      </rPr>
      <t>层文化娱乐</t>
    </r>
  </si>
  <si>
    <r>
      <t>地上</t>
    </r>
    <r>
      <rPr>
        <sz val="9"/>
        <color theme="1"/>
        <rFont val="Arial"/>
        <family val="2"/>
      </rPr>
      <t>2</t>
    </r>
    <r>
      <rPr>
        <sz val="9"/>
        <color theme="1"/>
        <rFont val="华文细黑"/>
        <family val="3"/>
        <charset val="134"/>
      </rPr>
      <t>层文化娱乐</t>
    </r>
  </si>
  <si>
    <r>
      <t>地上</t>
    </r>
    <r>
      <rPr>
        <sz val="9"/>
        <color theme="1"/>
        <rFont val="Arial"/>
        <family val="2"/>
      </rPr>
      <t>3</t>
    </r>
    <r>
      <rPr>
        <sz val="9"/>
        <color theme="1"/>
        <rFont val="华文细黑"/>
        <family val="3"/>
        <charset val="134"/>
      </rPr>
      <t>层文化娱乐</t>
    </r>
  </si>
  <si>
    <r>
      <t>地上</t>
    </r>
    <r>
      <rPr>
        <sz val="9"/>
        <color theme="1"/>
        <rFont val="Arial"/>
        <family val="2"/>
      </rPr>
      <t>4</t>
    </r>
    <r>
      <rPr>
        <sz val="9"/>
        <color theme="1"/>
        <rFont val="华文细黑"/>
        <family val="3"/>
        <charset val="134"/>
      </rPr>
      <t>层文化娱乐</t>
    </r>
  </si>
  <si>
    <r>
      <t>地上</t>
    </r>
    <r>
      <rPr>
        <sz val="9"/>
        <color theme="1"/>
        <rFont val="Arial"/>
        <family val="2"/>
      </rPr>
      <t>5</t>
    </r>
    <r>
      <rPr>
        <sz val="9"/>
        <color theme="1"/>
        <rFont val="华文细黑"/>
        <family val="3"/>
        <charset val="134"/>
      </rPr>
      <t>层文化娱乐</t>
    </r>
  </si>
  <si>
    <r>
      <t>地上</t>
    </r>
    <r>
      <rPr>
        <sz val="9"/>
        <color theme="1"/>
        <rFont val="Arial"/>
        <family val="2"/>
      </rPr>
      <t>6</t>
    </r>
    <r>
      <rPr>
        <sz val="9"/>
        <color theme="1"/>
        <rFont val="华文细黑"/>
        <family val="3"/>
        <charset val="134"/>
      </rPr>
      <t>层文化娱乐</t>
    </r>
  </si>
  <si>
    <t>合计</t>
  </si>
  <si>
    <t>地下车位</t>
  </si>
  <si>
    <t>出让合同</t>
    <phoneticPr fontId="134" type="noConversion"/>
  </si>
  <si>
    <t>补充协议三</t>
    <phoneticPr fontId="134" type="noConversion"/>
  </si>
  <si>
    <t>补充协议四</t>
    <phoneticPr fontId="134" type="noConversion"/>
  </si>
  <si>
    <t>合同编号</t>
    <phoneticPr fontId="134" type="noConversion"/>
  </si>
  <si>
    <t>京地出【合】字（2007）第0048号</t>
    <phoneticPr fontId="134" type="noConversion"/>
  </si>
  <si>
    <t>受让方</t>
    <phoneticPr fontId="134" type="noConversion"/>
  </si>
  <si>
    <t>远洋地产有限公司</t>
    <phoneticPr fontId="134" type="noConversion"/>
  </si>
  <si>
    <t>规划建面</t>
    <phoneticPr fontId="134" type="noConversion"/>
  </si>
  <si>
    <t>中远房地产开发有限公司</t>
    <phoneticPr fontId="134" type="noConversion"/>
  </si>
  <si>
    <t>土地位置</t>
    <phoneticPr fontId="134" type="noConversion"/>
  </si>
  <si>
    <t>朝阳区北四环东路73号住宅及配套项目</t>
    <phoneticPr fontId="134" type="noConversion"/>
  </si>
  <si>
    <t>其中：住宅</t>
    <phoneticPr fontId="134" type="noConversion"/>
  </si>
  <si>
    <t>土地面积</t>
    <phoneticPr fontId="134" type="noConversion"/>
  </si>
  <si>
    <t xml:space="preserve">      商业</t>
    <phoneticPr fontId="134" type="noConversion"/>
  </si>
  <si>
    <t xml:space="preserve">      商业</t>
    <phoneticPr fontId="134" type="noConversion"/>
  </si>
  <si>
    <t>其中：住宅</t>
    <phoneticPr fontId="134" type="noConversion"/>
  </si>
  <si>
    <t>其中：地下车库</t>
    <phoneticPr fontId="134" type="noConversion"/>
  </si>
  <si>
    <t>规划用途</t>
    <phoneticPr fontId="134" type="noConversion"/>
  </si>
  <si>
    <t>住宅、商业金融、公共设施、可兼容配套设施</t>
    <phoneticPr fontId="134" type="noConversion"/>
  </si>
  <si>
    <t>土地规划用途</t>
    <phoneticPr fontId="134" type="noConversion"/>
  </si>
  <si>
    <t>居住、商业金融、公共设施、可兼容配套设施、地下车库、地下办公（物业管理用房）</t>
    <phoneticPr fontId="134" type="noConversion"/>
  </si>
  <si>
    <t>（可建设公寓用途建筑，在取得用地证后签署变更协议，按标准调整地价款）</t>
    <phoneticPr fontId="134" type="noConversion"/>
  </si>
  <si>
    <t>居住、商业金融、公共设施、可兼容配套设施、地下车库</t>
    <phoneticPr fontId="134" type="noConversion"/>
  </si>
  <si>
    <t>出让年限</t>
    <phoneticPr fontId="134" type="noConversion"/>
  </si>
  <si>
    <t>居住（含公寓）：70年；商业40年；地下车库50年</t>
    <phoneticPr fontId="134" type="noConversion"/>
  </si>
  <si>
    <t>居住（含公寓）：70年；商业40年</t>
    <phoneticPr fontId="134" type="noConversion"/>
  </si>
  <si>
    <t>合同签订日起</t>
    <phoneticPr fontId="134" type="noConversion"/>
  </si>
  <si>
    <t>出让金、基础设施配套建设费</t>
    <phoneticPr fontId="134" type="noConversion"/>
  </si>
  <si>
    <t>地价款</t>
    <phoneticPr fontId="134" type="noConversion"/>
  </si>
  <si>
    <t>楼面单价</t>
    <phoneticPr fontId="134" type="noConversion"/>
  </si>
  <si>
    <t>新增</t>
    <phoneticPr fontId="134" type="noConversion"/>
  </si>
  <si>
    <t>（含出让金、基础设施配套建设费、土地开发补偿款）</t>
    <phoneticPr fontId="134" type="noConversion"/>
  </si>
  <si>
    <t>合同签订日</t>
    <phoneticPr fontId="134" type="noConversion"/>
  </si>
  <si>
    <t>工规证</t>
    <phoneticPr fontId="134" type="noConversion"/>
  </si>
  <si>
    <t>不动产权证</t>
    <phoneticPr fontId="134" type="noConversion"/>
  </si>
  <si>
    <t>证号</t>
    <phoneticPr fontId="134" type="noConversion"/>
  </si>
  <si>
    <t>2010规（朝）建字0154号</t>
    <phoneticPr fontId="134" type="noConversion"/>
  </si>
  <si>
    <t>京2018朝不动产权第0106489号</t>
    <phoneticPr fontId="134" type="noConversion"/>
  </si>
  <si>
    <t>建设单位</t>
    <phoneticPr fontId="134" type="noConversion"/>
  </si>
  <si>
    <t>远洋地产有限公司</t>
    <phoneticPr fontId="134" type="noConversion"/>
  </si>
  <si>
    <t>权利人</t>
    <phoneticPr fontId="134" type="noConversion"/>
  </si>
  <si>
    <t>北京睿鸿商业管理有限公司</t>
    <phoneticPr fontId="134" type="noConversion"/>
  </si>
  <si>
    <t>项目名称</t>
    <phoneticPr fontId="134" type="noConversion"/>
  </si>
  <si>
    <t>C3公建楼</t>
    <phoneticPr fontId="134" type="noConversion"/>
  </si>
  <si>
    <t>坐落</t>
    <phoneticPr fontId="134" type="noConversion"/>
  </si>
  <si>
    <t>朝阳区北四环东路73号院1号楼1至6层101，-1至6层102</t>
    <phoneticPr fontId="134" type="noConversion"/>
  </si>
  <si>
    <t>建设位置</t>
    <phoneticPr fontId="134" type="noConversion"/>
  </si>
  <si>
    <t>朝阳区北四环东路</t>
    <phoneticPr fontId="134" type="noConversion"/>
  </si>
  <si>
    <t>不动产单元号</t>
    <phoneticPr fontId="134" type="noConversion"/>
  </si>
  <si>
    <t>110105 025001 GB00527 F00050220等2套房</t>
    <phoneticPr fontId="134" type="noConversion"/>
  </si>
  <si>
    <t>建设规模</t>
    <phoneticPr fontId="134" type="noConversion"/>
  </si>
  <si>
    <t>用途</t>
    <phoneticPr fontId="134" type="noConversion"/>
  </si>
  <si>
    <t>文化娱乐、商业等2种用途</t>
    <phoneticPr fontId="134" type="noConversion"/>
  </si>
  <si>
    <t>面积</t>
    <phoneticPr fontId="134" type="noConversion"/>
  </si>
  <si>
    <t>共有宗地面积</t>
    <phoneticPr fontId="134" type="noConversion"/>
  </si>
  <si>
    <t>项目性质</t>
    <phoneticPr fontId="134" type="noConversion"/>
  </si>
  <si>
    <t>总建筑面积</t>
    <phoneticPr fontId="134" type="noConversion"/>
  </si>
  <si>
    <t>地上</t>
    <phoneticPr fontId="134" type="noConversion"/>
  </si>
  <si>
    <t>人防</t>
    <phoneticPr fontId="134" type="noConversion"/>
  </si>
  <si>
    <t>建筑面积</t>
    <phoneticPr fontId="134" type="noConversion"/>
  </si>
  <si>
    <t>C3号公建楼</t>
    <phoneticPr fontId="134" type="noConversion"/>
  </si>
  <si>
    <t>19层</t>
    <phoneticPr fontId="134" type="noConversion"/>
  </si>
  <si>
    <t>3层</t>
    <phoneticPr fontId="134" type="noConversion"/>
  </si>
  <si>
    <t>办公</t>
    <phoneticPr fontId="134" type="noConversion"/>
  </si>
  <si>
    <t>-1-6</t>
    <phoneticPr fontId="134" type="noConversion"/>
  </si>
  <si>
    <t>地上</t>
  </si>
  <si>
    <t>地下</t>
  </si>
  <si>
    <t>车库—商业</t>
  </si>
  <si>
    <t>住宅</t>
  </si>
  <si>
    <t>是</t>
  </si>
  <si>
    <t>否</t>
  </si>
  <si>
    <t>商业</t>
    <phoneticPr fontId="7" type="noConversion"/>
  </si>
  <si>
    <t>车位</t>
  </si>
  <si>
    <t>车位</t>
    <phoneticPr fontId="7" type="noConversion"/>
  </si>
  <si>
    <t>成新度</t>
  </si>
  <si>
    <t>年</t>
    <phoneticPr fontId="3" type="noConversion"/>
  </si>
  <si>
    <t>利息：取LPR加浮动点数</t>
  </si>
  <si>
    <t>估价对象容积率</t>
  </si>
  <si>
    <t>不临65条商业街</t>
  </si>
  <si>
    <t>与级别开发程度一致</t>
  </si>
  <si>
    <t>楼层修正</t>
  </si>
  <si>
    <t>较好</t>
  </si>
  <si>
    <t>好</t>
  </si>
  <si>
    <t>未包含在土地购买价格中</t>
  </si>
  <si>
    <t>全部缴纳</t>
  </si>
  <si>
    <t>已包含在土地取得成本中</t>
  </si>
  <si>
    <t>现房</t>
  </si>
  <si>
    <t>项目局部</t>
  </si>
  <si>
    <t>情况3</t>
  </si>
  <si>
    <t>正常</t>
  </si>
  <si>
    <t>转让取得</t>
  </si>
  <si>
    <t>收益法 (2)</t>
  </si>
  <si>
    <t>收益法 (2)</t>
    <phoneticPr fontId="16" type="noConversion"/>
  </si>
  <si>
    <t>自定义</t>
  </si>
  <si>
    <t>押一</t>
  </si>
  <si>
    <t>钢混</t>
  </si>
  <si>
    <t>非生产用房</t>
  </si>
  <si>
    <t>基准地价修正 (2)</t>
  </si>
  <si>
    <t>基准地价修正 (2)</t>
    <phoneticPr fontId="16" type="noConversion"/>
  </si>
  <si>
    <t>成本法 (2)</t>
  </si>
  <si>
    <t>成本法 (2)</t>
    <phoneticPr fontId="16" type="noConversion"/>
  </si>
  <si>
    <r>
      <rPr>
        <sz val="10"/>
        <color indexed="8"/>
        <rFont val="宋体"/>
        <family val="3"/>
        <charset val="134"/>
      </rPr>
      <t>商业</t>
    </r>
    <r>
      <rPr>
        <sz val="10"/>
        <color indexed="8"/>
        <rFont val="Arial"/>
        <family val="2"/>
      </rPr>
      <t>+</t>
    </r>
    <r>
      <rPr>
        <sz val="10"/>
        <color indexed="8"/>
        <rFont val="宋体"/>
        <family val="3"/>
        <charset val="134"/>
      </rPr>
      <t>车位总价</t>
    </r>
    <phoneticPr fontId="8" type="noConversion"/>
  </si>
  <si>
    <t>基准地价修正 (3)</t>
  </si>
  <si>
    <t>基准地价修正 (3)</t>
    <phoneticPr fontId="16" type="noConversion"/>
  </si>
  <si>
    <r>
      <t>估价对象</t>
    </r>
    <r>
      <rPr>
        <sz val="9"/>
        <color theme="1"/>
        <rFont val="Arial"/>
        <family val="2"/>
      </rPr>
      <t>1</t>
    </r>
  </si>
  <si>
    <r>
      <t>估价对象</t>
    </r>
    <r>
      <rPr>
        <sz val="9"/>
        <color theme="1"/>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</si>
</sst>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color rgb="FF0070C0"/>
      <name val="宋体"/>
      <family val="3"/>
      <charset val="134"/>
      <scheme val="minor"/>
    </font>
    <font>
      <sz val="9"/>
      <color rgb="FFE36C0A"/>
      <name val="华文细黑"/>
      <family val="3"/>
      <charset val="134"/>
    </font>
    <font>
      <sz val="9"/>
      <color rgb="FFE36C0A"/>
      <name val="Arial"/>
      <family val="2"/>
    </font>
    <font>
      <b/>
      <sz val="9"/>
      <color theme="1"/>
      <name val="Arial"/>
      <family val="2"/>
    </font>
    <font>
      <sz val="9"/>
      <color theme="1"/>
      <name val="Arial"/>
      <family val="2"/>
    </font>
    <font>
      <vertAlign val="superscript"/>
      <sz val="9"/>
      <color theme="1"/>
      <name val="Arial"/>
      <family val="2"/>
    </font>
    <font>
      <b/>
      <sz val="10"/>
      <color rgb="FF0070C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83"/>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style="double">
        <color rgb="FF404040"/>
      </top>
      <bottom/>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style="dotted">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07" fillId="0" borderId="0" xfId="10" applyFont="1">
      <alignment vertical="center"/>
    </xf>
    <xf numFmtId="0" fontId="112" fillId="0" borderId="1" xfId="10" applyFont="1" applyBorder="1">
      <alignment vertical="center"/>
    </xf>
    <xf numFmtId="43" fontId="112" fillId="0" borderId="1" xfId="10" applyNumberFormat="1" applyFont="1" applyBorder="1">
      <alignment vertical="center"/>
    </xf>
    <xf numFmtId="0" fontId="112" fillId="0" borderId="1" xfId="10" applyFont="1" applyBorder="1" applyAlignment="1">
      <alignment horizontal="center" vertical="center"/>
    </xf>
    <xf numFmtId="0" fontId="112" fillId="0" borderId="1" xfId="10" applyFont="1" applyFill="1" applyBorder="1" applyAlignment="1">
      <alignment horizontal="center" vertical="center"/>
    </xf>
    <xf numFmtId="176" fontId="107" fillId="0" borderId="1" xfId="10" applyNumberFormat="1" applyFont="1" applyBorder="1">
      <alignment vertical="center"/>
    </xf>
    <xf numFmtId="0" fontId="107" fillId="0" borderId="1" xfId="10" applyFont="1" applyBorder="1" applyAlignment="1">
      <alignment horizontal="center" vertical="center"/>
    </xf>
    <xf numFmtId="176" fontId="107" fillId="0" borderId="1" xfId="19" applyNumberFormat="1" applyFont="1" applyBorder="1" applyAlignment="1">
      <alignment horizontal="center" vertical="center"/>
    </xf>
    <xf numFmtId="176" fontId="107" fillId="0" borderId="1" xfId="19" applyNumberFormat="1" applyFont="1" applyFill="1" applyBorder="1" applyAlignment="1">
      <alignment horizontal="center" vertical="center"/>
    </xf>
    <xf numFmtId="176" fontId="107" fillId="0" borderId="0" xfId="10" applyNumberFormat="1" applyFont="1">
      <alignment vertical="center"/>
    </xf>
    <xf numFmtId="43" fontId="107" fillId="0" borderId="0" xfId="10" applyNumberFormat="1" applyFont="1">
      <alignment vertical="center"/>
    </xf>
    <xf numFmtId="176" fontId="107" fillId="0" borderId="1" xfId="19" applyNumberFormat="1" applyFont="1" applyBorder="1">
      <alignment vertical="center"/>
    </xf>
    <xf numFmtId="0" fontId="269" fillId="0" borderId="0" xfId="10" applyFont="1">
      <alignment vertical="center"/>
    </xf>
    <xf numFmtId="0" fontId="107" fillId="0" borderId="1" xfId="10" applyFont="1" applyBorder="1">
      <alignment vertical="center"/>
    </xf>
    <xf numFmtId="49" fontId="107" fillId="0" borderId="1" xfId="10" applyNumberFormat="1" applyFont="1" applyBorder="1">
      <alignment vertical="center"/>
    </xf>
    <xf numFmtId="0" fontId="270" fillId="0" borderId="1" xfId="10" applyFont="1" applyBorder="1">
      <alignment vertical="center"/>
    </xf>
    <xf numFmtId="176" fontId="112" fillId="0" borderId="1" xfId="19" applyNumberFormat="1" applyFont="1" applyBorder="1" applyAlignment="1">
      <alignment horizontal="center" vertical="center"/>
    </xf>
    <xf numFmtId="49" fontId="270" fillId="0" borderId="1" xfId="10" applyNumberFormat="1" applyFont="1" applyBorder="1">
      <alignment vertical="center"/>
    </xf>
    <xf numFmtId="9" fontId="107" fillId="0" borderId="0" xfId="20" applyFont="1">
      <alignment vertical="center"/>
    </xf>
    <xf numFmtId="0" fontId="95" fillId="0" borderId="0" xfId="10">
      <alignment vertical="center"/>
    </xf>
    <xf numFmtId="0" fontId="271" fillId="0" borderId="183" xfId="10" applyFont="1" applyBorder="1" applyAlignment="1">
      <alignment vertical="center" wrapText="1"/>
    </xf>
    <xf numFmtId="0" fontId="264" fillId="0" borderId="183" xfId="10" applyFont="1" applyBorder="1" applyAlignment="1">
      <alignment horizontal="justify" vertical="center" wrapText="1"/>
    </xf>
    <xf numFmtId="0" fontId="273" fillId="0" borderId="183" xfId="10" applyFont="1" applyBorder="1" applyAlignment="1">
      <alignment vertical="center" wrapText="1"/>
    </xf>
    <xf numFmtId="0" fontId="264" fillId="0" borderId="187" xfId="10" applyFont="1" applyBorder="1" applyAlignment="1">
      <alignment horizontal="justify" vertical="center" wrapText="1"/>
    </xf>
    <xf numFmtId="0" fontId="273" fillId="0" borderId="187" xfId="10" applyFont="1" applyBorder="1" applyAlignment="1">
      <alignment vertical="center" wrapText="1"/>
    </xf>
    <xf numFmtId="0" fontId="265" fillId="0" borderId="188" xfId="10" applyFont="1" applyBorder="1" applyAlignment="1">
      <alignment vertical="center" wrapText="1"/>
    </xf>
    <xf numFmtId="0" fontId="265" fillId="0" borderId="189" xfId="10" applyFont="1" applyBorder="1" applyAlignment="1">
      <alignment vertical="center" wrapText="1"/>
    </xf>
    <xf numFmtId="0" fontId="265" fillId="0" borderId="190" xfId="10" applyFont="1" applyBorder="1" applyAlignment="1">
      <alignment vertical="center" wrapText="1"/>
    </xf>
    <xf numFmtId="0" fontId="274" fillId="0" borderId="191" xfId="10" applyFont="1" applyBorder="1" applyAlignment="1">
      <alignment vertical="center" wrapText="1"/>
    </xf>
    <xf numFmtId="0" fontId="112" fillId="22" borderId="1" xfId="10" applyFont="1" applyFill="1" applyBorder="1">
      <alignment vertical="center"/>
    </xf>
    <xf numFmtId="0" fontId="107" fillId="19" borderId="1" xfId="10" applyFont="1" applyFill="1" applyBorder="1">
      <alignment vertical="center"/>
    </xf>
    <xf numFmtId="14" fontId="107" fillId="0" borderId="1" xfId="10" applyNumberFormat="1" applyFont="1" applyBorder="1">
      <alignment vertical="center"/>
    </xf>
    <xf numFmtId="0" fontId="276" fillId="22" borderId="1" xfId="10" applyFont="1" applyFill="1" applyBorder="1">
      <alignment vertical="center"/>
    </xf>
    <xf numFmtId="0" fontId="77" fillId="12" borderId="0" xfId="0" applyFont="1" applyFill="1" applyAlignment="1" applyProtection="1">
      <alignment vertical="center"/>
      <protection locked="0"/>
    </xf>
    <xf numFmtId="0" fontId="44" fillId="0" borderId="23" xfId="0" applyFont="1" applyBorder="1" applyAlignment="1" applyProtection="1">
      <alignment vertical="center"/>
      <protection locked="0"/>
    </xf>
    <xf numFmtId="0" fontId="53" fillId="13"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5" fillId="0" borderId="183" xfId="0" applyFont="1" applyBorder="1" applyAlignment="1">
      <alignment vertical="center" wrapText="1"/>
    </xf>
    <xf numFmtId="0" fontId="265" fillId="0" borderId="183" xfId="0" applyFont="1" applyBorder="1" applyAlignment="1">
      <alignment horizontal="justify" vertical="center" wrapText="1"/>
    </xf>
    <xf numFmtId="0" fontId="273" fillId="0" borderId="183" xfId="0" applyFont="1" applyBorder="1" applyAlignment="1">
      <alignment vertical="center" wrapText="1"/>
    </xf>
    <xf numFmtId="0" fontId="265" fillId="0" borderId="187" xfId="0" applyFont="1" applyBorder="1" applyAlignment="1">
      <alignment horizontal="justify" vertical="center" wrapText="1"/>
    </xf>
    <xf numFmtId="0" fontId="273" fillId="0" borderId="187"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64" fillId="0" borderId="178" xfId="10" applyFont="1" applyBorder="1" applyAlignment="1">
      <alignment vertical="center" wrapText="1"/>
    </xf>
    <xf numFmtId="0" fontId="264" fillId="0" borderId="179" xfId="10" applyFont="1" applyBorder="1" applyAlignment="1">
      <alignment vertical="center" wrapText="1"/>
    </xf>
    <xf numFmtId="0" fontId="264" fillId="0" borderId="180" xfId="10" applyFont="1" applyBorder="1" applyAlignment="1">
      <alignment vertical="center" wrapText="1"/>
    </xf>
    <xf numFmtId="0" fontId="264" fillId="0" borderId="184" xfId="10" applyFont="1" applyBorder="1" applyAlignment="1">
      <alignment vertical="center" wrapText="1"/>
    </xf>
    <xf numFmtId="0" fontId="264" fillId="0" borderId="181" xfId="10" applyFont="1" applyBorder="1" applyAlignment="1">
      <alignment vertical="center" wrapText="1"/>
    </xf>
    <xf numFmtId="0" fontId="264" fillId="0" borderId="182" xfId="10" applyFont="1" applyBorder="1" applyAlignment="1">
      <alignment vertical="center" wrapText="1"/>
    </xf>
    <xf numFmtId="0" fontId="271" fillId="0" borderId="185" xfId="10" applyFont="1" applyBorder="1" applyAlignment="1">
      <alignment horizontal="justify" vertical="center" wrapText="1"/>
    </xf>
    <xf numFmtId="0" fontId="271" fillId="0" borderId="184" xfId="10" applyFont="1" applyBorder="1" applyAlignment="1">
      <alignment horizontal="justify" vertical="center" wrapText="1"/>
    </xf>
    <xf numFmtId="0" fontId="264" fillId="0" borderId="185" xfId="10" applyFont="1" applyBorder="1" applyAlignment="1">
      <alignment vertical="center" wrapText="1"/>
    </xf>
    <xf numFmtId="0" fontId="264" fillId="0" borderId="186" xfId="10" applyFont="1" applyBorder="1" applyAlignment="1">
      <alignment vertical="center" wrapText="1"/>
    </xf>
    <xf numFmtId="0" fontId="116" fillId="0" borderId="60" xfId="10" applyFont="1" applyBorder="1" applyAlignment="1">
      <alignment horizontal="center" vertical="center"/>
    </xf>
    <xf numFmtId="0" fontId="112" fillId="0" borderId="1" xfId="10" applyFont="1" applyBorder="1" applyAlignment="1">
      <alignment horizontal="center" vertical="center"/>
    </xf>
    <xf numFmtId="0" fontId="264" fillId="0" borderId="176" xfId="10" applyFont="1" applyBorder="1" applyAlignment="1">
      <alignment horizontal="right" vertical="center" wrapText="1" indent="10"/>
    </xf>
    <xf numFmtId="0" fontId="264" fillId="0" borderId="177" xfId="10" applyFont="1" applyBorder="1" applyAlignment="1">
      <alignment horizontal="right" vertical="center" wrapText="1" indent="1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65" fillId="0" borderId="185" xfId="0" applyFont="1" applyBorder="1" applyAlignment="1">
      <alignment vertical="center" wrapText="1"/>
    </xf>
    <xf numFmtId="0" fontId="265" fillId="0" borderId="186" xfId="0" applyFont="1" applyBorder="1" applyAlignment="1">
      <alignment vertical="center" wrapText="1"/>
    </xf>
    <xf numFmtId="0" fontId="265" fillId="0" borderId="176" xfId="0" applyFont="1" applyBorder="1" applyAlignment="1">
      <alignment horizontal="right" vertical="center" wrapText="1" indent="9"/>
    </xf>
    <xf numFmtId="0" fontId="265" fillId="0" borderId="177" xfId="0" applyFont="1" applyBorder="1" applyAlignment="1">
      <alignment horizontal="right" vertical="center" wrapText="1" indent="9"/>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9" xfId="0" applyFont="1" applyBorder="1" applyAlignment="1">
      <alignment vertical="center" wrapText="1"/>
    </xf>
    <xf numFmtId="0" fontId="265" fillId="0" borderId="180" xfId="0" applyFont="1" applyBorder="1" applyAlignment="1">
      <alignment vertical="center" wrapText="1"/>
    </xf>
    <xf numFmtId="0" fontId="265" fillId="0" borderId="184" xfId="0" applyFont="1" applyBorder="1" applyAlignment="1">
      <alignment vertical="center" wrapText="1"/>
    </xf>
    <xf numFmtId="0" fontId="265" fillId="0" borderId="185" xfId="0" applyFont="1" applyBorder="1" applyAlignment="1">
      <alignment horizontal="justify" vertical="center" wrapText="1"/>
    </xf>
    <xf numFmtId="0" fontId="265" fillId="0" borderId="184" xfId="0" applyFont="1" applyBorder="1" applyAlignment="1">
      <alignment horizontal="justify"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6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4037;&#20316;\2022&#24180;\0-&#26242;&#20572;&#39033;&#30446;\&#21333;&#39033;&#25151;&#22320;&#20135;&#65288;&#23545;&#20844;&#12289;&#21016;&#25964;&#19996;&#65289;&#8212;&#21271;&#20140;&#26410;&#26469;&#22478;&#65288;&#23621;&#28982;&#20043;&#23478;&#65289;%20&#26102;&#28857;2021.12.31&#65288;&#24066;&#22330;&#34892;&#24773;&#19981;&#22909;&#65292;&#39033;&#30446;&#32456;&#27490;&#65289;\&#27979;&#31639;&#21450;&#25253;&#21578;\F02\&#30005;&#31639;&#34920;-&#25151;&#22320;&#20135;-&#36828;&#27915;&#26410;&#26469;&#24191;&#22330;&#36141;&#29289;&#20013;&#24515;&#65288;&#25269;&#25276;&#65289;-0127&#65288;&#21508;&#27004;&#23618;&#38754;&#31215;&#20462;&#259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esktop\&#22320;&#19979;&#36710;&#20301;&#26126;&#3245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1\AppData\Local\Temp\Rar$DIa1216.3124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权属信息"/>
      <sheetName val="经济技术指标"/>
      <sheetName val="面积汇总表"/>
      <sheetName val="地下车位明细"/>
      <sheetName val="办公案例"/>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土地比较法-住宅、综合"/>
      <sheetName val="基准地价修正 (3)"/>
      <sheetName val="基准地价修正"/>
      <sheetName val="土地等级"/>
      <sheetName val="收益法"/>
      <sheetName val="比较法-商业"/>
      <sheetName val="商业案例-偏高"/>
      <sheetName val="商业案例"/>
      <sheetName val="收益法 (元)"/>
      <sheetName val="收益法-酒店模型"/>
      <sheetName val="收益法（汇总）"/>
      <sheetName val="比较法-住宅"/>
      <sheetName val="典型户型修正"/>
      <sheetName val="结果表-车位"/>
      <sheetName val="比较法-车位"/>
      <sheetName val="车位案例"/>
      <sheetName val="成本法 (2)"/>
      <sheetName val="基准地价修正 (2)"/>
      <sheetName val="收益法 （车位）"/>
      <sheetName val="车位租金"/>
      <sheetName val="比较法-办公"/>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29">
          <cell r="N29">
            <v>62397.950000000004</v>
          </cell>
        </row>
      </sheetData>
      <sheetData sheetId="10"/>
      <sheetData sheetId="11"/>
      <sheetData sheetId="12"/>
      <sheetData sheetId="13"/>
      <sheetData sheetId="14">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成本法 (2)</v>
          </cell>
        </row>
        <row r="21">
          <cell r="A21" t="str">
            <v>车库</v>
          </cell>
          <cell r="B21" t="str">
            <v>基准地价修正 (2)</v>
          </cell>
        </row>
        <row r="22">
          <cell r="A22" t="str">
            <v>戊类库房</v>
          </cell>
          <cell r="B22" t="str">
            <v>基准地价修正 (3)</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一层商业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5"/>
      <sheetData sheetId="16"/>
      <sheetData sheetId="17"/>
      <sheetData sheetId="18">
        <row r="3">
          <cell r="E3">
            <v>64978.17</v>
          </cell>
        </row>
        <row r="17">
          <cell r="C17" t="str">
            <v>项目类型</v>
          </cell>
        </row>
        <row r="19">
          <cell r="C19" t="str">
            <v>商业</v>
          </cell>
          <cell r="E19">
            <v>62397.95</v>
          </cell>
        </row>
        <row r="20">
          <cell r="C20" t="str">
            <v>车库</v>
          </cell>
          <cell r="E20">
            <v>2580.219999999998</v>
          </cell>
        </row>
        <row r="21">
          <cell r="C21" t="str">
            <v>一层商业</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sheetData sheetId="22"/>
      <sheetData sheetId="23">
        <row r="10">
          <cell r="C10">
            <v>1248</v>
          </cell>
        </row>
      </sheetData>
      <sheetData sheetId="24"/>
      <sheetData sheetId="25"/>
      <sheetData sheetId="2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7"/>
      <sheetData sheetId="28"/>
      <sheetData sheetId="29"/>
      <sheetData sheetId="30"/>
      <sheetData sheetId="31">
        <row r="61">
          <cell r="A61" t="str">
            <v>交易情况</v>
          </cell>
          <cell r="C61" t="str">
            <v>正常</v>
          </cell>
        </row>
        <row r="63">
          <cell r="B63" t="str">
            <v>用途</v>
          </cell>
          <cell r="C63" t="str">
            <v>商业</v>
          </cell>
        </row>
        <row r="86">
          <cell r="B86" t="str">
            <v>临街状况</v>
          </cell>
          <cell r="C86" t="str">
            <v>三面临街</v>
          </cell>
          <cell r="D86" t="str">
            <v>双面临街</v>
          </cell>
          <cell r="E86" t="str">
            <v>单面临街</v>
          </cell>
          <cell r="F86" t="str">
            <v>不临街</v>
          </cell>
        </row>
        <row r="90">
          <cell r="B90" t="str">
            <v>人流量</v>
          </cell>
          <cell r="C90" t="str">
            <v>较大</v>
          </cell>
          <cell r="D90" t="str">
            <v>一般</v>
          </cell>
          <cell r="E90" t="str">
            <v>较小</v>
          </cell>
        </row>
        <row r="92">
          <cell r="B92" t="str">
            <v>楼层</v>
          </cell>
          <cell r="C92" t="str">
            <v>1层</v>
          </cell>
        </row>
        <row r="100">
          <cell r="B100" t="str">
            <v>商业类型</v>
          </cell>
          <cell r="C100" t="str">
            <v>购物中心</v>
          </cell>
          <cell r="D100" t="str">
            <v>临街商业</v>
          </cell>
          <cell r="E100" t="str">
            <v>社区底商</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cell r="F112" t="str">
            <v>四通</v>
          </cell>
        </row>
        <row r="114">
          <cell r="B114" t="str">
            <v>业态</v>
          </cell>
        </row>
        <row r="116">
          <cell r="B116" t="str">
            <v>层高</v>
          </cell>
        </row>
        <row r="120">
          <cell r="B120" t="str">
            <v>进深比</v>
          </cell>
          <cell r="C120" t="str">
            <v>较适宜</v>
          </cell>
        </row>
        <row r="122">
          <cell r="B122" t="str">
            <v>内部装修</v>
          </cell>
          <cell r="C122" t="str">
            <v>精装</v>
          </cell>
          <cell r="D122" t="str">
            <v>普装</v>
          </cell>
          <cell r="E122" t="str">
            <v>毛坯</v>
          </cell>
        </row>
      </sheetData>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cell r="G17" t="str">
            <v>5层</v>
          </cell>
          <cell r="H17" t="str">
            <v>6层</v>
          </cell>
          <cell r="I17" t="str">
            <v>负1层</v>
          </cell>
        </row>
      </sheetData>
      <sheetData sheetId="39"/>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较好</v>
          </cell>
        </row>
        <row r="88">
          <cell r="B88" t="str">
            <v>物业等级</v>
          </cell>
        </row>
        <row r="93">
          <cell r="B93" t="str">
            <v>车位类型</v>
          </cell>
          <cell r="C93" t="str">
            <v>住宅</v>
          </cell>
          <cell r="D93" t="str">
            <v>商业综合体</v>
          </cell>
        </row>
        <row r="95">
          <cell r="B95" t="str">
            <v>是否直接入户</v>
          </cell>
          <cell r="C95" t="str">
            <v>是</v>
          </cell>
        </row>
      </sheetData>
      <sheetData sheetId="41"/>
      <sheetData sheetId="42"/>
      <sheetData sheetId="43"/>
      <sheetData sheetId="44"/>
      <sheetData sheetId="45"/>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5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下车位面积"/>
    </sheetNames>
    <sheetDataSet>
      <sheetData sheetId="0">
        <row r="4">
          <cell r="D4">
            <v>49.58</v>
          </cell>
        </row>
        <row r="57">
          <cell r="D57">
            <v>2580.219999999998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估价对象为北京市房地产，为所有。根据《国有土地使用证》[]，估价对象（分摊）出让国有建设用地使用权面积为13077.01平方米，建筑面积为64978.17平方米。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估价对象为北京市房地产,属开发建设的，该项目尚在开发建设中。根据《国有土地使用证》[]，估价对象（分摊）出让国有建设用地使用权面积为13077.01平方米，规划建筑面积为64978.17平方米。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192043</v>
      </c>
    </row>
    <row r="21" spans="1:2" s="1199" customFormat="1">
      <c r="A21" s="1197" t="s">
        <v>537</v>
      </c>
      <c r="B21" s="1198">
        <f ca="1">'预评函-2'!D7</f>
        <v>30777</v>
      </c>
    </row>
    <row r="22" spans="1:2" s="1199" customFormat="1">
      <c r="A22" s="1197" t="s">
        <v>538</v>
      </c>
      <c r="B22" s="1198" t="str">
        <f ca="1">'预评函-2'!D6</f>
        <v>壹拾玖亿贰仟零肆拾叁万元整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192043</v>
      </c>
    </row>
    <row r="31" spans="1:2" s="1199" customFormat="1">
      <c r="A31" s="1197" t="s">
        <v>576</v>
      </c>
      <c r="B31" s="1198">
        <f ca="1">'预评函-2'!D15</f>
        <v>30777</v>
      </c>
    </row>
    <row r="32" spans="1:2" s="1199" customFormat="1">
      <c r="A32" s="1197" t="s">
        <v>543</v>
      </c>
      <c r="B32" s="1198" t="str">
        <f ca="1">'预评函-2'!D14</f>
        <v>壹拾玖亿贰仟零肆拾叁万元整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64978.17</v>
      </c>
    </row>
    <row r="44" spans="1:2" s="1199" customFormat="1">
      <c r="A44" s="1197" t="s">
        <v>575</v>
      </c>
      <c r="B44" s="1198" t="str">
        <f>'预评函-3'!C2</f>
        <v>(分摊)土地面积</v>
      </c>
    </row>
    <row r="45" spans="1:2" s="1199" customFormat="1">
      <c r="A45" s="1197" t="s">
        <v>547</v>
      </c>
      <c r="B45" s="1198">
        <f>'预评函-3'!C4</f>
        <v>13077.01</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82" t="s">
        <v>956</v>
      </c>
      <c r="B15" s="3577" t="s">
        <v>109</v>
      </c>
      <c r="C15" s="3578"/>
    </row>
    <row r="16" spans="1:7" ht="13.5">
      <c r="A16" s="3583"/>
      <c r="B16" s="3577" t="s">
        <v>42</v>
      </c>
      <c r="C16" s="3578"/>
    </row>
    <row r="17" spans="1:3" ht="13.5">
      <c r="A17" s="3583"/>
      <c r="B17" s="3580" t="s">
        <v>957</v>
      </c>
      <c r="C17" s="1528" t="s">
        <v>956</v>
      </c>
    </row>
    <row r="18" spans="1:3" ht="13.5">
      <c r="A18" s="3583"/>
      <c r="B18" s="3580"/>
      <c r="C18" s="1528" t="s">
        <v>958</v>
      </c>
    </row>
    <row r="19" spans="1:3" ht="13.5">
      <c r="A19" s="3583"/>
      <c r="B19" s="3580"/>
      <c r="C19" s="1528" t="s">
        <v>959</v>
      </c>
    </row>
    <row r="20" spans="1:3" ht="13.5">
      <c r="A20" s="3584"/>
      <c r="B20" s="3579" t="s">
        <v>960</v>
      </c>
      <c r="C20" s="3578"/>
    </row>
    <row r="21" spans="1:3" ht="13.5">
      <c r="A21" s="1529" t="s">
        <v>961</v>
      </c>
      <c r="B21" s="1530"/>
      <c r="C21" s="1531"/>
    </row>
    <row r="22" spans="1:3" ht="13.5">
      <c r="A22" s="3581" t="s">
        <v>962</v>
      </c>
      <c r="B22" s="3579" t="s">
        <v>963</v>
      </c>
      <c r="C22" s="3578"/>
    </row>
    <row r="23" spans="1:3" ht="13.5">
      <c r="A23" s="3581"/>
      <c r="B23" s="3579" t="s">
        <v>964</v>
      </c>
      <c r="C23" s="3578"/>
    </row>
    <row r="24" spans="1:3" ht="13.5">
      <c r="A24" s="3581"/>
      <c r="B24" s="3579" t="s">
        <v>965</v>
      </c>
      <c r="C24" s="3578"/>
    </row>
    <row r="25" spans="1:3" ht="13.5">
      <c r="A25" s="3581"/>
      <c r="B25" s="3580" t="s">
        <v>966</v>
      </c>
      <c r="C25" s="1528" t="s">
        <v>967</v>
      </c>
    </row>
    <row r="26" spans="1:3" ht="13.5">
      <c r="A26" s="3581"/>
      <c r="B26" s="3580"/>
      <c r="C26" s="1528" t="s">
        <v>968</v>
      </c>
    </row>
    <row r="27" spans="1:3" ht="13.5">
      <c r="A27" s="3581"/>
      <c r="B27" s="3580"/>
      <c r="C27" s="1528" t="s">
        <v>969</v>
      </c>
    </row>
    <row r="28" spans="1:3" ht="13.5">
      <c r="A28" s="3581"/>
      <c r="B28" s="3580"/>
      <c r="C28" s="1528" t="s">
        <v>970</v>
      </c>
    </row>
    <row r="29" spans="1:3" ht="13.5">
      <c r="A29" s="3581"/>
      <c r="B29" s="3580"/>
      <c r="C29" s="1528" t="s">
        <v>971</v>
      </c>
    </row>
    <row r="30" spans="1:3" ht="13.5">
      <c r="A30" s="3581"/>
      <c r="B30" s="3580"/>
      <c r="C30" s="1528" t="s">
        <v>972</v>
      </c>
    </row>
    <row r="31" spans="1:3" ht="13.5">
      <c r="A31" s="3581"/>
      <c r="B31" s="3580"/>
      <c r="C31" s="1528" t="s">
        <v>973</v>
      </c>
    </row>
    <row r="32" spans="1:3" ht="13.5">
      <c r="A32" s="3581"/>
      <c r="B32" s="3580"/>
      <c r="C32" s="1528" t="s">
        <v>974</v>
      </c>
    </row>
    <row r="33" spans="1:3" ht="13.5">
      <c r="A33" s="3581"/>
      <c r="B33" s="358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45027</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85" t="s">
        <v>2160</v>
      </c>
      <c r="B17" s="3585"/>
      <c r="C17" s="3585"/>
      <c r="D17" s="3585"/>
      <c r="E17" s="3585"/>
      <c r="F17" s="3585"/>
      <c r="G17" s="3585"/>
      <c r="H17" s="3585"/>
    </row>
    <row r="18" spans="1:8" ht="24" customHeight="1">
      <c r="A18" s="3586" t="s">
        <v>2161</v>
      </c>
      <c r="B18" s="3586"/>
      <c r="C18" s="3586"/>
      <c r="D18" s="2339"/>
      <c r="E18" s="3587" t="s">
        <v>2162</v>
      </c>
      <c r="F18" s="3586"/>
      <c r="G18" s="358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9" priority="53">
      <formula>AND($C4-TODAY()&lt;30,TODAY()&lt;$C4)</formula>
    </cfRule>
  </conditionalFormatting>
  <conditionalFormatting sqref="C20:D20">
    <cfRule type="expression" dxfId="258" priority="52">
      <formula>AND($C20-TODAY()&lt;30,TODAY()&lt;$C20)</formula>
    </cfRule>
  </conditionalFormatting>
  <conditionalFormatting sqref="C20:D20 G4 C4:D5 C13:D13">
    <cfRule type="cellIs" dxfId="257" priority="54" stopIfTrue="1" operator="lessThan">
      <formula>$B$2</formula>
    </cfRule>
  </conditionalFormatting>
  <conditionalFormatting sqref="G5 G7 G9">
    <cfRule type="cellIs" dxfId="256" priority="51" stopIfTrue="1" operator="lessThan">
      <formula>$B$2</formula>
    </cfRule>
  </conditionalFormatting>
  <conditionalFormatting sqref="C6:D6 D14 D16">
    <cfRule type="expression" dxfId="255" priority="49">
      <formula>AND($C6-TODAY()&lt;30,TODAY()&lt;$C6)</formula>
    </cfRule>
  </conditionalFormatting>
  <conditionalFormatting sqref="G6 G8 G10 C6:D6 D7:D12 D14 D16">
    <cfRule type="cellIs" dxfId="254" priority="50" stopIfTrue="1" operator="lessThan">
      <formula>$B$2</formula>
    </cfRule>
  </conditionalFormatting>
  <conditionalFormatting sqref="D12">
    <cfRule type="expression" dxfId="253" priority="47">
      <formula>AND($C12-TODAY()&lt;30,TODAY()&lt;$C12)</formula>
    </cfRule>
  </conditionalFormatting>
  <conditionalFormatting sqref="D12">
    <cfRule type="cellIs" dxfId="252" priority="48" stopIfTrue="1" operator="lessThan">
      <formula>$B$2</formula>
    </cfRule>
  </conditionalFormatting>
  <conditionalFormatting sqref="C13:D13">
    <cfRule type="expression" dxfId="251" priority="45">
      <formula>AND($C13-TODAY()&lt;30,TODAY()&lt;$C13)</formula>
    </cfRule>
  </conditionalFormatting>
  <conditionalFormatting sqref="C13:D13">
    <cfRule type="cellIs" dxfId="250" priority="46" stopIfTrue="1" operator="lessThan">
      <formula>$B$2</formula>
    </cfRule>
  </conditionalFormatting>
  <conditionalFormatting sqref="D14">
    <cfRule type="expression" dxfId="249" priority="43">
      <formula>AND($C14-TODAY()&lt;30,TODAY()&lt;$C14)</formula>
    </cfRule>
  </conditionalFormatting>
  <conditionalFormatting sqref="D14">
    <cfRule type="cellIs" dxfId="248" priority="44" stopIfTrue="1" operator="lessThan">
      <formula>$B$2</formula>
    </cfRule>
  </conditionalFormatting>
  <conditionalFormatting sqref="G13">
    <cfRule type="cellIs" dxfId="247" priority="42" stopIfTrue="1" operator="lessThan">
      <formula>$B$2</formula>
    </cfRule>
  </conditionalFormatting>
  <conditionalFormatting sqref="B4:B11 F4:F11 B13 F13:F14">
    <cfRule type="cellIs" dxfId="246" priority="41" stopIfTrue="1" operator="equal">
      <formula>"已过期"</formula>
    </cfRule>
  </conditionalFormatting>
  <conditionalFormatting sqref="C7">
    <cfRule type="cellIs" dxfId="245" priority="38" stopIfTrue="1" operator="lessThan">
      <formula>$B$2</formula>
    </cfRule>
  </conditionalFormatting>
  <conditionalFormatting sqref="C7">
    <cfRule type="expression" dxfId="244" priority="37">
      <formula>AND($C7-TODAY()&lt;30,TODAY()&lt;$C7)</formula>
    </cfRule>
  </conditionalFormatting>
  <conditionalFormatting sqref="C8">
    <cfRule type="expression" dxfId="243" priority="35">
      <formula>AND($C8-TODAY()&lt;30,TODAY()&lt;$C8)</formula>
    </cfRule>
  </conditionalFormatting>
  <conditionalFormatting sqref="C8">
    <cfRule type="cellIs" dxfId="242" priority="36" stopIfTrue="1" operator="lessThan">
      <formula>$B$2</formula>
    </cfRule>
  </conditionalFormatting>
  <conditionalFormatting sqref="C11">
    <cfRule type="expression" dxfId="241" priority="33">
      <formula>AND($C11-TODAY()&lt;30,TODAY()&lt;$C11)</formula>
    </cfRule>
  </conditionalFormatting>
  <conditionalFormatting sqref="C11">
    <cfRule type="cellIs" dxfId="240" priority="34" stopIfTrue="1" operator="lessThan">
      <formula>$B$2</formula>
    </cfRule>
  </conditionalFormatting>
  <conditionalFormatting sqref="A16:C16">
    <cfRule type="cellIs" dxfId="239" priority="32" stopIfTrue="1" operator="equal">
      <formula>"已过期"</formula>
    </cfRule>
  </conditionalFormatting>
  <conditionalFormatting sqref="E16:G16">
    <cfRule type="cellIs" dxfId="238" priority="31" stopIfTrue="1" operator="equal">
      <formula>"已过期"</formula>
    </cfRule>
  </conditionalFormatting>
  <conditionalFormatting sqref="G11">
    <cfRule type="cellIs" dxfId="237" priority="30"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2">
    <cfRule type="cellIs" dxfId="234" priority="27" stopIfTrue="1" operator="lessThan">
      <formula>$B$2</formula>
    </cfRule>
  </conditionalFormatting>
  <conditionalFormatting sqref="C12">
    <cfRule type="expression" dxfId="233" priority="25">
      <formula>AND($C12-TODAY()&lt;30,TODAY()&lt;$C12)</formula>
    </cfRule>
  </conditionalFormatting>
  <conditionalFormatting sqref="C12">
    <cfRule type="cellIs" dxfId="232" priority="26" stopIfTrue="1" operator="lessThan">
      <formula>$B$2</formula>
    </cfRule>
  </conditionalFormatting>
  <conditionalFormatting sqref="B12">
    <cfRule type="cellIs" dxfId="231" priority="24" stopIfTrue="1" operator="equal">
      <formula>"已过期"</formula>
    </cfRule>
  </conditionalFormatting>
  <conditionalFormatting sqref="C9:C10">
    <cfRule type="expression" dxfId="230" priority="22">
      <formula>AND($C9-TODAY()&lt;30,TODAY()&lt;$C9)</formula>
    </cfRule>
  </conditionalFormatting>
  <conditionalFormatting sqref="C9:C10">
    <cfRule type="cellIs" dxfId="229" priority="23" stopIfTrue="1" operator="lessThan">
      <formula>$B$2</formula>
    </cfRule>
  </conditionalFormatting>
  <conditionalFormatting sqref="G21">
    <cfRule type="expression" dxfId="228" priority="20" stopIfTrue="1">
      <formula>AND(#REF!-TODAY()&lt;30,TODAY()&lt;#REF!)</formula>
    </cfRule>
  </conditionalFormatting>
  <conditionalFormatting sqref="G21">
    <cfRule type="cellIs" dxfId="227" priority="21" stopIfTrue="1" operator="lessThan">
      <formula>$B$2</formula>
    </cfRule>
  </conditionalFormatting>
  <conditionalFormatting sqref="C14">
    <cfRule type="expression" dxfId="226" priority="18">
      <formula>AND($C14-TODAY()&lt;30,TODAY()&lt;$C14)</formula>
    </cfRule>
  </conditionalFormatting>
  <conditionalFormatting sqref="C14">
    <cfRule type="cellIs" dxfId="225" priority="19" stopIfTrue="1" operator="lessThan">
      <formula>$B$2</formula>
    </cfRule>
  </conditionalFormatting>
  <conditionalFormatting sqref="C14">
    <cfRule type="expression" dxfId="224" priority="16">
      <formula>AND($C14-TODAY()&lt;30,TODAY()&lt;$C14)</formula>
    </cfRule>
  </conditionalFormatting>
  <conditionalFormatting sqref="C14">
    <cfRule type="cellIs" dxfId="223" priority="17" stopIfTrue="1" operator="lessThan">
      <formula>$B$2</formula>
    </cfRule>
  </conditionalFormatting>
  <conditionalFormatting sqref="B14">
    <cfRule type="cellIs" dxfId="222" priority="15" stopIfTrue="1" operator="equal">
      <formula>"已过期"</formula>
    </cfRule>
  </conditionalFormatting>
  <conditionalFormatting sqref="G14">
    <cfRule type="cellIs" dxfId="221" priority="14" stopIfTrue="1" operator="lessThan">
      <formula>$B$2</formula>
    </cfRule>
  </conditionalFormatting>
  <conditionalFormatting sqref="D15">
    <cfRule type="expression" dxfId="220" priority="12">
      <formula>AND($C15-TODAY()&lt;30,TODAY()&lt;$C15)</formula>
    </cfRule>
  </conditionalFormatting>
  <conditionalFormatting sqref="D15">
    <cfRule type="cellIs" dxfId="219" priority="13" stopIfTrue="1" operator="lessThan">
      <formula>$B$2</formula>
    </cfRule>
  </conditionalFormatting>
  <conditionalFormatting sqref="D15">
    <cfRule type="expression" dxfId="218" priority="10">
      <formula>AND($C15-TODAY()&lt;30,TODAY()&lt;$C15)</formula>
    </cfRule>
  </conditionalFormatting>
  <conditionalFormatting sqref="D15">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C15">
    <cfRule type="expression" dxfId="215" priority="7">
      <formula>AND($C15-TODAY()&lt;30,TODAY()&lt;$C15)</formula>
    </cfRule>
  </conditionalFormatting>
  <conditionalFormatting sqref="C15">
    <cfRule type="cellIs" dxfId="214" priority="8" stopIfTrue="1" operator="lessThan">
      <formula>$B$2</formula>
    </cfRule>
  </conditionalFormatting>
  <conditionalFormatting sqref="C15">
    <cfRule type="expression" dxfId="213" priority="5">
      <formula>AND($C15-TODAY()&lt;30,TODAY()&lt;$C15)</formula>
    </cfRule>
  </conditionalFormatting>
  <conditionalFormatting sqref="C15">
    <cfRule type="cellIs" dxfId="212" priority="6" stopIfTrue="1" operator="lessThan">
      <formula>$B$2</formula>
    </cfRule>
  </conditionalFormatting>
  <conditionalFormatting sqref="B15">
    <cfRule type="cellIs" dxfId="211" priority="4" stopIfTrue="1" operator="equal">
      <formula>"已过期"</formula>
    </cfRule>
  </conditionalFormatting>
  <conditionalFormatting sqref="G15">
    <cfRule type="cellIs" dxfId="210" priority="3" stopIfTrue="1" operator="lessThan">
      <formula>$B$2</formula>
    </cfRule>
  </conditionalFormatting>
  <conditionalFormatting sqref="G20">
    <cfRule type="expression" dxfId="209" priority="1" stopIfTrue="1">
      <formula>AND(#REF!-TODAY()&lt;30,TODAY()&lt;#REF!)</formula>
    </cfRule>
  </conditionalFormatting>
  <conditionalFormatting sqref="G20">
    <cfRule type="cellIs" dxfId="20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I17" sqref="I17"/>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2580</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2581</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2293</v>
      </c>
      <c r="C17" s="1543"/>
    </row>
    <row r="18" spans="1:3">
      <c r="A18" s="1542" t="s">
        <v>1046</v>
      </c>
      <c r="B18" s="1542" t="s">
        <v>2436</v>
      </c>
      <c r="C18" s="1543"/>
    </row>
    <row r="19" spans="1:3">
      <c r="A19" s="1542" t="s">
        <v>1047</v>
      </c>
      <c r="B19" s="1542" t="s">
        <v>3552</v>
      </c>
      <c r="C19" s="1543"/>
    </row>
    <row r="20" spans="1:3">
      <c r="A20" s="1542" t="s">
        <v>1048</v>
      </c>
      <c r="B20" s="1542" t="s">
        <v>3558</v>
      </c>
      <c r="C20" s="1543"/>
    </row>
    <row r="21" spans="1:3">
      <c r="A21" s="1542" t="s">
        <v>1049</v>
      </c>
      <c r="B21" s="1542" t="s">
        <v>3560</v>
      </c>
      <c r="C21" s="1543"/>
    </row>
    <row r="22" spans="1:3">
      <c r="A22" s="1542" t="s">
        <v>1050</v>
      </c>
      <c r="B22" s="1542" t="s">
        <v>3563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8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8"/>
      <c r="B54" s="1550" t="s">
        <v>385</v>
      </c>
      <c r="C54" s="1547" t="s">
        <v>583</v>
      </c>
    </row>
    <row r="55" spans="1:4">
      <c r="A55" s="3588"/>
      <c r="B55" s="1550" t="s">
        <v>386</v>
      </c>
      <c r="C55" s="1547" t="s">
        <v>584</v>
      </c>
    </row>
    <row r="56" spans="1:4">
      <c r="A56" s="3588"/>
      <c r="B56" s="1550" t="s">
        <v>387</v>
      </c>
      <c r="C56" s="1547" t="s">
        <v>588</v>
      </c>
    </row>
    <row r="57" spans="1:4">
      <c r="A57" s="358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89" t="s">
        <v>2583</v>
      </c>
      <c r="J2" s="3589"/>
      <c r="K2" s="3589"/>
      <c r="L2" s="3589"/>
      <c r="M2" s="3589"/>
      <c r="N2" s="3589"/>
      <c r="O2" s="3589"/>
      <c r="P2" s="3589"/>
      <c r="Q2" s="3589"/>
      <c r="R2" s="3589"/>
    </row>
    <row r="3" spans="1:18">
      <c r="A3" s="3016" t="s">
        <v>2504</v>
      </c>
      <c r="B3" s="3017">
        <f>项目基本情况!D3</f>
        <v>45005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N14" sqref="N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90" t="str">
        <f>IF(B10="北京市","北京市",C10)&amp;F10&amp;IF(结果表!G1="在建","出让国有建设用地使用权及在建建筑物",IF(结果表!G1="土地","出让国有建设用地使用权",))&amp;B9&amp;"预评估"</f>
        <v>北京市房地产抵押价值预评估</v>
      </c>
      <c r="C1" s="3591"/>
      <c r="D1" s="3591"/>
      <c r="E1" s="3591"/>
      <c r="F1" s="3591"/>
      <c r="G1" s="3591"/>
      <c r="H1" s="3591"/>
      <c r="I1" s="359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2170</v>
      </c>
      <c r="B3" s="2369"/>
      <c r="C3" s="2370" t="s">
        <v>2171</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3378</v>
      </c>
      <c r="C8" s="2386"/>
      <c r="D8" s="3593" t="s">
        <v>2177</v>
      </c>
      <c r="E8" s="2387"/>
      <c r="F8" s="2388"/>
      <c r="G8" s="2659"/>
      <c r="H8" s="2659"/>
      <c r="I8" s="2659"/>
      <c r="J8" s="2435"/>
      <c r="K8" s="2610"/>
      <c r="L8" s="2609"/>
      <c r="M8" s="2609"/>
      <c r="N8" s="2435"/>
      <c r="O8" s="2446"/>
      <c r="P8" s="2435"/>
      <c r="Q8" s="2435"/>
      <c r="R8" s="2435"/>
    </row>
    <row r="9" spans="1:30" ht="13.5" thickBot="1">
      <c r="A9" s="2389" t="s">
        <v>2178</v>
      </c>
      <c r="B9" s="2390" t="s">
        <v>3379</v>
      </c>
      <c r="C9" s="2391"/>
      <c r="D9" s="3594"/>
      <c r="E9" s="2390"/>
      <c r="F9" s="2392"/>
      <c r="G9" s="2661"/>
      <c r="H9" s="2661"/>
      <c r="I9" s="2661"/>
      <c r="J9" s="2435"/>
      <c r="K9" s="2612"/>
      <c r="L9" s="2609"/>
      <c r="M9" s="2609"/>
      <c r="N9" s="2435"/>
      <c r="O9" s="2446"/>
      <c r="P9" s="2435"/>
      <c r="Q9" s="2435"/>
      <c r="R9" s="2435"/>
    </row>
    <row r="10" spans="1:30" ht="13.5" thickTop="1">
      <c r="A10" s="2393" t="s">
        <v>2179</v>
      </c>
      <c r="B10" s="2394" t="s">
        <v>3380</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3381</v>
      </c>
      <c r="C11" s="2399"/>
      <c r="D11" s="2400"/>
      <c r="E11" s="2366"/>
      <c r="F11" s="2366"/>
      <c r="G11" s="2366"/>
      <c r="H11" s="2366"/>
      <c r="I11" s="2366"/>
      <c r="J11" s="3057"/>
      <c r="K11" s="3056"/>
      <c r="L11" s="2609"/>
      <c r="M11" s="2609"/>
      <c r="N11" s="2435"/>
      <c r="O11" s="2446"/>
      <c r="P11" s="2435"/>
      <c r="Q11" s="2435"/>
      <c r="R11" s="2435"/>
    </row>
    <row r="12" spans="1:30">
      <c r="A12" s="2401" t="s">
        <v>2182</v>
      </c>
      <c r="B12" s="322"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1"/>
    </row>
    <row r="13" spans="1:30">
      <c r="A13" s="3419" t="s">
        <v>3339</v>
      </c>
      <c r="B13" s="2403" t="s">
        <v>2190</v>
      </c>
      <c r="C13" s="852">
        <v>64710</v>
      </c>
      <c r="D13" s="852">
        <v>53752</v>
      </c>
      <c r="E13" s="852">
        <v>57405</v>
      </c>
      <c r="F13" s="852">
        <f>E13</f>
        <v>57405</v>
      </c>
      <c r="G13" s="852"/>
      <c r="H13" s="852"/>
      <c r="I13" s="852"/>
      <c r="J13" s="3058"/>
      <c r="K13" s="2609"/>
      <c r="L13" s="2609"/>
      <c r="M13" s="2435"/>
      <c r="N13" s="2446"/>
      <c r="O13" s="2435"/>
      <c r="P13" s="2435"/>
      <c r="Q13" s="2435"/>
      <c r="AD13" s="1741"/>
    </row>
    <row r="14" spans="1:30">
      <c r="A14" s="1077"/>
      <c r="B14" s="2403" t="s">
        <v>2191</v>
      </c>
      <c r="C14" s="2404">
        <v>70</v>
      </c>
      <c r="D14" s="2404">
        <v>40</v>
      </c>
      <c r="E14" s="2404">
        <v>50</v>
      </c>
      <c r="F14" s="2404">
        <v>50</v>
      </c>
      <c r="G14" s="2404"/>
      <c r="H14" s="2404"/>
      <c r="I14" s="2404"/>
      <c r="J14" s="3059"/>
      <c r="K14" s="2609"/>
      <c r="L14" s="2609"/>
      <c r="M14" s="2435"/>
      <c r="N14" s="2446"/>
      <c r="O14" s="2435"/>
      <c r="P14" s="2435"/>
      <c r="Q14" s="2435"/>
      <c r="AD14" s="1741"/>
    </row>
    <row r="15" spans="1:30">
      <c r="A15" s="319"/>
      <c r="B15" s="2405" t="s">
        <v>2192</v>
      </c>
      <c r="C15" s="2406">
        <f>IF(A13="出让",IF(C13="","",ROUNDDOWN(MIN((C13-$D$3)/365,C14),2)),C14)</f>
        <v>53.98</v>
      </c>
      <c r="D15" s="2406">
        <f>IF(A13="出让",IF(D13="","",ROUNDDOWN(MIN((D13-$D$3)/365,D14),2)),D14)</f>
        <v>23.96</v>
      </c>
      <c r="E15" s="2406">
        <f>IF(A13="出让",IF(E13="","",ROUNDDOWN(MIN((E13-$D$3)/365,E14),2)),E14)</f>
        <v>33.97</v>
      </c>
      <c r="F15" s="2406">
        <f>IF(A13="出让",IF(F13="","",ROUNDDOWN(MIN((F13-$D$3)/365,F14),2)),F14)</f>
        <v>33.97</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600"/>
      <c r="C16" s="3601"/>
      <c r="D16" s="3602"/>
      <c r="E16" s="2409" t="s">
        <v>2194</v>
      </c>
      <c r="F16" s="3603"/>
      <c r="G16" s="3604"/>
      <c r="H16" s="3604"/>
      <c r="I16" s="3605"/>
      <c r="J16" s="2435"/>
      <c r="K16" s="2613"/>
      <c r="L16" s="2447"/>
      <c r="M16" s="2447"/>
      <c r="N16" s="2505"/>
      <c r="O16" s="2447"/>
      <c r="P16" s="2505"/>
      <c r="Q16" s="2435"/>
      <c r="R16" s="2435"/>
    </row>
    <row r="17" spans="1:28">
      <c r="A17" s="312" t="s">
        <v>2195</v>
      </c>
      <c r="B17" s="301" t="s">
        <v>2196</v>
      </c>
      <c r="C17" s="8">
        <f>'数据-汇总表'!E3</f>
        <v>64978.17</v>
      </c>
      <c r="D17" s="2318" t="s">
        <v>2197</v>
      </c>
      <c r="E17" s="3606" t="s">
        <v>2198</v>
      </c>
      <c r="F17" s="3607"/>
      <c r="G17" s="3607"/>
      <c r="H17" s="3607"/>
      <c r="I17" s="3608"/>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13077.01</v>
      </c>
      <c r="D18" s="1088" t="s">
        <v>2201</v>
      </c>
      <c r="E18" s="3609" t="s">
        <v>2202</v>
      </c>
      <c r="F18" s="3610"/>
      <c r="G18" s="3610"/>
      <c r="H18" s="3610"/>
      <c r="I18" s="3611"/>
      <c r="J18" s="2435"/>
      <c r="K18" s="2614"/>
      <c r="L18" s="2447"/>
      <c r="M18" s="2447"/>
      <c r="N18" s="2505"/>
      <c r="O18" s="2447"/>
      <c r="P18" s="2505"/>
      <c r="Q18" s="2435"/>
      <c r="R18" s="2435"/>
      <c r="S18" s="2435"/>
      <c r="T18" s="2435"/>
      <c r="U18" s="2435"/>
      <c r="V18" s="2435"/>
    </row>
    <row r="19" spans="1:28" ht="37.5" thickTop="1" thickBot="1">
      <c r="A19" s="326" t="s">
        <v>1055</v>
      </c>
      <c r="B19" s="306"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96" t="s">
        <v>2206</v>
      </c>
      <c r="C20" s="3597"/>
      <c r="D20" s="3598" t="s">
        <v>2207</v>
      </c>
      <c r="E20" s="3599"/>
      <c r="F20" s="2643" t="s">
        <v>1056</v>
      </c>
      <c r="G20" s="2660"/>
      <c r="H20" s="2660"/>
      <c r="I20" s="2660"/>
      <c r="J20" s="2435"/>
      <c r="K20" s="359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9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9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13" t="s">
        <v>2214</v>
      </c>
      <c r="B27" s="319"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13"/>
      <c r="B28" s="301"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13"/>
      <c r="B29" s="301"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14"/>
      <c r="B30" s="301" t="s">
        <v>2218</v>
      </c>
      <c r="C30" s="3615"/>
      <c r="D30" s="3616"/>
      <c r="E30" s="2660"/>
      <c r="F30" s="2660"/>
      <c r="G30" s="2660"/>
      <c r="H30" s="2660"/>
      <c r="I30" s="2660"/>
      <c r="J30" s="2435"/>
      <c r="K30" s="2612"/>
      <c r="L30" s="2609"/>
      <c r="M30" s="2609"/>
      <c r="N30" s="2435"/>
      <c r="O30" s="2446"/>
      <c r="P30" s="2435"/>
      <c r="Q30" s="2435"/>
      <c r="R30" s="2435"/>
      <c r="S30" s="2435"/>
      <c r="T30" s="2435"/>
      <c r="U30" s="2435"/>
      <c r="V30" s="2435"/>
    </row>
    <row r="31" spans="1:28">
      <c r="A31" s="3617"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1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1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2220</v>
      </c>
      <c r="B34" s="2022"/>
      <c r="C34" s="2022"/>
      <c r="D34" s="2022"/>
      <c r="E34" s="2022"/>
      <c r="F34" s="2022"/>
      <c r="G34" s="2022"/>
      <c r="H34" s="2022"/>
      <c r="I34" s="2660"/>
      <c r="J34" s="2435"/>
      <c r="K34" s="2423">
        <f>COUNTIF(B34:H34,"——")</f>
        <v>0</v>
      </c>
      <c r="L34" s="322" t="s">
        <v>2221</v>
      </c>
      <c r="M34" s="322" t="s">
        <v>2222</v>
      </c>
      <c r="N34" s="322" t="s">
        <v>2223</v>
      </c>
      <c r="O34" s="322" t="s">
        <v>2224</v>
      </c>
      <c r="P34" s="322" t="s">
        <v>2225</v>
      </c>
      <c r="Q34" s="322" t="s">
        <v>2226</v>
      </c>
      <c r="R34" s="322" t="s">
        <v>2227</v>
      </c>
      <c r="S34" s="3612" t="s">
        <v>2228</v>
      </c>
      <c r="T34" s="2424" t="str">
        <f>NUMBERSTRING(7-K34,1)&amp;"通"</f>
        <v>七通</v>
      </c>
      <c r="U34" s="2435"/>
      <c r="V34" s="2435"/>
    </row>
    <row r="35" spans="1:30">
      <c r="A35" s="2425"/>
      <c r="B35" s="3619" t="s">
        <v>2229</v>
      </c>
      <c r="C35" s="3619"/>
      <c r="D35" s="3619"/>
      <c r="E35" s="3619"/>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12"/>
      <c r="T35" s="328" t="str">
        <f>IF(T34="一通",L35,IF(T34="二通",M35,IF(T34="三通",N35,IF(T34="四通",O35,IF(T34="五通",P35,IF(T34="六通",Q35,R35))))))</f>
        <v>、、、、、、</v>
      </c>
      <c r="U35" s="2435"/>
      <c r="V35" s="2435"/>
    </row>
    <row r="36" spans="1:30">
      <c r="A36" s="2426"/>
      <c r="B36" s="663" t="s">
        <v>2185</v>
      </c>
      <c r="C36" s="663" t="s">
        <v>2186</v>
      </c>
      <c r="D36" s="663" t="s">
        <v>2184</v>
      </c>
      <c r="E36" s="663"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t="s">
        <v>110</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2952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权属信息!K24</f>
        <v>35886.519999999997</v>
      </c>
      <c r="B3" s="11">
        <f>IF(C3="否",G5-AT5,G5)</f>
        <v>178316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178316</v>
      </c>
      <c r="H5" s="13">
        <f t="shared" ref="H5:AT5" si="0">SUM(H13:H656)</f>
        <v>167263</v>
      </c>
      <c r="I5" s="13">
        <f t="shared" si="0"/>
        <v>55417</v>
      </c>
      <c r="J5" s="13">
        <f t="shared" si="0"/>
        <v>0</v>
      </c>
      <c r="K5" s="13">
        <f t="shared" si="0"/>
        <v>12204.38</v>
      </c>
      <c r="L5" s="13">
        <f t="shared" si="0"/>
        <v>0</v>
      </c>
      <c r="M5" s="13">
        <f t="shared" si="0"/>
        <v>32348</v>
      </c>
      <c r="N5" s="13">
        <f t="shared" si="0"/>
        <v>0</v>
      </c>
      <c r="O5" s="13">
        <f t="shared" si="0"/>
        <v>780.6200000000008</v>
      </c>
      <c r="P5" s="13">
        <f t="shared" si="0"/>
        <v>0</v>
      </c>
      <c r="Q5" s="13">
        <f t="shared" si="0"/>
        <v>33499</v>
      </c>
      <c r="R5" s="13">
        <f t="shared" si="0"/>
        <v>0</v>
      </c>
      <c r="S5" s="13">
        <f t="shared" si="0"/>
        <v>33014</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11053</v>
      </c>
      <c r="AD5" s="13">
        <f t="shared" si="0"/>
        <v>0</v>
      </c>
      <c r="AE5" s="13">
        <f t="shared" si="0"/>
        <v>0</v>
      </c>
      <c r="AF5" s="13">
        <f t="shared" si="0"/>
        <v>0</v>
      </c>
      <c r="AG5" s="13">
        <f t="shared" si="0"/>
        <v>0</v>
      </c>
      <c r="AH5" s="13">
        <f t="shared" si="0"/>
        <v>2208</v>
      </c>
      <c r="AI5" s="13">
        <f t="shared" si="0"/>
        <v>0</v>
      </c>
      <c r="AJ5" s="13">
        <f t="shared" si="0"/>
        <v>0</v>
      </c>
      <c r="AK5" s="13">
        <f t="shared" si="0"/>
        <v>0</v>
      </c>
      <c r="AL5" s="13">
        <f t="shared" si="0"/>
        <v>8845</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64978.17</v>
      </c>
      <c r="BA5" s="15">
        <f t="shared" si="1"/>
        <v>64978.17</v>
      </c>
      <c r="BB5" s="15">
        <f t="shared" si="1"/>
        <v>50193.57</v>
      </c>
      <c r="BC5" s="15">
        <f t="shared" si="1"/>
        <v>12204.38</v>
      </c>
      <c r="BD5" s="15">
        <f t="shared" si="1"/>
        <v>2580.219999999998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35886.519999999997</v>
      </c>
      <c r="F6" s="13" t="s">
        <v>0</v>
      </c>
      <c r="G6" s="13" t="s">
        <v>1</v>
      </c>
      <c r="H6" s="17">
        <f>SUMIF(I$12:AB$12,"总值",I6:AB6)</f>
        <v>33662.07</v>
      </c>
      <c r="I6" s="13">
        <f t="shared" ref="I6:AB6" si="2">ROUND($A$3*I5/$B$3,2)</f>
        <v>11152.8</v>
      </c>
      <c r="J6" s="13">
        <f t="shared" si="2"/>
        <v>0</v>
      </c>
      <c r="K6" s="13">
        <f t="shared" si="2"/>
        <v>2456.16</v>
      </c>
      <c r="L6" s="13">
        <f t="shared" si="2"/>
        <v>0</v>
      </c>
      <c r="M6" s="13">
        <f t="shared" si="2"/>
        <v>6510.11</v>
      </c>
      <c r="N6" s="13">
        <f t="shared" si="2"/>
        <v>0</v>
      </c>
      <c r="O6" s="13">
        <f t="shared" si="2"/>
        <v>157.1</v>
      </c>
      <c r="P6" s="13">
        <f t="shared" si="2"/>
        <v>0</v>
      </c>
      <c r="Q6" s="13">
        <f t="shared" si="2"/>
        <v>6741.75</v>
      </c>
      <c r="R6" s="13">
        <f t="shared" si="2"/>
        <v>0</v>
      </c>
      <c r="S6" s="13">
        <f t="shared" si="2"/>
        <v>6644.15</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2224.4499999999998</v>
      </c>
      <c r="AD6" s="13">
        <f t="shared" ref="AD6:AS6" si="3">ROUND($A$3*AD5/$B$3,2)</f>
        <v>0</v>
      </c>
      <c r="AE6" s="13">
        <f t="shared" si="3"/>
        <v>0</v>
      </c>
      <c r="AF6" s="13">
        <f t="shared" si="3"/>
        <v>0</v>
      </c>
      <c r="AG6" s="13">
        <f t="shared" si="3"/>
        <v>0</v>
      </c>
      <c r="AH6" s="13">
        <f t="shared" si="3"/>
        <v>444.37</v>
      </c>
      <c r="AI6" s="13">
        <f t="shared" si="3"/>
        <v>0</v>
      </c>
      <c r="AJ6" s="13">
        <f t="shared" si="3"/>
        <v>0</v>
      </c>
      <c r="AK6" s="13">
        <f t="shared" si="3"/>
        <v>0</v>
      </c>
      <c r="AL6" s="13">
        <f t="shared" si="3"/>
        <v>1780.08</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13077.01</v>
      </c>
      <c r="AZ6" s="13" t="s">
        <v>2</v>
      </c>
      <c r="BA6" s="13">
        <f>ROUND($AY$6*BA5/$AZ$5,2)</f>
        <v>13077.01</v>
      </c>
      <c r="BB6" s="13">
        <f>ROUND($AY$6*BB5/$AZ$5,2)</f>
        <v>10101.57</v>
      </c>
      <c r="BC6" s="13">
        <f t="shared" ref="BC6:BH6" si="4">ROUND($AY$6*BC5/$AZ$5,2)</f>
        <v>2456.16</v>
      </c>
      <c r="BD6" s="13">
        <f t="shared" si="4"/>
        <v>519.28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3525</v>
      </c>
      <c r="J9" s="805"/>
      <c r="K9" s="1599" t="s">
        <v>3526</v>
      </c>
      <c r="L9" s="805"/>
      <c r="M9" s="1599" t="s">
        <v>3526</v>
      </c>
      <c r="N9" s="805"/>
      <c r="O9" s="1599" t="s">
        <v>3525</v>
      </c>
      <c r="P9" s="805"/>
      <c r="Q9" s="1599" t="s">
        <v>3526</v>
      </c>
      <c r="R9" s="805"/>
      <c r="S9" s="1599" t="s">
        <v>3525</v>
      </c>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673</v>
      </c>
      <c r="J10" s="805"/>
      <c r="K10" s="1605" t="s">
        <v>673</v>
      </c>
      <c r="L10" s="805"/>
      <c r="M10" s="1605" t="s">
        <v>3527</v>
      </c>
      <c r="N10" s="805"/>
      <c r="O10" s="1605" t="s">
        <v>3341</v>
      </c>
      <c r="P10" s="805"/>
      <c r="Q10" s="1605" t="s">
        <v>3528</v>
      </c>
      <c r="R10" s="805"/>
      <c r="S10" s="1605" t="s">
        <v>21</v>
      </c>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t="str">
        <f>O9</f>
        <v>地上</v>
      </c>
      <c r="BF10" s="26" t="str">
        <f>Q9</f>
        <v>地下</v>
      </c>
      <c r="BG10" s="26" t="str">
        <f>S9</f>
        <v>地上</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t="str">
        <f>O10</f>
        <v>仓储</v>
      </c>
      <c r="BF11" s="1595" t="str">
        <f>Q10</f>
        <v>住宅</v>
      </c>
      <c r="BG11" s="1595" t="str">
        <f>S10</f>
        <v>办公</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3529</v>
      </c>
      <c r="E13" s="13">
        <f>IF($C$3="是",ROUND($A$3*G13/$B$3,2),ROUND($A$3*(G13-AT13)/$B$3,2))</f>
        <v>13077.01</v>
      </c>
      <c r="F13" s="29"/>
      <c r="G13" s="30">
        <f>H13+AC13+AT13</f>
        <v>64978.17</v>
      </c>
      <c r="H13" s="17">
        <f>SUMIF(I$12:AB$12,"总值",I13:AB13)</f>
        <v>64978.17</v>
      </c>
      <c r="I13" s="1622">
        <f>面积汇总表!H3</f>
        <v>50193.57</v>
      </c>
      <c r="J13" s="1622"/>
      <c r="K13" s="1622">
        <f>面积汇总表!H4</f>
        <v>12204.38</v>
      </c>
      <c r="L13" s="1622"/>
      <c r="M13" s="1622">
        <f>面积汇总表!I4</f>
        <v>2580.219999999998</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13077.01</v>
      </c>
      <c r="AZ13" s="13">
        <f>BA13+BL13</f>
        <v>64978.17</v>
      </c>
      <c r="BA13" s="13">
        <f>SUM(BB13:BK13)</f>
        <v>64978.17</v>
      </c>
      <c r="BB13" s="13">
        <f>IF($D13="是",I13-J13,0)</f>
        <v>50193.57</v>
      </c>
      <c r="BC13" s="13">
        <f>IF($D13="是",K13-L13,0)</f>
        <v>12204.38</v>
      </c>
      <c r="BD13" s="13">
        <f>IF($D13="是",M13-N13,0)</f>
        <v>2580.219999999998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t="s">
        <v>3530</v>
      </c>
      <c r="E14" s="13">
        <f>IF($C$3="是",ROUND($A$3*G14/$B$3,2),ROUND($A$3*(G14-AT14)/$B$3,2))</f>
        <v>22809.51</v>
      </c>
      <c r="F14" s="29"/>
      <c r="G14" s="30">
        <f>H14+AC14+AT14</f>
        <v>113337.83000000002</v>
      </c>
      <c r="H14" s="17">
        <f>SUMIF(I$12:AB$12,"总值",I14:AB14)</f>
        <v>102284.83000000002</v>
      </c>
      <c r="I14" s="1622">
        <f>面积汇总表!M23+面积汇总表!M24-I13</f>
        <v>5223.43</v>
      </c>
      <c r="J14" s="1622"/>
      <c r="K14" s="1622"/>
      <c r="L14" s="1622"/>
      <c r="M14" s="1622">
        <f>面积汇总表!M31-'数据-基础表'!M13</f>
        <v>29767.780000000002</v>
      </c>
      <c r="N14" s="1622"/>
      <c r="O14" s="1622">
        <f>面积汇总表!M27-('数据-基础表'!K13-面积汇总表!M26)</f>
        <v>780.6200000000008</v>
      </c>
      <c r="P14" s="1622"/>
      <c r="Q14" s="1622">
        <f>面积汇总表!M22</f>
        <v>33499</v>
      </c>
      <c r="R14" s="1622"/>
      <c r="S14" s="1622">
        <f>面积汇总表!M21</f>
        <v>33014</v>
      </c>
      <c r="T14" s="1622"/>
      <c r="U14" s="1622"/>
      <c r="V14" s="1622"/>
      <c r="W14" s="1622"/>
      <c r="X14" s="1622"/>
      <c r="Y14" s="1622"/>
      <c r="Z14" s="1622"/>
      <c r="AA14" s="1622"/>
      <c r="AB14" s="1622"/>
      <c r="AC14" s="13">
        <f>SUMIF(AD$12:AS$12,"总值",AD14:AS14)</f>
        <v>11053</v>
      </c>
      <c r="AD14" s="1623"/>
      <c r="AE14" s="1623"/>
      <c r="AF14" s="1623"/>
      <c r="AG14" s="1623"/>
      <c r="AH14" s="1623">
        <f>面积汇总表!M28</f>
        <v>2208</v>
      </c>
      <c r="AI14" s="1623"/>
      <c r="AJ14" s="1623"/>
      <c r="AK14" s="1623"/>
      <c r="AL14" s="1623">
        <f>面积汇总表!M29+面积汇总表!M30</f>
        <v>8845</v>
      </c>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0" sqref="L1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29" t="s">
        <v>1131</v>
      </c>
      <c r="B2" s="3629"/>
      <c r="C2" s="3629"/>
      <c r="D2" s="792" t="s">
        <v>1107</v>
      </c>
      <c r="E2" s="1635" t="s">
        <v>1108</v>
      </c>
      <c r="F2" s="2655"/>
      <c r="G2" s="2646"/>
      <c r="H2" s="2647"/>
      <c r="I2" s="2321" t="s">
        <v>1132</v>
      </c>
      <c r="J2" s="2655"/>
      <c r="K2" s="2655"/>
      <c r="L2" s="2655"/>
      <c r="M2" s="2655"/>
      <c r="N2" s="2657"/>
      <c r="O2" s="2655"/>
      <c r="P2" s="2655"/>
    </row>
    <row r="3" spans="1:16" ht="15.75" thickBot="1">
      <c r="A3" s="3630" t="s">
        <v>1105</v>
      </c>
      <c r="B3" s="3630"/>
      <c r="C3" s="3630"/>
      <c r="D3" s="43">
        <f>'数据-基础表'!AY6</f>
        <v>13077.01</v>
      </c>
      <c r="E3" s="43">
        <f>'数据-基础表'!AZ5</f>
        <v>64978.17</v>
      </c>
      <c r="F3" s="2655"/>
      <c r="G3" s="1141"/>
      <c r="H3" s="1022" t="s">
        <v>1106</v>
      </c>
      <c r="I3" s="851">
        <f>ROUND('数据-基础表'!B3/'数据-基础表'!A3,2)</f>
        <v>4.97</v>
      </c>
      <c r="J3" s="2655"/>
      <c r="K3" s="2655"/>
      <c r="L3" s="2655"/>
      <c r="M3" s="2655"/>
      <c r="N3" s="2657"/>
      <c r="O3" s="2655"/>
      <c r="P3" s="2655"/>
    </row>
    <row r="4" spans="1:16" ht="15">
      <c r="A4" s="3631"/>
      <c r="B4" s="3632"/>
      <c r="C4" s="3633"/>
      <c r="D4" s="1637" t="s">
        <v>1107</v>
      </c>
      <c r="E4" s="1638" t="s">
        <v>1108</v>
      </c>
      <c r="F4" s="2655"/>
      <c r="G4" s="2648" t="s">
        <v>1133</v>
      </c>
      <c r="H4" s="1022" t="s">
        <v>1113</v>
      </c>
      <c r="I4" s="851">
        <f>ROUND(SUMIF('数据-基础表'!I9:AS9,"地上",'数据-基础表'!I5:AS5)/'数据-基础表'!A3,2)</f>
        <v>2.79</v>
      </c>
      <c r="J4" s="2655"/>
      <c r="K4" s="2655"/>
      <c r="L4" s="2655"/>
      <c r="M4" s="2655"/>
      <c r="N4" s="2657"/>
      <c r="O4" s="2655"/>
      <c r="P4" s="2655"/>
    </row>
    <row r="5" spans="1:16">
      <c r="A5" s="44" t="s">
        <v>1109</v>
      </c>
      <c r="B5" s="3634" t="s">
        <v>1110</v>
      </c>
      <c r="C5" s="3634"/>
      <c r="D5" s="45">
        <f>ROUND($D$3*E5/$E$3,2)</f>
        <v>0</v>
      </c>
      <c r="E5" s="46">
        <f>SUMIF('数据-基础表'!$11:$11,"住宅",'数据-基础表'!$5:$5)</f>
        <v>0</v>
      </c>
      <c r="F5" s="2655"/>
      <c r="G5" s="1141"/>
      <c r="H5" s="1022" t="s">
        <v>1106</v>
      </c>
      <c r="I5" s="851">
        <f>ROUND(E31/D31,2)</f>
        <v>4.97</v>
      </c>
      <c r="J5" s="2655"/>
      <c r="K5" s="2655"/>
      <c r="L5" s="2655"/>
      <c r="M5" s="2655"/>
      <c r="N5" s="2655"/>
      <c r="O5" s="2655"/>
      <c r="P5" s="2655"/>
    </row>
    <row r="6" spans="1:16" ht="15" thickBot="1">
      <c r="A6" s="1640"/>
      <c r="B6" s="3634" t="s">
        <v>1111</v>
      </c>
      <c r="C6" s="3634"/>
      <c r="D6" s="45">
        <f>ROUND($D$3*E6/$E$3,2)</f>
        <v>13077.01</v>
      </c>
      <c r="E6" s="46">
        <f>E3-E5</f>
        <v>64978.17</v>
      </c>
      <c r="F6" s="2655"/>
      <c r="G6" s="2649" t="s">
        <v>1112</v>
      </c>
      <c r="H6" s="1142" t="s">
        <v>1113</v>
      </c>
      <c r="I6" s="2650">
        <f>ROUND(F31/D31,2)</f>
        <v>3.84</v>
      </c>
      <c r="J6" s="2655"/>
      <c r="K6" s="2655"/>
      <c r="L6" s="2655"/>
      <c r="M6" s="2655"/>
      <c r="N6" s="2655"/>
      <c r="O6" s="2655"/>
      <c r="P6" s="2655"/>
    </row>
    <row r="7" spans="1:16" ht="15.75" thickBot="1">
      <c r="A7" s="3626"/>
      <c r="B7" s="3627"/>
      <c r="C7" s="3628"/>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10101.57</v>
      </c>
      <c r="E8" s="48">
        <f>SUMIF('数据-基础表'!BB10:BK10,"地上",'数据-基础表'!BB5:BK5)</f>
        <v>50193.57</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2456.16</v>
      </c>
      <c r="E10" s="48">
        <f>SUMPRODUCT(('数据-基础表'!BB10:BK10="地下")*('数据-基础表'!BB11:BK11="商业")*('数据-基础表'!BB5:BK5))</f>
        <v>12204.38</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519.28</v>
      </c>
      <c r="E14" s="48">
        <f>SUMPRODUCT(('数据-基础表'!BB10:BK10="地下")*('数据-基础表'!BB11:BK11="车库—商业")*('数据-基础表'!BB5:BK5))</f>
        <v>2580.219999999998</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13077.01</v>
      </c>
      <c r="E16" s="50">
        <f>SUM(E8:E15)</f>
        <v>64978.17</v>
      </c>
      <c r="F16" s="2655"/>
      <c r="G16" s="2656"/>
      <c r="H16" s="1644" t="s">
        <v>1135</v>
      </c>
      <c r="I16" s="1645"/>
      <c r="J16" s="1135"/>
      <c r="K16" s="3623" t="s">
        <v>1135</v>
      </c>
      <c r="L16" s="3624"/>
      <c r="M16" s="3624"/>
      <c r="N16" s="3624"/>
      <c r="O16" s="3624"/>
      <c r="P16" s="3625"/>
    </row>
    <row r="17" spans="1:19" ht="15">
      <c r="A17" s="1646" t="s">
        <v>1136</v>
      </c>
      <c r="B17" s="1647" t="s">
        <v>1137</v>
      </c>
      <c r="C17" s="1648" t="s">
        <v>1138</v>
      </c>
      <c r="D17" s="1649" t="s">
        <v>1126</v>
      </c>
      <c r="E17" s="1650" t="s">
        <v>1127</v>
      </c>
      <c r="F17" s="1651"/>
      <c r="G17" s="1652"/>
      <c r="H17" s="1653" t="s">
        <v>1139</v>
      </c>
      <c r="I17" s="1654" t="s">
        <v>1124</v>
      </c>
      <c r="J17" s="1135"/>
      <c r="K17" s="3620" t="s">
        <v>1140</v>
      </c>
      <c r="L17" s="3621"/>
      <c r="M17" s="3622"/>
      <c r="N17" s="3620" t="s">
        <v>1141</v>
      </c>
      <c r="O17" s="3621"/>
      <c r="P17" s="3622"/>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3531</v>
      </c>
      <c r="D19" s="45">
        <f>ROUND($D$3*E19/$E$3,2)</f>
        <v>12557.73</v>
      </c>
      <c r="E19" s="53">
        <f t="shared" ref="E19:E26" si="1">SUM(F19:G19)</f>
        <v>62397.95</v>
      </c>
      <c r="F19" s="2791">
        <f>'数据-基础表'!I13</f>
        <v>50193.57</v>
      </c>
      <c r="G19" s="2792">
        <f>'数据-基础表'!K13</f>
        <v>12204.38</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12557.73</v>
      </c>
      <c r="S19" s="1023">
        <f t="shared" si="5"/>
        <v>62397.95</v>
      </c>
    </row>
    <row r="20" spans="1:19">
      <c r="A20" s="1666"/>
      <c r="B20" s="47" t="s">
        <v>1153</v>
      </c>
      <c r="C20" s="3413" t="s">
        <v>3533</v>
      </c>
      <c r="D20" s="45">
        <f t="shared" ref="D20:D26" si="6">ROUND($D$3*E20/$E$3,2)</f>
        <v>519.28</v>
      </c>
      <c r="E20" s="53">
        <f t="shared" si="1"/>
        <v>2580.219999999998</v>
      </c>
      <c r="F20" s="2791"/>
      <c r="G20" s="2792">
        <f>'数据-基础表'!M13</f>
        <v>2580.219999999998</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519.28</v>
      </c>
      <c r="S20" s="1023">
        <f t="shared" si="5"/>
        <v>2580.219999999998</v>
      </c>
    </row>
    <row r="21" spans="1:19">
      <c r="A21" s="1666"/>
      <c r="B21" s="47" t="s">
        <v>1153</v>
      </c>
      <c r="C21" s="3413"/>
      <c r="D21" s="45">
        <f t="shared" si="6"/>
        <v>0</v>
      </c>
      <c r="E21" s="53">
        <f t="shared" si="1"/>
        <v>0</v>
      </c>
      <c r="F21" s="2791"/>
      <c r="G21" s="2792"/>
      <c r="H21" s="669">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13077.01</v>
      </c>
      <c r="E27" s="1137">
        <f>IF(SUM(E19:E26)='数据-基础表'!BA5,SUM(E19:E26),IF(F27="地上面积有误","面积有误","地下面积有误"))</f>
        <v>64978.17</v>
      </c>
      <c r="F27" s="1136">
        <f>IF(SUM(F19:F26)=E8,SUM(F19:F26),"地上面积有误")</f>
        <v>50193.57</v>
      </c>
      <c r="G27" s="1138">
        <f>SUM(G19:G26)</f>
        <v>14784.599999999997</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13077.01</v>
      </c>
      <c r="S27" s="1022">
        <f>IF(SUM(S19:S26)=$E$3,SUM(S19:S26),SUM(S19:S26)&amp;"误差"&amp;ROUND(SUM(S19:S26)-E3,2))</f>
        <v>64978.17</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5">
        <f>D27+D30</f>
        <v>13077.01</v>
      </c>
      <c r="E31" s="675">
        <f>E27+E30</f>
        <v>64978.17</v>
      </c>
      <c r="F31" s="676">
        <f>F27+F30</f>
        <v>50193.57</v>
      </c>
      <c r="G31" s="677">
        <f>G27+G30</f>
        <v>14784.599999999997</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6" activePane="bottomRight" state="frozen"/>
      <selection activeCell="C50" sqref="C50"/>
      <selection pane="topRight" activeCell="C50" sqref="C50"/>
      <selection pane="bottomLeft" activeCell="C50" sqref="C50"/>
      <selection pane="bottomRight" activeCell="X11" sqref="X1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45005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3534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4">
        <f>SUMIF(项目基本情况!C$12:I$12,C6,项目基本情况!C$14:I$14)</f>
        <v>40</v>
      </c>
      <c r="E6" s="853">
        <f>IF(B6="","",SUMIF(项目基本情况!C$12:I$12,C6,项目基本情况!C$13:I$13))</f>
        <v>53752</v>
      </c>
      <c r="F6" s="64">
        <f>SUMIF(项目基本情况!C$12:I$12,C6,项目基本情况!C$15:I$15)</f>
        <v>23.96</v>
      </c>
      <c r="G6" s="65">
        <f>IF(ISERROR(ROUND(POWER(1+H6,D6-F6)*(POWER(1+H6,F6)-1)/(POWER(1+H6,D6)-1),3)),0,ROUND(POWER(1+H6,D6-F6)*(POWER(1+H6,F6)-1)/(POWER(1+H6,D6)-1),3))</f>
        <v>0.80300000000000005</v>
      </c>
      <c r="H6" s="731">
        <v>0.05</v>
      </c>
      <c r="I6" s="731">
        <v>5.5E-2</v>
      </c>
      <c r="J6" s="66">
        <v>7.4999999999999997E-2</v>
      </c>
      <c r="K6" s="1026">
        <f>SUMIF('数据-汇总表'!C$19:C$33,A6,'数据-汇总表'!E$19:E$33)</f>
        <v>62397.95</v>
      </c>
      <c r="L6" s="732">
        <v>5500</v>
      </c>
      <c r="M6" s="67">
        <f t="shared" ref="M6:M14" si="0">ROUND(K6*L6/10000,0)</f>
        <v>34319</v>
      </c>
      <c r="N6" s="730">
        <f>N21</f>
        <v>0.86499999999999999</v>
      </c>
      <c r="O6" s="67" t="str">
        <f>IF($N$5="成新度","——",ROUND(M6*N6,0))</f>
        <v>——</v>
      </c>
      <c r="P6" s="68" t="str">
        <f>IF($N$5="成新度","——",M6-O6)</f>
        <v>——</v>
      </c>
      <c r="Q6" s="733">
        <v>0.2</v>
      </c>
      <c r="R6" s="69">
        <f ca="1">SUMIF('数据-汇总表'!C$19:C$33,A6,'数据-汇总表'!R$19:R$27)</f>
        <v>12557.73</v>
      </c>
      <c r="S6" s="51">
        <f>IF('数据-汇总表'!$I$17="按面积比例",SUMIF('数据-汇总表'!C$19:C$33,A6,'数据-汇总表'!K$19:K$33),SUMIF('数据-汇总表'!C$19:C$33,A6,'数据-汇总表'!N$19:N$33))</f>
        <v>0</v>
      </c>
      <c r="T6" s="1168">
        <f>ROUND($L$14*S6/10000,0)</f>
        <v>0</v>
      </c>
      <c r="U6" s="3502">
        <v>6</v>
      </c>
      <c r="V6" s="70">
        <v>0.04</v>
      </c>
      <c r="W6" s="70">
        <v>0.1</v>
      </c>
      <c r="X6" s="1036"/>
      <c r="Y6" s="71">
        <f>N6</f>
        <v>0.86499999999999999</v>
      </c>
      <c r="Z6" s="72"/>
      <c r="AA6" s="66"/>
      <c r="AB6" s="66"/>
      <c r="AC6" s="1036"/>
      <c r="AD6" s="73"/>
      <c r="AE6" s="1037">
        <f ca="1">IF(AN6="",0,SUMIF(INDIRECT("'"&amp;AN6&amp;"'"&amp;"!E:E"),$AE$5,INDIRECT("'"&amp;AN6&amp;"'"&amp;"!F:F")))</f>
        <v>23.96</v>
      </c>
      <c r="AF6" s="1344"/>
      <c r="AG6" s="138">
        <f>IF(AF6="",0,AE6-AF6)</f>
        <v>0</v>
      </c>
      <c r="AH6" s="74"/>
      <c r="AI6" s="76">
        <v>365</v>
      </c>
      <c r="AJ6" s="77"/>
      <c r="AK6" s="78">
        <v>1.4999999999999999E-2</v>
      </c>
      <c r="AL6" s="79">
        <v>1E-3</v>
      </c>
      <c r="AM6" s="80">
        <v>1.4999999999999999E-2</v>
      </c>
      <c r="AN6" s="1711" t="s">
        <v>3434</v>
      </c>
      <c r="AO6" s="52">
        <f ca="1">SUMIF(INDIRECT("'"&amp;AN6&amp;"'"&amp;"!A:A"),"总价",INDIRECT("'"&amp;AN6&amp;"'"&amp;"!B:B"))</f>
        <v>191825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车位</v>
      </c>
      <c r="B7" s="1709" t="str">
        <f t="shared" ref="B7:B13" si="1">IF(A7=0,"","经营性")</f>
        <v>经营性</v>
      </c>
      <c r="C7" s="1710" t="s">
        <v>3340</v>
      </c>
      <c r="D7" s="854">
        <f>SUMIF(项目基本情况!C$12:I$12,C7,项目基本情况!C$14:I$14)</f>
        <v>50</v>
      </c>
      <c r="E7" s="853">
        <f>IF(B7="","",SUMIF(项目基本情况!C$12:I$12,C7,项目基本情况!C$13:I$13))</f>
        <v>57405</v>
      </c>
      <c r="F7" s="64">
        <f>SUMIF(项目基本情况!C$12:I$12,C7,项目基本情况!C$15:I$15)</f>
        <v>33.97</v>
      </c>
      <c r="G7" s="65">
        <f t="shared" ref="G7:G11" si="2">IF(ISERROR(ROUND(POWER(1+H7,D7-F7)*(POWER(1+H7,F7)-1)/(POWER(1+H7,D7)-1),3)),0,ROUND(POWER(1+H7,D7-F7)*(POWER(1+H7,F7)-1)/(POWER(1+H7,D7)-1),3))</f>
        <v>0.872</v>
      </c>
      <c r="H7" s="731">
        <v>4.4999999999999998E-2</v>
      </c>
      <c r="I7" s="731">
        <v>0.05</v>
      </c>
      <c r="J7" s="66">
        <v>7.0000000000000007E-2</v>
      </c>
      <c r="K7" s="1026">
        <f>SUMIF('数据-汇总表'!C$19:C$33,A7,'数据-汇总表'!E$19:E$33)</f>
        <v>2580.219999999998</v>
      </c>
      <c r="L7" s="732">
        <v>3500</v>
      </c>
      <c r="M7" s="67">
        <f t="shared" si="0"/>
        <v>903</v>
      </c>
      <c r="N7" s="730">
        <f>N21</f>
        <v>0.86499999999999999</v>
      </c>
      <c r="O7" s="67" t="str">
        <f t="shared" ref="O7:O14" si="3">IF($N$5="成新度","——",ROUND(M7*N7,0))</f>
        <v>——</v>
      </c>
      <c r="P7" s="68" t="str">
        <f t="shared" ref="P7:P14" si="4">IF($N$5="成新度","——",M7-O7)</f>
        <v>——</v>
      </c>
      <c r="Q7" s="733">
        <v>0.05</v>
      </c>
      <c r="R7" s="69">
        <f ca="1">SUMIF('数据-汇总表'!C$19:C$33,A7,'数据-汇总表'!R$19:R$27)</f>
        <v>519.28</v>
      </c>
      <c r="S7" s="51">
        <f>IF('数据-汇总表'!$I$17="按面积比例",SUMIF('数据-汇总表'!C$19:C$33,A7,'数据-汇总表'!K$19:K$33),SUMIF('数据-汇总表'!C$19:C$33,A7,'数据-汇总表'!N$19:N$33))</f>
        <v>0</v>
      </c>
      <c r="T7" s="1168">
        <f t="shared" ref="T7:T13" si="5">ROUND($L$14*S7/10000,0)</f>
        <v>0</v>
      </c>
      <c r="U7" s="3502">
        <v>800</v>
      </c>
      <c r="V7" s="70">
        <v>1.4999999999999999E-2</v>
      </c>
      <c r="W7" s="70">
        <v>0.1</v>
      </c>
      <c r="X7" s="1036"/>
      <c r="Y7" s="71">
        <f>N7</f>
        <v>0.86499999999999999</v>
      </c>
      <c r="Z7" s="72"/>
      <c r="AA7" s="66"/>
      <c r="AB7" s="66"/>
      <c r="AC7" s="1036"/>
      <c r="AD7" s="73"/>
      <c r="AE7" s="1037">
        <f t="shared" ref="AE7:AE13" ca="1" si="6">IF(AN7="",0,SUMIF(INDIRECT("'"&amp;AN7&amp;"'"&amp;"!E:E"),$AE$5,INDIRECT("'"&amp;AN7&amp;"'"&amp;"!F:F")))</f>
        <v>33.97</v>
      </c>
      <c r="AF7" s="1344"/>
      <c r="AG7" s="138">
        <f t="shared" ref="AG7:AG13" si="7">IF(AF7="",0,AE7-AF7)</f>
        <v>0</v>
      </c>
      <c r="AH7" s="74">
        <v>53</v>
      </c>
      <c r="AI7" s="76">
        <v>12</v>
      </c>
      <c r="AJ7" s="77"/>
      <c r="AK7" s="78">
        <v>5.0000000000000001E-3</v>
      </c>
      <c r="AL7" s="79">
        <v>1E-3</v>
      </c>
      <c r="AM7" s="80">
        <v>1.4999999999999999E-2</v>
      </c>
      <c r="AN7" s="1711" t="s">
        <v>3551</v>
      </c>
      <c r="AO7" s="52">
        <f t="shared" ref="AO7:AO13" ca="1" si="8">SUMIF(INDIRECT("'"&amp;AN7&amp;"'"&amp;"!A:A"),"总价",INDIRECT("'"&amp;AN7&amp;"'"&amp;"!B:B"))</f>
        <v>684</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1"/>
      <c r="I8" s="731"/>
      <c r="J8" s="66"/>
      <c r="K8" s="1026">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8">
        <f t="shared" si="5"/>
        <v>0</v>
      </c>
      <c r="U8" s="3425"/>
      <c r="V8" s="734"/>
      <c r="W8" s="734"/>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0.80600000000000005</v>
      </c>
      <c r="H16" s="90">
        <f>ROUND(SUMPRODUCT(H6:H13,K6:K13)/SUMPRODUCT((H6:H13&gt;0)*(K6:K13)),3)</f>
        <v>0.05</v>
      </c>
      <c r="I16" s="91"/>
      <c r="J16" s="91"/>
      <c r="K16" s="92">
        <f>SUM(K6:K15)</f>
        <v>64978.17</v>
      </c>
      <c r="L16" s="93">
        <f>ROUND(M16*10000/SUM(K6:K14),0)</f>
        <v>5421</v>
      </c>
      <c r="M16" s="93">
        <f>SUM(M6:M14)</f>
        <v>35222</v>
      </c>
      <c r="N16" s="94">
        <f>ROUND(SUMPRODUCT(M6:M14,N6:N14)/M16,3)</f>
        <v>0.86499999999999999</v>
      </c>
      <c r="O16" s="93">
        <f>SUM(O6:O14)</f>
        <v>0</v>
      </c>
      <c r="P16" s="93">
        <f>SUM(P6:P14)</f>
        <v>0</v>
      </c>
      <c r="Q16" s="95">
        <f>ROUND(SUMPRODUCT(Q6:Q13,K6:K13)/SUMPRODUCT((Q6:Q13&gt;0)*(K6:K13)),2)</f>
        <v>0.19</v>
      </c>
      <c r="R16" s="1030">
        <f ca="1">SUM(R6:R13)</f>
        <v>13077.01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2012</v>
      </c>
      <c r="O18" s="3501" t="s">
        <v>3535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f>ROUND(1-(2022-N18)/60,2)</f>
        <v>0.83</v>
      </c>
      <c r="O19" s="2667">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2303</v>
      </c>
      <c r="D20" s="2672"/>
      <c r="E20" s="2669"/>
      <c r="F20" s="2669"/>
      <c r="G20" s="2669"/>
      <c r="H20" s="2669"/>
      <c r="I20" s="2669"/>
      <c r="J20" s="2669"/>
      <c r="K20" s="2668"/>
      <c r="L20" s="2668"/>
      <c r="M20" s="2667"/>
      <c r="N20" s="2667">
        <v>0.9</v>
      </c>
      <c r="O20" s="2667">
        <v>0.5</v>
      </c>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f>N19*O19+N20*O20</f>
        <v>0.86499999999999999</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[1]成本法!C10</f>
        <v>1248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2">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3536</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12</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110</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35" t="s">
        <v>2286</v>
      </c>
      <c r="B1" s="3636"/>
      <c r="C1" s="3636"/>
      <c r="D1" s="3636"/>
      <c r="E1" s="3636"/>
      <c r="F1" s="3636"/>
      <c r="G1" s="363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2" t="s">
        <v>2254</v>
      </c>
      <c r="C4" s="2464" t="s">
        <v>2255</v>
      </c>
      <c r="D4" s="2461"/>
      <c r="E4" s="2465"/>
      <c r="F4" s="1369" t="s">
        <v>2256</v>
      </c>
      <c r="G4" s="2466" t="s">
        <v>2257</v>
      </c>
      <c r="H4" s="795"/>
      <c r="I4" s="795"/>
      <c r="J4" s="795"/>
      <c r="K4" s="795"/>
      <c r="L4" s="795"/>
      <c r="M4" s="795"/>
      <c r="N4" s="795"/>
      <c r="O4" s="795"/>
      <c r="P4" s="795"/>
      <c r="Q4" s="795"/>
      <c r="R4" s="795"/>
    </row>
    <row r="5" spans="1:29" ht="36.75">
      <c r="A5" s="2438"/>
      <c r="B5" s="322" t="s">
        <v>2258</v>
      </c>
      <c r="C5" s="2464" t="s">
        <v>2259</v>
      </c>
      <c r="D5" s="2461"/>
      <c r="E5" s="2465"/>
      <c r="F5" s="322" t="s">
        <v>2260</v>
      </c>
      <c r="G5" s="2466" t="s">
        <v>2261</v>
      </c>
      <c r="H5" s="795"/>
      <c r="I5" s="795"/>
      <c r="J5" s="795"/>
      <c r="K5" s="795"/>
      <c r="L5" s="795"/>
      <c r="M5" s="795"/>
      <c r="N5" s="795"/>
      <c r="O5" s="795"/>
      <c r="P5" s="795"/>
      <c r="Q5" s="795"/>
      <c r="R5" s="795"/>
    </row>
    <row r="6" spans="1:29" ht="36">
      <c r="A6" s="2438"/>
      <c r="B6" s="322" t="s">
        <v>2262</v>
      </c>
      <c r="C6" s="2466" t="s">
        <v>2257</v>
      </c>
      <c r="D6" s="2461"/>
      <c r="E6" s="2465"/>
      <c r="F6" s="322" t="s">
        <v>2263</v>
      </c>
      <c r="G6" s="2466" t="s">
        <v>2264</v>
      </c>
      <c r="H6" s="795"/>
      <c r="I6" s="795"/>
      <c r="J6" s="795"/>
      <c r="K6" s="795"/>
      <c r="L6" s="795"/>
      <c r="M6" s="795"/>
      <c r="N6" s="795"/>
      <c r="O6" s="795"/>
      <c r="P6" s="795"/>
      <c r="Q6" s="795"/>
      <c r="R6" s="795"/>
    </row>
    <row r="7" spans="1:29" ht="24.75" thickBot="1">
      <c r="A7" s="2438"/>
      <c r="B7" s="322" t="s">
        <v>2260</v>
      </c>
      <c r="C7" s="2466" t="s">
        <v>2261</v>
      </c>
      <c r="D7" s="2467"/>
      <c r="E7" s="2468"/>
      <c r="F7" s="2469" t="s">
        <v>2265</v>
      </c>
      <c r="G7" s="2470" t="s">
        <v>2266</v>
      </c>
      <c r="H7" s="795"/>
      <c r="I7" s="795"/>
      <c r="J7" s="795"/>
      <c r="K7" s="795"/>
      <c r="L7" s="795"/>
      <c r="M7" s="795"/>
      <c r="N7" s="795"/>
      <c r="O7" s="795"/>
      <c r="P7" s="795"/>
      <c r="Q7" s="795"/>
      <c r="R7" s="795"/>
    </row>
    <row r="8" spans="1:29">
      <c r="A8" s="2438"/>
      <c r="B8" s="322" t="s">
        <v>2263</v>
      </c>
      <c r="C8" s="2466" t="s">
        <v>2264</v>
      </c>
      <c r="D8" s="2467"/>
      <c r="E8" s="2467"/>
      <c r="F8" s="2471"/>
      <c r="G8" s="2471"/>
      <c r="H8" s="795"/>
      <c r="I8" s="795"/>
      <c r="J8" s="795"/>
      <c r="K8" s="795"/>
      <c r="L8" s="795"/>
      <c r="M8" s="795"/>
      <c r="N8" s="795"/>
      <c r="O8" s="795"/>
      <c r="P8" s="795"/>
      <c r="Q8" s="795"/>
      <c r="R8" s="795"/>
    </row>
    <row r="9" spans="1:29" ht="24">
      <c r="A9" s="2438"/>
      <c r="B9" s="322"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2"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2" t="s">
        <v>2263</v>
      </c>
      <c r="G20" s="2499" t="str">
        <f>G6</f>
        <v>估价对象所在区域基础设施水平</v>
      </c>
    </row>
    <row r="21" spans="1:18" ht="25.5">
      <c r="A21" s="2442"/>
      <c r="B21" s="322" t="s">
        <v>2260</v>
      </c>
      <c r="C21" s="2499" t="str">
        <f>C7</f>
        <v>估价对象所在区域公共配套设施齐备情况</v>
      </c>
      <c r="D21" s="2461"/>
      <c r="E21" s="2443"/>
      <c r="F21" s="2498" t="s">
        <v>2278</v>
      </c>
      <c r="G21" s="2501"/>
    </row>
    <row r="22" spans="1:18" ht="13.5" customHeight="1">
      <c r="A22" s="2442"/>
      <c r="B22" s="322"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64978.17</v>
      </c>
      <c r="C1" s="2682"/>
      <c r="D1" s="2682"/>
      <c r="E1" s="2682"/>
      <c r="F1" s="2682"/>
      <c r="G1" s="2683"/>
      <c r="H1" s="2684"/>
      <c r="I1" s="2684"/>
      <c r="J1" s="2684"/>
      <c r="K1" s="2684"/>
    </row>
    <row r="2" spans="1:11" ht="16.5">
      <c r="A2" s="2508" t="s">
        <v>653</v>
      </c>
      <c r="B2" s="2508">
        <f>SUM(C14:C23)</f>
        <v>13077.01</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193478</v>
      </c>
      <c r="C5" s="2508">
        <f ca="1">IF(B5=D14,结果表!H102,ROUND(B5*10000/$B$1,0))</f>
        <v>29776</v>
      </c>
      <c r="D5" s="2508">
        <f ca="1">ROUND(B5*10000/$B$2,0)</f>
        <v>147953</v>
      </c>
      <c r="E5" s="2682"/>
      <c r="F5" s="2683"/>
      <c r="G5" s="2683"/>
      <c r="H5" s="2684"/>
      <c r="I5" s="2684"/>
      <c r="J5" s="2684"/>
      <c r="K5" s="2684"/>
    </row>
    <row r="6" spans="1:11" ht="16.5">
      <c r="A6" s="2508" t="s">
        <v>656</v>
      </c>
      <c r="B6" s="2508">
        <f ca="1">SUM(G14:G23)</f>
        <v>193478</v>
      </c>
      <c r="C6" s="2508">
        <f ca="1">IF(B6=G14,结果表!H108,ROUND(B6*10000/$B$1,0))</f>
        <v>29776</v>
      </c>
      <c r="D6" s="2508">
        <f ca="1">ROUND(B6*10000/$B$2,0)</f>
        <v>147953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'数据-汇总表'!E19</f>
        <v>62397.95</v>
      </c>
      <c r="C14" s="2514">
        <f>'数据-汇总表'!D19</f>
        <v>12557.73</v>
      </c>
      <c r="D14" s="2514">
        <f ca="1">结果表!G19</f>
        <v>192043</v>
      </c>
      <c r="E14" s="2514">
        <f ca="1">ROUND(D14*10000/B14,0)</f>
        <v>30777</v>
      </c>
      <c r="F14" s="2514">
        <f ca="1">ROUND(D14*10000/C14,0)</f>
        <v>152928</v>
      </c>
      <c r="G14" s="2514">
        <f ca="1">D14</f>
        <v>192043</v>
      </c>
      <c r="H14" s="2514"/>
      <c r="I14" s="2514"/>
      <c r="J14" s="2683"/>
      <c r="K14" s="2684"/>
    </row>
    <row r="15" spans="1:11" ht="16.5">
      <c r="A15" s="2513" t="s">
        <v>649</v>
      </c>
      <c r="B15" s="2514">
        <f>'数据-汇总表'!E20</f>
        <v>2580.219999999998</v>
      </c>
      <c r="C15" s="2514">
        <f>'数据-汇总表'!D20</f>
        <v>519.28</v>
      </c>
      <c r="D15" s="2514">
        <f ca="1">'结果表 (2)'!G19</f>
        <v>1435</v>
      </c>
      <c r="E15" s="2514">
        <f t="shared" ref="E15:E23" ca="1" si="0">ROUND(D15*10000/B15,0)</f>
        <v>5562</v>
      </c>
      <c r="F15" s="2514">
        <f t="shared" ref="F15:F23" ca="1" si="1">ROUND(D15*10000/C15,0)</f>
        <v>27634</v>
      </c>
      <c r="G15" s="2514">
        <f ca="1">D15</f>
        <v>1435</v>
      </c>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34" t="str">
        <f>项目基本情况!B1</f>
        <v>北京市房地产抵押价值预评估</v>
      </c>
      <c r="C37" s="3534"/>
      <c r="D37" s="3534"/>
      <c r="E37" s="3534"/>
      <c r="F37" s="3534"/>
      <c r="G37" s="3534"/>
      <c r="H37" s="3534"/>
      <c r="I37" s="353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8" sqref="L8:M8"/>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t="s">
        <v>673</v>
      </c>
      <c r="D1" s="1743"/>
      <c r="E1" s="1743"/>
      <c r="F1" s="1745" t="s">
        <v>1263</v>
      </c>
      <c r="G1" s="1557" t="s">
        <v>3546</v>
      </c>
      <c r="H1" s="1746" t="str">
        <f>IF(G1="现房","——","估价对象范围")</f>
        <v>——</v>
      </c>
      <c r="I1" s="1747" t="s">
        <v>3547</v>
      </c>
    </row>
    <row r="2" spans="1:12" ht="21.75" customHeight="1" thickBot="1">
      <c r="A2" s="3706" t="str">
        <f>项目基本情况!S2</f>
        <v>北京市房地产</v>
      </c>
      <c r="B2" s="3707"/>
      <c r="C2" s="3707"/>
      <c r="D2" s="3707"/>
      <c r="E2" s="3707"/>
      <c r="F2" s="3707"/>
      <c r="G2" s="3707"/>
      <c r="H2" s="3707"/>
      <c r="I2" s="3708"/>
    </row>
    <row r="3" spans="1:12" ht="12.75">
      <c r="A3" s="3710" t="s">
        <v>1264</v>
      </c>
      <c r="B3" s="3711"/>
      <c r="C3" s="3711"/>
      <c r="D3" s="3711"/>
      <c r="E3" s="3711"/>
      <c r="F3" s="3711"/>
      <c r="G3" s="3711"/>
      <c r="H3" s="3711"/>
      <c r="I3" s="3711"/>
    </row>
    <row r="4" spans="1:12" ht="14.25">
      <c r="A4" s="1750" t="s">
        <v>1265</v>
      </c>
      <c r="B4" s="1751" t="s">
        <v>1266</v>
      </c>
      <c r="C4" s="1752" t="s">
        <v>3433</v>
      </c>
      <c r="D4" s="1752" t="s">
        <v>3434</v>
      </c>
      <c r="E4" s="3712" t="s">
        <v>1267</v>
      </c>
      <c r="F4" s="3713"/>
      <c r="G4" s="3713"/>
      <c r="H4" s="3713"/>
      <c r="I4" s="37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52" t="s">
        <v>1268</v>
      </c>
      <c r="B5" s="3709">
        <v>25</v>
      </c>
      <c r="C5" s="3698">
        <v>23</v>
      </c>
      <c r="D5" s="3698">
        <v>23</v>
      </c>
      <c r="E5" s="131" t="s">
        <v>1269</v>
      </c>
      <c r="F5" s="1753"/>
      <c r="G5" s="1753"/>
      <c r="H5" s="1753"/>
      <c r="I5" s="1369"/>
    </row>
    <row r="6" spans="1:12" ht="12.75" customHeight="1">
      <c r="A6" s="3652"/>
      <c r="B6" s="3709"/>
      <c r="C6" s="3699"/>
      <c r="D6" s="3699"/>
      <c r="E6" s="131" t="s">
        <v>1270</v>
      </c>
      <c r="F6" s="1753"/>
      <c r="G6" s="1753"/>
      <c r="H6" s="1753"/>
      <c r="I6" s="1369"/>
    </row>
    <row r="7" spans="1:12" ht="12.75" customHeight="1">
      <c r="A7" s="3652"/>
      <c r="B7" s="3709"/>
      <c r="C7" s="3700"/>
      <c r="D7" s="3700"/>
      <c r="E7" s="131" t="s">
        <v>1271</v>
      </c>
      <c r="F7" s="1753"/>
      <c r="G7" s="1753"/>
      <c r="H7" s="1753"/>
      <c r="I7" s="1369"/>
    </row>
    <row r="8" spans="1:12" ht="12.75" customHeight="1">
      <c r="A8" s="3652" t="s">
        <v>1272</v>
      </c>
      <c r="B8" s="3709">
        <v>15</v>
      </c>
      <c r="C8" s="3698">
        <v>13</v>
      </c>
      <c r="D8" s="3698">
        <v>13</v>
      </c>
      <c r="E8" s="131" t="s">
        <v>1273</v>
      </c>
      <c r="F8" s="1753"/>
      <c r="G8" s="1753"/>
      <c r="H8" s="1753"/>
      <c r="I8" s="1369"/>
    </row>
    <row r="9" spans="1:12" ht="12.75" customHeight="1">
      <c r="A9" s="3652"/>
      <c r="B9" s="3709"/>
      <c r="C9" s="3700"/>
      <c r="D9" s="3700"/>
      <c r="E9" s="131" t="s">
        <v>1274</v>
      </c>
      <c r="F9" s="1753"/>
      <c r="G9" s="1753"/>
      <c r="H9" s="1753"/>
      <c r="I9" s="1369"/>
    </row>
    <row r="10" spans="1:12" ht="12.75" customHeight="1">
      <c r="A10" s="3652" t="s">
        <v>1275</v>
      </c>
      <c r="B10" s="3709">
        <v>15</v>
      </c>
      <c r="C10" s="3698">
        <v>13</v>
      </c>
      <c r="D10" s="3698">
        <v>13</v>
      </c>
      <c r="E10" s="131" t="s">
        <v>1276</v>
      </c>
      <c r="F10" s="1753"/>
      <c r="G10" s="1753"/>
      <c r="H10" s="1753"/>
      <c r="I10" s="1369"/>
    </row>
    <row r="11" spans="1:12" ht="12.75" customHeight="1">
      <c r="A11" s="3652"/>
      <c r="B11" s="3709"/>
      <c r="C11" s="3700"/>
      <c r="D11" s="3700"/>
      <c r="E11" s="131" t="s">
        <v>1277</v>
      </c>
      <c r="F11" s="1753"/>
      <c r="G11" s="1753"/>
      <c r="H11" s="1753"/>
      <c r="I11" s="1369"/>
    </row>
    <row r="12" spans="1:12" ht="12.75" customHeight="1">
      <c r="A12" s="3652" t="s">
        <v>1278</v>
      </c>
      <c r="B12" s="3709">
        <v>15</v>
      </c>
      <c r="C12" s="3698">
        <v>13</v>
      </c>
      <c r="D12" s="3698">
        <v>13</v>
      </c>
      <c r="E12" s="131" t="s">
        <v>1279</v>
      </c>
      <c r="F12" s="1753"/>
      <c r="G12" s="1753"/>
      <c r="H12" s="1753"/>
      <c r="I12" s="1369"/>
    </row>
    <row r="13" spans="1:12" ht="12.75" customHeight="1">
      <c r="A13" s="3652"/>
      <c r="B13" s="3709"/>
      <c r="C13" s="3700"/>
      <c r="D13" s="3700"/>
      <c r="E13" s="131" t="s">
        <v>1280</v>
      </c>
      <c r="F13" s="1753"/>
      <c r="G13" s="1753"/>
      <c r="H13" s="1753"/>
      <c r="I13" s="1369"/>
    </row>
    <row r="14" spans="1:12" ht="12.75" customHeight="1">
      <c r="A14" s="3652" t="s">
        <v>1281</v>
      </c>
      <c r="B14" s="3709">
        <v>30</v>
      </c>
      <c r="C14" s="3698">
        <v>28</v>
      </c>
      <c r="D14" s="3698">
        <v>28</v>
      </c>
      <c r="E14" s="131" t="s">
        <v>1282</v>
      </c>
      <c r="F14" s="1753"/>
      <c r="G14" s="1753"/>
      <c r="H14" s="1753"/>
      <c r="I14" s="1369"/>
    </row>
    <row r="15" spans="1:12" ht="12.75" customHeight="1">
      <c r="A15" s="3652"/>
      <c r="B15" s="3709"/>
      <c r="C15" s="3699"/>
      <c r="D15" s="3699"/>
      <c r="E15" s="131" t="s">
        <v>1283</v>
      </c>
      <c r="F15" s="1753"/>
      <c r="G15" s="1753"/>
      <c r="H15" s="1753"/>
      <c r="I15" s="1369"/>
    </row>
    <row r="16" spans="1:12" ht="12.75" customHeight="1">
      <c r="A16" s="3652"/>
      <c r="B16" s="3709"/>
      <c r="C16" s="3700"/>
      <c r="D16" s="3700"/>
      <c r="E16" s="131" t="s">
        <v>1284</v>
      </c>
      <c r="F16" s="1753"/>
      <c r="G16" s="1753"/>
      <c r="H16" s="1753"/>
      <c r="I16" s="1369"/>
    </row>
    <row r="17" spans="1:36" ht="15">
      <c r="A17" s="1754" t="s">
        <v>1285</v>
      </c>
      <c r="B17" s="56"/>
      <c r="C17" s="132">
        <f>SUM(C5:C16)</f>
        <v>90</v>
      </c>
      <c r="D17" s="132">
        <f>SUM(D5:D16)</f>
        <v>90</v>
      </c>
      <c r="E17" s="129"/>
      <c r="F17" s="129"/>
      <c r="G17" s="129"/>
      <c r="H17" s="129"/>
      <c r="I17" s="129"/>
      <c r="K17" s="301"/>
      <c r="L17" s="301" t="s">
        <v>1286</v>
      </c>
      <c r="M17" s="301" t="s">
        <v>1287</v>
      </c>
    </row>
    <row r="18" spans="1:36" ht="31.9" customHeight="1" thickBot="1">
      <c r="A18" s="1755" t="s">
        <v>1288</v>
      </c>
      <c r="B18" s="1756"/>
      <c r="C18" s="133">
        <f>ROUND(C17/SUM(C17:D17),2)</f>
        <v>0.5</v>
      </c>
      <c r="D18" s="133">
        <f>1-C18</f>
        <v>0.5</v>
      </c>
      <c r="E18" s="3728" t="s">
        <v>2131</v>
      </c>
      <c r="F18" s="3729"/>
      <c r="G18" s="3729"/>
      <c r="H18" s="3729"/>
      <c r="I18" s="3729"/>
      <c r="K18" s="301" t="s">
        <v>1289</v>
      </c>
      <c r="L18" s="301">
        <f>IF(C1="",'数据-汇总表'!E3,SUMIF(项目类型,C1,'数据-汇总表'!E17:E26)+SUMIF(项目类型,C1,'数据-汇总表'!I17:I26))</f>
        <v>62397.95</v>
      </c>
      <c r="M18" s="301">
        <f>IF(C1="",'数据-汇总表'!E3,SUMIF(项目类型,C1,'数据-汇总表'!E17:E26))</f>
        <v>62397.95</v>
      </c>
    </row>
    <row r="19" spans="1:36" ht="15">
      <c r="A19" s="1757" t="s">
        <v>1290</v>
      </c>
      <c r="B19" s="1758" t="s">
        <v>1291</v>
      </c>
      <c r="C19" s="134">
        <f ca="1">SUMIF(INDIRECT("'"&amp;C4&amp;"'"&amp;"!A:A"),结果表!B19,INDIRECT("'"&amp;C4&amp;"'"&amp;"!B:B"))</f>
        <v>192260</v>
      </c>
      <c r="D19" s="135">
        <f ca="1">SUMIF(INDIRECT("'"&amp;D4&amp;"'"&amp;"!A:A"),结果表!B19,INDIRECT("'"&amp;D4&amp;"'"&amp;"!B:B"))</f>
        <v>191825</v>
      </c>
      <c r="E19" s="1757" t="s">
        <v>1292</v>
      </c>
      <c r="F19" s="1758" t="s">
        <v>1291</v>
      </c>
      <c r="G19" s="136">
        <f ca="1">ROUND(C19*$C$18+D19*$D$18,0)</f>
        <v>192043</v>
      </c>
      <c r="H19" s="1759" t="s">
        <v>1293</v>
      </c>
      <c r="I19" s="129"/>
      <c r="K19" s="301" t="s">
        <v>1294</v>
      </c>
      <c r="L19" s="301">
        <f>IF(C1="",'数据-汇总表'!D3,SUMIF(项目类型,C1,'数据-汇总表'!D17:D26)+SUMIF(项目类型,C1,'数据-汇总表'!H17:H27))</f>
        <v>12557.73</v>
      </c>
      <c r="M19" s="301">
        <f>IF(C1="",'数据-汇总表'!D3,SUMIF(项目类型,C1,'数据-汇总表'!D17:D26))</f>
        <v>12557.73</v>
      </c>
    </row>
    <row r="20" spans="1:36" ht="15">
      <c r="A20" s="1760"/>
      <c r="B20" s="1022" t="s">
        <v>1295</v>
      </c>
      <c r="C20" s="137">
        <f ca="1">SUMIF(INDIRECT("'"&amp;C4&amp;"'"&amp;"!A:A"),结果表!B20,INDIRECT("'"&amp;C4&amp;"'"&amp;"!B:B"))</f>
        <v>30812</v>
      </c>
      <c r="D20" s="138">
        <f ca="1">SUMIF(INDIRECT("'"&amp;D4&amp;"'"&amp;"!A:A"),结果表!B20,INDIRECT("'"&amp;D4&amp;"'"&amp;"!B:B"))</f>
        <v>30742</v>
      </c>
      <c r="E20" s="1760"/>
      <c r="F20" s="1022" t="s">
        <v>1295</v>
      </c>
      <c r="G20" s="139">
        <f ca="1">ROUND(C20*$C$18+D20*$D$18,0)</f>
        <v>30777</v>
      </c>
      <c r="H20" s="804" t="s">
        <v>1296</v>
      </c>
      <c r="I20" s="129"/>
    </row>
    <row r="21" spans="1:36" ht="15" customHeight="1" thickBot="1">
      <c r="A21" s="824"/>
      <c r="B21" s="1761" t="s">
        <v>1297</v>
      </c>
      <c r="C21" s="718">
        <f ca="1">ROUND(C19*10000/L19,0)</f>
        <v>153101</v>
      </c>
      <c r="D21" s="719">
        <f ca="1">ROUND(D19*10000/L19,0)</f>
        <v>152755</v>
      </c>
      <c r="E21" s="824"/>
      <c r="F21" s="1761" t="s">
        <v>1297</v>
      </c>
      <c r="G21" s="140">
        <f ca="1">ROUND(G19*10000/L19,0)</f>
        <v>152928</v>
      </c>
      <c r="H21" s="1762" t="s">
        <v>1296</v>
      </c>
      <c r="I21" s="129"/>
    </row>
    <row r="22" spans="1:36" ht="15" thickBot="1">
      <c r="A22" s="1684" t="s">
        <v>1298</v>
      </c>
      <c r="B22" s="1763"/>
      <c r="C22" s="1764"/>
      <c r="D22" s="720">
        <f ca="1">IF(C19&lt;D19,D19/C19-1,C19/D19-1)</f>
        <v>2.2676919066857426E-3</v>
      </c>
      <c r="E22" s="129"/>
      <c r="F22" s="129"/>
      <c r="G22" s="129"/>
      <c r="H22" s="129"/>
      <c r="I22" s="129"/>
    </row>
    <row r="23" spans="1:36" ht="13.5" thickBot="1">
      <c r="A23" s="1743"/>
      <c r="B23" s="1743"/>
      <c r="C23" s="1743"/>
      <c r="D23" s="1743"/>
      <c r="E23" s="129"/>
      <c r="F23" s="129"/>
      <c r="G23" s="129"/>
      <c r="H23" s="129"/>
      <c r="I23" s="129"/>
    </row>
    <row r="24" spans="1:36" ht="14.25">
      <c r="A24" s="3721" t="s">
        <v>1299</v>
      </c>
      <c r="B24" s="1758" t="s">
        <v>1291</v>
      </c>
      <c r="C24" s="136">
        <f>IF(B30=0,0,D30)</f>
        <v>0</v>
      </c>
      <c r="D24" s="1765"/>
      <c r="E24" s="129"/>
      <c r="F24" s="129" t="s">
        <v>3561</v>
      </c>
      <c r="G24" s="129">
        <f ca="1">G19+'结果表 (2)'!G19</f>
        <v>193478</v>
      </c>
      <c r="H24" s="129"/>
      <c r="I24" s="129"/>
    </row>
    <row r="25" spans="1:36" ht="14.25">
      <c r="A25" s="3722"/>
      <c r="B25" s="1022" t="s">
        <v>1295</v>
      </c>
      <c r="C25" s="141">
        <f>IF(B30=0,0,C30)</f>
        <v>0</v>
      </c>
      <c r="D25" s="1766"/>
      <c r="E25" s="129"/>
      <c r="F25" s="129"/>
      <c r="G25" s="129">
        <f>'数据-汇总表'!E3</f>
        <v>64978.17</v>
      </c>
      <c r="H25" s="129"/>
      <c r="I25" s="129"/>
    </row>
    <row r="26" spans="1:36" ht="13.5" customHeight="1">
      <c r="A26" s="1767" t="s">
        <v>1300</v>
      </c>
      <c r="B26" s="142" t="s">
        <v>1301</v>
      </c>
      <c r="C26" s="142" t="s">
        <v>1302</v>
      </c>
      <c r="D26" s="143" t="s">
        <v>1303</v>
      </c>
      <c r="E26" s="129"/>
      <c r="F26" s="129"/>
      <c r="G26" s="129">
        <f ca="1">ROUND(G24/G25*10000,0)</f>
        <v>29776</v>
      </c>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192043</v>
      </c>
      <c r="D32" s="1771" t="s">
        <v>3436</v>
      </c>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701" t="s">
        <v>1312</v>
      </c>
      <c r="B36" s="1783" t="s">
        <v>1313</v>
      </c>
      <c r="C36" s="145"/>
      <c r="D36" s="1784"/>
      <c r="E36" s="1785"/>
      <c r="F36" s="1786"/>
      <c r="G36" s="129"/>
      <c r="H36" s="129"/>
      <c r="I36" s="129"/>
    </row>
    <row r="37" spans="1:15" ht="15.75" thickBot="1">
      <c r="A37" s="3702"/>
      <c r="B37" s="1670" t="s">
        <v>1314</v>
      </c>
      <c r="C37" s="147"/>
      <c r="D37" s="1135"/>
      <c r="E37" s="1135"/>
      <c r="F37" s="1786"/>
      <c r="G37" s="129"/>
      <c r="H37" s="129"/>
      <c r="I37" s="129"/>
    </row>
    <row r="38" spans="1:15" ht="15.75" thickBot="1">
      <c r="A38" s="3703"/>
      <c r="B38" s="1787" t="s">
        <v>1315</v>
      </c>
      <c r="C38" s="673"/>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18" t="s">
        <v>1326</v>
      </c>
      <c r="B45" s="3719"/>
      <c r="C45" s="3720"/>
      <c r="D45" s="155">
        <f ca="1">ROUND(H101*F45,0)</f>
        <v>192043</v>
      </c>
      <c r="E45" s="156" t="s">
        <v>1327</v>
      </c>
      <c r="F45" s="157">
        <v>1</v>
      </c>
      <c r="G45" s="158" t="s">
        <v>1328</v>
      </c>
      <c r="H45" s="129"/>
      <c r="I45" s="129"/>
      <c r="J45" s="3639" t="s">
        <v>1329</v>
      </c>
      <c r="K45" s="3639"/>
      <c r="L45" s="3639"/>
      <c r="M45" s="3639"/>
      <c r="N45" s="3639"/>
      <c r="O45" s="3639"/>
    </row>
    <row r="46" spans="1:15" ht="14.25" customHeight="1">
      <c r="A46" s="3715" t="s">
        <v>1330</v>
      </c>
      <c r="B46" s="3716"/>
      <c r="C46" s="3716"/>
      <c r="D46" s="3716"/>
      <c r="E46" s="3716"/>
      <c r="F46" s="3716"/>
      <c r="G46" s="3717"/>
      <c r="H46" s="1802"/>
      <c r="I46" s="159"/>
      <c r="J46" s="2519">
        <v>1</v>
      </c>
      <c r="K46" s="3640" t="s">
        <v>1331</v>
      </c>
      <c r="L46" s="3640"/>
      <c r="M46" s="3641"/>
      <c r="N46" s="3641"/>
      <c r="O46" s="3641"/>
    </row>
    <row r="47" spans="1:15" ht="12" customHeight="1">
      <c r="A47" s="160" t="s">
        <v>1332</v>
      </c>
      <c r="B47" s="161"/>
      <c r="C47" s="162"/>
      <c r="D47" s="1083" t="s">
        <v>1333</v>
      </c>
      <c r="E47" s="301" t="s">
        <v>1334</v>
      </c>
      <c r="F47" s="163" t="s">
        <v>1335</v>
      </c>
      <c r="G47" s="2542" t="s">
        <v>1336</v>
      </c>
      <c r="H47" s="2543"/>
      <c r="I47" s="159"/>
      <c r="J47" s="2519">
        <v>2</v>
      </c>
      <c r="K47" s="3640" t="s">
        <v>1337</v>
      </c>
      <c r="L47" s="3640"/>
      <c r="M47" s="3642">
        <f>'数据-取费表'!B2</f>
        <v>45005</v>
      </c>
      <c r="N47" s="3642"/>
      <c r="O47" s="3642"/>
    </row>
    <row r="48" spans="1:15" ht="25.5">
      <c r="A48" s="3704" t="s">
        <v>1338</v>
      </c>
      <c r="B48" s="3705"/>
      <c r="C48" s="3705"/>
      <c r="D48" s="2320">
        <f ca="1">IF(H48="情况1",0,IF(H48="情况2",D52,IF(H48="情况3",D53,IF(H48="情况4",D54))))</f>
        <v>10242</v>
      </c>
      <c r="E48" s="2330" t="str">
        <f>IF(H48="情况4","(销售额-原购置价)×税（费）率","销售额×税（费）率")</f>
        <v>销售额×税（费）率</v>
      </c>
      <c r="F48" s="2544">
        <f>IF(H48="情况1","免征",'数据-取费表'!B41)</f>
        <v>5.6000000000000001E-2</v>
      </c>
      <c r="G48" s="2545" t="s">
        <v>1339</v>
      </c>
      <c r="H48" s="2546" t="s">
        <v>3548</v>
      </c>
      <c r="I48" s="1802"/>
      <c r="J48" s="2519">
        <v>3</v>
      </c>
      <c r="K48" s="3640" t="s">
        <v>1340</v>
      </c>
      <c r="L48" s="3640"/>
      <c r="M48" s="3643">
        <f ca="1">H101</f>
        <v>192043</v>
      </c>
      <c r="N48" s="3643"/>
      <c r="O48" s="3643"/>
    </row>
    <row r="49" spans="1:35" ht="25.5" customHeight="1">
      <c r="A49" s="2329" t="s">
        <v>1341</v>
      </c>
      <c r="B49" s="3688" t="s">
        <v>1342</v>
      </c>
      <c r="C49" s="3688"/>
      <c r="D49" s="1586">
        <v>0</v>
      </c>
      <c r="E49" s="323" t="s">
        <v>1343</v>
      </c>
      <c r="F49" s="2420" t="s">
        <v>28</v>
      </c>
      <c r="G49" s="3671"/>
      <c r="H49" s="2306" t="s">
        <v>2134</v>
      </c>
      <c r="I49" s="2307"/>
      <c r="J49" s="2519">
        <v>4</v>
      </c>
      <c r="K49" s="3640" t="str">
        <f>IF(项目基本情况!E8="房地产抵押价值","房地产抵押价值","抵押担保权已注销时的房地产抵押价值")</f>
        <v>抵押担保权已注销时的房地产抵押价值</v>
      </c>
      <c r="L49" s="3640"/>
      <c r="M49" s="3643" t="str">
        <f>IF(项目基本情况!E8="房地产抵押价值",H107,H109)</f>
        <v>——</v>
      </c>
      <c r="N49" s="3643"/>
      <c r="O49" s="3643"/>
    </row>
    <row r="50" spans="1:35" ht="25.5" customHeight="1">
      <c r="A50" s="2547"/>
      <c r="B50" s="3688" t="s">
        <v>1344</v>
      </c>
      <c r="C50" s="3688"/>
      <c r="D50" s="2548"/>
      <c r="E50" s="331"/>
      <c r="F50" s="2420"/>
      <c r="G50" s="3672"/>
      <c r="H50" s="2308" t="s">
        <v>2135</v>
      </c>
      <c r="I50" s="2307"/>
      <c r="J50" s="3639" t="s">
        <v>1345</v>
      </c>
      <c r="K50" s="3639"/>
      <c r="L50" s="3639"/>
      <c r="M50" s="3639"/>
      <c r="N50" s="3639"/>
      <c r="O50" s="3639"/>
    </row>
    <row r="51" spans="1:35" ht="20.45" customHeight="1">
      <c r="A51" s="2549"/>
      <c r="B51" s="3688" t="s">
        <v>1346</v>
      </c>
      <c r="C51" s="3688"/>
      <c r="D51" s="1083"/>
      <c r="E51" s="326"/>
      <c r="F51" s="2420"/>
      <c r="G51" s="3673"/>
      <c r="H51" s="2308" t="s">
        <v>2136</v>
      </c>
      <c r="I51" s="2307"/>
      <c r="J51" s="2520" t="s">
        <v>1347</v>
      </c>
      <c r="K51" s="3640" t="s">
        <v>1348</v>
      </c>
      <c r="L51" s="3640"/>
      <c r="M51" s="2520" t="s">
        <v>1349</v>
      </c>
      <c r="N51" s="2520" t="s">
        <v>1350</v>
      </c>
      <c r="O51" s="2520" t="s">
        <v>1351</v>
      </c>
    </row>
    <row r="52" spans="1:35" ht="24" customHeight="1">
      <c r="A52" s="2331" t="s">
        <v>1352</v>
      </c>
      <c r="B52" s="3688" t="s">
        <v>1353</v>
      </c>
      <c r="C52" s="3688"/>
      <c r="D52" s="1083">
        <f ca="1">ROUND(D45*'数据-取费表'!B41/(1+'数据-取费表'!C42),0)</f>
        <v>10242</v>
      </c>
      <c r="E52" s="2330" t="s">
        <v>1354</v>
      </c>
      <c r="F52" s="2550">
        <f>'数据-取费表'!B41</f>
        <v>5.6000000000000001E-2</v>
      </c>
      <c r="G52" s="2551"/>
      <c r="H52" s="2540"/>
      <c r="I52" s="1803"/>
      <c r="J52" s="2519">
        <v>1</v>
      </c>
      <c r="K52" s="3665" t="s">
        <v>1355</v>
      </c>
      <c r="L52" s="3665"/>
      <c r="M52" s="2521">
        <f ca="1">D48</f>
        <v>10242</v>
      </c>
      <c r="N52" s="2519" t="str">
        <f>E48</f>
        <v>销售额×税（费）率</v>
      </c>
      <c r="O52" s="2522">
        <f>F48</f>
        <v>5.6000000000000001E-2</v>
      </c>
    </row>
    <row r="53" spans="1:35" ht="12" customHeight="1">
      <c r="A53" s="2331" t="s">
        <v>1356</v>
      </c>
      <c r="B53" s="3689" t="s">
        <v>2291</v>
      </c>
      <c r="C53" s="3690"/>
      <c r="D53" s="1083">
        <f ca="1">ROUND(D45*'数据-取费表'!B41/(1+'数据-取费表'!C42),0)</f>
        <v>10242</v>
      </c>
      <c r="E53" s="2330" t="s">
        <v>1354</v>
      </c>
      <c r="F53" s="2550">
        <f>'数据-取费表'!B41</f>
        <v>5.6000000000000001E-2</v>
      </c>
      <c r="G53" s="2551"/>
      <c r="H53" s="2540"/>
      <c r="I53" s="1803"/>
      <c r="J53" s="2519">
        <v>2</v>
      </c>
      <c r="K53" s="3665" t="s">
        <v>1357</v>
      </c>
      <c r="L53" s="3665"/>
      <c r="M53" s="2521">
        <f t="shared" ref="M53:O54" ca="1" si="0">D55</f>
        <v>96</v>
      </c>
      <c r="N53" s="2519" t="str">
        <f t="shared" si="0"/>
        <v>销售额×税（费）率</v>
      </c>
      <c r="O53" s="2522">
        <f t="shared" si="0"/>
        <v>5.0000000000000001E-4</v>
      </c>
    </row>
    <row r="54" spans="1:35" ht="12" customHeight="1">
      <c r="A54" s="2331" t="s">
        <v>1358</v>
      </c>
      <c r="B54" s="3689" t="s">
        <v>2292</v>
      </c>
      <c r="C54" s="3690"/>
      <c r="D54" s="1083">
        <f ca="1">C68</f>
        <v>10242</v>
      </c>
      <c r="E54" s="326" t="s">
        <v>1359</v>
      </c>
      <c r="F54" s="2550">
        <f>'数据-取费表'!B41</f>
        <v>5.6000000000000001E-2</v>
      </c>
      <c r="G54" s="2551"/>
      <c r="H54" s="2552"/>
      <c r="I54" s="1803"/>
      <c r="J54" s="2519">
        <v>3</v>
      </c>
      <c r="K54" s="3665" t="s">
        <v>1360</v>
      </c>
      <c r="L54" s="3665"/>
      <c r="M54" s="2521">
        <f t="shared" ca="1" si="0"/>
        <v>108697</v>
      </c>
      <c r="N54" s="2519" t="str">
        <f t="shared" si="0"/>
        <v>增值额×税（费）率</v>
      </c>
      <c r="O54" s="2523" t="str">
        <f t="shared" si="0"/>
        <v>——</v>
      </c>
    </row>
    <row r="55" spans="1:35" ht="24" customHeight="1">
      <c r="A55" s="3724" t="s">
        <v>1361</v>
      </c>
      <c r="B55" s="3705"/>
      <c r="C55" s="3705"/>
      <c r="D55" s="2320">
        <f ca="1">IF(H55="个人住宅",0,ROUND(D45*I55,0))</f>
        <v>96</v>
      </c>
      <c r="E55" s="2330" t="s">
        <v>1362</v>
      </c>
      <c r="F55" s="2550">
        <f>IF(H55="正常",I55,"免征")</f>
        <v>5.0000000000000001E-4</v>
      </c>
      <c r="G55" s="2551"/>
      <c r="H55" s="2546" t="s">
        <v>3549</v>
      </c>
      <c r="I55" s="165">
        <f>'数据-取费表'!B49</f>
        <v>5.0000000000000001E-4</v>
      </c>
      <c r="J55" s="2519">
        <f>IF(H59="非个人房产","",4)</f>
        <v>4</v>
      </c>
      <c r="K55" s="3665" t="str">
        <f>IF(H59="非个人房产","——","个人所得税")</f>
        <v>个人所得税</v>
      </c>
      <c r="L55" s="3665"/>
      <c r="M55" s="2524">
        <f ca="1">D59</f>
        <v>1829</v>
      </c>
      <c r="N55" s="2036" t="str">
        <f>E59</f>
        <v>差额计税</v>
      </c>
      <c r="O55" s="2525">
        <f>F59</f>
        <v>0.01</v>
      </c>
    </row>
    <row r="56" spans="1:35" ht="24.75">
      <c r="A56" s="3724" t="s">
        <v>1363</v>
      </c>
      <c r="B56" s="3705"/>
      <c r="C56" s="3705"/>
      <c r="D56" s="2320">
        <f ca="1">IF(H56="个人住宅",D57,D58)</f>
        <v>108697</v>
      </c>
      <c r="E56" s="2330" t="s">
        <v>1364</v>
      </c>
      <c r="F56" s="2550" t="str">
        <f>IF(H56="正常",F58,"免征")</f>
        <v>——</v>
      </c>
      <c r="G56" s="2553" t="s">
        <v>1365</v>
      </c>
      <c r="H56" s="2554" t="s">
        <v>3549</v>
      </c>
      <c r="I56" s="1804"/>
      <c r="J56" s="251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2.75">
      <c r="A57" s="2331" t="s">
        <v>1341</v>
      </c>
      <c r="B57" s="3689" t="s">
        <v>1366</v>
      </c>
      <c r="C57" s="3690"/>
      <c r="D57" s="1586">
        <v>0</v>
      </c>
      <c r="E57" s="323" t="s">
        <v>1343</v>
      </c>
      <c r="F57" s="301"/>
      <c r="G57" s="2551"/>
      <c r="H57" s="2555"/>
      <c r="I57" s="1804"/>
      <c r="J57" s="3665">
        <f>IF(AND(J55="",J56=""),4,IF(项目基本情况!K6="上海银行",结果表!J56+1,结果表!J55+1))</f>
        <v>5</v>
      </c>
      <c r="K57" s="3665" t="s">
        <v>1367</v>
      </c>
      <c r="L57" s="2526" t="s">
        <v>1368</v>
      </c>
      <c r="M57" s="2527"/>
      <c r="N57" s="2528">
        <f ca="1">SUMIF(M52:M56,"&lt;9e307")</f>
        <v>120864</v>
      </c>
      <c r="O57" s="2529"/>
      <c r="P57" s="2686" t="e">
        <f ca="1">N57/M49</f>
        <v>#VALUE!</v>
      </c>
    </row>
    <row r="58" spans="1:35" ht="24.75">
      <c r="A58" s="2331" t="s">
        <v>1352</v>
      </c>
      <c r="B58" s="3689" t="s">
        <v>1369</v>
      </c>
      <c r="C58" s="3688"/>
      <c r="D58" s="2320">
        <f ca="1">IF(H58="转让取得",C81,C97)</f>
        <v>108697</v>
      </c>
      <c r="E58" s="2330" t="s">
        <v>1364</v>
      </c>
      <c r="F58" s="301" t="s">
        <v>28</v>
      </c>
      <c r="G58" s="2551"/>
      <c r="H58" s="2554" t="s">
        <v>3550</v>
      </c>
      <c r="I58" s="1804"/>
      <c r="J58" s="3665"/>
      <c r="K58" s="3665"/>
      <c r="L58" s="2526" t="s">
        <v>1370</v>
      </c>
      <c r="M58" s="2530"/>
      <c r="N58" s="2531" t="str">
        <f ca="1">NUMBERSTRING(INT(N57*10000),2)&amp;"元整"</f>
        <v>壹拾贰亿零捌佰陆拾肆万元整</v>
      </c>
      <c r="O58" s="2532"/>
    </row>
    <row r="59" spans="1:35" ht="24.75" thickBot="1">
      <c r="A59" s="3669" t="s">
        <v>1371</v>
      </c>
      <c r="B59" s="3670"/>
      <c r="C59" s="3670"/>
      <c r="D59" s="2556">
        <f ca="1">IF(H59="非个人房产","——",IF(H59="个人住宅（满五唯一有凭证）",0,IF(H59="个人其他（无凭证）",ROUND(D45*F59,0),ROUND(C67*F59,0))))</f>
        <v>1829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67">
        <f>J57+1</f>
        <v>6</v>
      </c>
      <c r="K59" s="3665" t="s">
        <v>1372</v>
      </c>
      <c r="L59" s="2519" t="s">
        <v>1368</v>
      </c>
      <c r="M59" s="2533"/>
      <c r="N59" s="2534" t="e">
        <f ca="1">M49-N57</f>
        <v>#VALUE!</v>
      </c>
      <c r="O59" s="2535"/>
    </row>
    <row r="60" spans="1:35" ht="12" customHeight="1">
      <c r="A60" s="1805"/>
      <c r="B60" s="1743"/>
      <c r="C60" s="1743"/>
      <c r="D60" s="1743"/>
      <c r="E60" s="1574"/>
      <c r="F60" s="1804"/>
      <c r="G60" s="1804"/>
      <c r="H60" s="1806"/>
      <c r="I60" s="129"/>
      <c r="J60" s="3668"/>
      <c r="K60" s="3665"/>
      <c r="L60" s="2526" t="s">
        <v>1370</v>
      </c>
      <c r="M60" s="2530"/>
      <c r="N60" s="2531" t="e">
        <f ca="1">NUMBERSTRING(INT(N59*10000),2)&amp;"元整"</f>
        <v>#VALUE!</v>
      </c>
      <c r="O60" s="2532"/>
    </row>
    <row r="61" spans="1:35" ht="13.5" thickBot="1">
      <c r="A61" s="3723" t="s">
        <v>1373</v>
      </c>
      <c r="B61" s="3723"/>
      <c r="C61" s="3723"/>
      <c r="D61" s="3723"/>
      <c r="E61" s="3723"/>
      <c r="F61" s="1804"/>
      <c r="G61" s="1804"/>
      <c r="H61" s="1806"/>
      <c r="I61" s="129"/>
      <c r="J61" s="2519">
        <f>J59+1</f>
        <v>7</v>
      </c>
      <c r="K61" s="3665" t="s">
        <v>1374</v>
      </c>
      <c r="L61" s="3665"/>
      <c r="M61" s="2536"/>
      <c r="N61" s="2537" t="e">
        <f ca="1">ROUND(N59*10000/'数据-汇总表'!E3,0)</f>
        <v>#VALUE!</v>
      </c>
      <c r="O61" s="2538"/>
    </row>
    <row r="62" spans="1:35" ht="12.75">
      <c r="A62" s="3684" t="s">
        <v>1375</v>
      </c>
      <c r="B62" s="3685"/>
      <c r="C62" s="2017"/>
      <c r="D62" s="2017" t="s">
        <v>1376</v>
      </c>
      <c r="E62" s="166" t="s">
        <v>1377</v>
      </c>
      <c r="F62" s="1804"/>
      <c r="G62" s="1804"/>
      <c r="H62" s="1806"/>
      <c r="I62" s="129"/>
    </row>
    <row r="63" spans="1:35" ht="12.75">
      <c r="A63" s="173" t="s">
        <v>330</v>
      </c>
      <c r="B63" s="167" t="s">
        <v>1378</v>
      </c>
      <c r="C63" s="2560">
        <f ca="1">ROUND((C64+C65)/(1+'数据-取费表'!C42),0)</f>
        <v>182898</v>
      </c>
      <c r="D63" s="167"/>
      <c r="E63" s="168"/>
      <c r="F63" s="1804"/>
      <c r="G63" s="1804"/>
      <c r="H63" s="1806"/>
      <c r="I63" s="129"/>
      <c r="J63" s="3648" t="s">
        <v>1379</v>
      </c>
      <c r="K63" s="1328" t="s">
        <v>1380</v>
      </c>
      <c r="L63" s="1328" t="e">
        <f>IF(M49&gt;10000,M49*0.5%,IF(AND(M49&gt;1000,M49&lt;=10000),M49*1%,IF(AND(M49&gt;100,M49&lt;=1000),M49*3%,IF(AND(M49&gt;10,M49&lt;=100),M49*5%,M49*8%))))</f>
        <v>#VALUE!</v>
      </c>
      <c r="M63" s="301" t="e">
        <f>ROUND(L63,1)</f>
        <v>#VALUE!</v>
      </c>
      <c r="N63" s="2539"/>
      <c r="Z63" s="1748"/>
      <c r="AI63" s="1749"/>
    </row>
    <row r="64" spans="1:35" ht="14.25" customHeight="1">
      <c r="A64" s="169" t="s">
        <v>325</v>
      </c>
      <c r="B64" s="170" t="s">
        <v>1381</v>
      </c>
      <c r="C64" s="2561">
        <f ca="1">D45</f>
        <v>192043</v>
      </c>
      <c r="D64" s="170" t="s">
        <v>26</v>
      </c>
      <c r="E64" s="172"/>
      <c r="F64" s="1804"/>
      <c r="G64" s="1804"/>
      <c r="H64" s="1806"/>
      <c r="I64" s="129"/>
      <c r="J64" s="3648"/>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8"/>
      <c r="K65" s="1328" t="s">
        <v>1385</v>
      </c>
      <c r="L65" s="1328" t="e">
        <f>IF(M49&gt;1000,M49*0.1%,IF(AND(M49&gt;500,M49&lt;=1000),M49*0.5%,IF(AND(M49&gt;50,M49&lt;=500),M49*1%,IF(AND(M49&gt;1,M49&lt;=50),M49*1.5%))))</f>
        <v>#VALUE!</v>
      </c>
      <c r="M65" s="301"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8"/>
      <c r="K66" s="1328" t="s">
        <v>1387</v>
      </c>
      <c r="L66" s="1328" t="e">
        <f>M49*0.5%</f>
        <v>#VALUE!</v>
      </c>
      <c r="M66" s="301" t="e">
        <f>IF(L66&gt;0.5,0.5,ROUND(L66,0))</f>
        <v>#VALUE!</v>
      </c>
      <c r="N66" s="2540" t="s">
        <v>1388</v>
      </c>
      <c r="Z66" s="1748"/>
      <c r="AI66" s="1749"/>
    </row>
    <row r="67" spans="1:35" ht="14.25" customHeight="1">
      <c r="A67" s="173" t="s">
        <v>328</v>
      </c>
      <c r="B67" s="174" t="s">
        <v>1389</v>
      </c>
      <c r="C67" s="2564">
        <f ca="1">C63-C66</f>
        <v>182898</v>
      </c>
      <c r="D67" s="170" t="s">
        <v>26</v>
      </c>
      <c r="E67" s="172"/>
      <c r="F67" s="1804"/>
      <c r="G67" s="1804"/>
      <c r="H67" s="1806"/>
      <c r="I67" s="129"/>
      <c r="J67" s="3648"/>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6" t="s">
        <v>329</v>
      </c>
      <c r="B68" s="177" t="s">
        <v>1391</v>
      </c>
      <c r="C68" s="2565">
        <f ca="1">IF(C67&lt;=0,0,ROUND(C67*D68,0))</f>
        <v>10242</v>
      </c>
      <c r="D68" s="2566">
        <f>'数据-取费表'!B41</f>
        <v>5.6000000000000001E-2</v>
      </c>
      <c r="E68" s="178"/>
      <c r="F68" s="1804"/>
      <c r="G68" s="1804"/>
      <c r="H68" s="1806"/>
      <c r="I68" s="129"/>
      <c r="J68" s="3648"/>
      <c r="K68" s="1328" t="s">
        <v>1392</v>
      </c>
      <c r="L68" s="1328"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648"/>
      <c r="K69" s="1328" t="s">
        <v>1393</v>
      </c>
      <c r="L69" s="1328"/>
      <c r="M69" s="301" t="e">
        <f>ROUND(SUM(M63:M68),0)</f>
        <v>#VALUE!</v>
      </c>
      <c r="N69" s="2541" t="e">
        <f>M69/M49</f>
        <v>#VALUE!</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92" t="s">
        <v>1394</v>
      </c>
      <c r="B70" s="3693"/>
      <c r="C70" s="3693"/>
      <c r="D70" s="3693"/>
      <c r="E70" s="3693"/>
      <c r="F70" s="3693"/>
      <c r="G70" s="3693"/>
      <c r="H70" s="369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84" t="s">
        <v>1375</v>
      </c>
      <c r="B71" s="3685"/>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182898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1097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4" t="s">
        <v>1401</v>
      </c>
      <c r="C76" s="170">
        <f>IF(F75="购房发票",ROUND(C75*H75*D76,0),0)</f>
        <v>0</v>
      </c>
      <c r="D76" s="2570">
        <v>0.05</v>
      </c>
      <c r="E76" s="3689" t="s">
        <v>1402</v>
      </c>
      <c r="F76" s="3688"/>
      <c r="G76" s="3688"/>
      <c r="H76" s="369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1097</v>
      </c>
      <c r="D78" s="2573">
        <f>'数据-取费表'!B43</f>
        <v>6.000000000000001E-3</v>
      </c>
      <c r="E78" s="3681" t="s">
        <v>1406</v>
      </c>
      <c r="F78" s="3682"/>
      <c r="G78" s="3682"/>
      <c r="H78" s="368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181801</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165.72561531449406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108697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92" t="s">
        <v>1410</v>
      </c>
      <c r="B83" s="3693"/>
      <c r="C83" s="3693"/>
      <c r="D83" s="3693"/>
      <c r="E83" s="3693"/>
      <c r="F83" s="3693"/>
      <c r="G83" s="3693"/>
      <c r="H83" s="369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84" t="s">
        <v>1375</v>
      </c>
      <c r="B84" s="3685"/>
      <c r="C84" s="2017"/>
      <c r="D84" s="2017" t="s">
        <v>1376</v>
      </c>
      <c r="E84" s="179" t="s">
        <v>1377</v>
      </c>
      <c r="F84" s="180"/>
      <c r="G84" s="180"/>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182898</v>
      </c>
      <c r="D85" s="170"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1097</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2" t="s">
        <v>1413</v>
      </c>
      <c r="F88" s="232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2" t="str">
        <f>IF(H88="-","土地取得成本中已包含该笔费用"," ")</f>
        <v xml:space="preserve"> </v>
      </c>
      <c r="F90" s="2323"/>
      <c r="G90" s="3650" t="s">
        <v>2129</v>
      </c>
      <c r="H90" s="3651"/>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81" t="s">
        <v>1419</v>
      </c>
      <c r="F91" s="3682"/>
      <c r="G91" s="368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81" t="s">
        <v>1422</v>
      </c>
      <c r="F92" s="3682"/>
      <c r="G92" s="3682"/>
      <c r="H92" s="3683"/>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1097</v>
      </c>
      <c r="D93" s="2573">
        <f>'数据-取费表'!B43</f>
        <v>6.000000000000001E-3</v>
      </c>
      <c r="E93" s="3681" t="s">
        <v>1406</v>
      </c>
      <c r="F93" s="3682"/>
      <c r="G93" s="3682"/>
      <c r="H93" s="368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725" t="s">
        <v>1426</v>
      </c>
      <c r="F94" s="3726"/>
      <c r="G94" s="3726"/>
      <c r="H94" s="372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181801</v>
      </c>
      <c r="D95" s="170"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165.72561531449406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108697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31" t="s">
        <v>1428</v>
      </c>
      <c r="B100" s="3632"/>
      <c r="C100" s="3632"/>
      <c r="D100" s="3666"/>
      <c r="E100" s="3632" t="s">
        <v>1429</v>
      </c>
      <c r="F100" s="3632"/>
      <c r="G100" s="3632"/>
      <c r="H100" s="3666"/>
      <c r="I100" s="129"/>
    </row>
    <row r="101" spans="1:35" ht="18.75" customHeight="1">
      <c r="A101" s="3674" t="s">
        <v>1430</v>
      </c>
      <c r="B101" s="3675"/>
      <c r="C101" s="2581" t="str">
        <f>C4</f>
        <v>成本法</v>
      </c>
      <c r="D101" s="2582" t="str">
        <f>D4</f>
        <v>收益法</v>
      </c>
      <c r="E101" s="3644" t="s">
        <v>1431</v>
      </c>
      <c r="F101" s="3645"/>
      <c r="G101" s="1823" t="s">
        <v>1432</v>
      </c>
      <c r="H101" s="2591">
        <f ca="1">H118</f>
        <v>192043</v>
      </c>
      <c r="I101" s="129"/>
    </row>
    <row r="102" spans="1:35" ht="18.75" customHeight="1">
      <c r="A102" s="3676" t="s">
        <v>1433</v>
      </c>
      <c r="B102" s="2580" t="s">
        <v>1432</v>
      </c>
      <c r="C102" s="2581">
        <f ca="1">IF(D32="楼面单价",ROUND(C19,0),C19)</f>
        <v>192260</v>
      </c>
      <c r="D102" s="2582">
        <f ca="1">IF(D32="楼面单价",ROUND(D19,0),D19)</f>
        <v>191825</v>
      </c>
      <c r="E102" s="3644"/>
      <c r="F102" s="3645"/>
      <c r="G102" s="1823" t="s">
        <v>1434</v>
      </c>
      <c r="H102" s="2551">
        <f ca="1">I118</f>
        <v>30777</v>
      </c>
      <c r="I102" s="129"/>
    </row>
    <row r="103" spans="1:35" ht="42.75" customHeight="1">
      <c r="A103" s="3676"/>
      <c r="B103" s="2580" t="s">
        <v>1434</v>
      </c>
      <c r="C103" s="2583">
        <f ca="1">C20</f>
        <v>30812</v>
      </c>
      <c r="D103" s="2584">
        <f ca="1">D20</f>
        <v>30742</v>
      </c>
      <c r="E103" s="3637" t="s">
        <v>1435</v>
      </c>
      <c r="F103" s="3638"/>
      <c r="G103" s="1824" t="s">
        <v>1436</v>
      </c>
      <c r="H103" s="2591">
        <f>IF(D36="正常操作",H104+H105+H106,H105+H106)</f>
        <v>0</v>
      </c>
      <c r="I103" s="129"/>
    </row>
    <row r="104" spans="1:35" ht="18.75" customHeight="1">
      <c r="A104" s="3676" t="s">
        <v>1437</v>
      </c>
      <c r="B104" s="2585" t="s">
        <v>1432</v>
      </c>
      <c r="C104" s="2586">
        <f ca="1">H118</f>
        <v>192043</v>
      </c>
      <c r="D104" s="2587"/>
      <c r="E104" s="1670" t="s">
        <v>1438</v>
      </c>
      <c r="F104" s="1662"/>
      <c r="G104" s="1824" t="s">
        <v>1436</v>
      </c>
      <c r="H104" s="2592">
        <f>IF(D36="同一抵押权人同一抵押物续贷",C36&amp;"（续贷，未扣减，详见特别提示）",C36)</f>
        <v>0</v>
      </c>
      <c r="I104" s="129"/>
    </row>
    <row r="105" spans="1:35" ht="18.75" customHeight="1" thickBot="1">
      <c r="A105" s="3686"/>
      <c r="B105" s="2588" t="s">
        <v>1434</v>
      </c>
      <c r="C105" s="2589">
        <f ca="1">I118</f>
        <v>30777</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77" t="str">
        <f>IF(项目基本情况!E8="已注销","——","3.房地产抵押价值")</f>
        <v>3.房地产抵押价值</v>
      </c>
      <c r="F107" s="3645"/>
      <c r="G107" s="1823" t="s">
        <v>1432</v>
      </c>
      <c r="H107" s="2591">
        <f ca="1">IF(E107="——","——",H101-H103)</f>
        <v>192043</v>
      </c>
      <c r="I107" s="129"/>
    </row>
    <row r="108" spans="1:35" ht="18.75" customHeight="1">
      <c r="A108" s="129"/>
      <c r="B108" s="129"/>
      <c r="C108" s="129"/>
      <c r="D108" s="129"/>
      <c r="E108" s="3677"/>
      <c r="F108" s="3645"/>
      <c r="G108" s="1823" t="s">
        <v>1434</v>
      </c>
      <c r="H108" s="2551">
        <f ca="1">IF(H107=H101,H102,ROUND(H107*10000/'数据-汇总表'!E3,0))</f>
        <v>30777</v>
      </c>
      <c r="I108" s="129"/>
    </row>
    <row r="109" spans="1:35" ht="18.75" customHeight="1">
      <c r="A109" s="129"/>
      <c r="B109" s="129"/>
      <c r="C109" s="129"/>
      <c r="D109" s="129"/>
      <c r="E109" s="3677" t="str">
        <f>IF(项目基本情况!E8="已注销及未注销","4.抵押担保权已注销时的房地产抵押价值",IF(项目基本情况!E8="已注销","3.抵押担保权已注销时的房地产抵押价值","——"))</f>
        <v>——</v>
      </c>
      <c r="F109" s="3645"/>
      <c r="G109" s="1823" t="s">
        <v>1432</v>
      </c>
      <c r="H109" s="2594" t="str">
        <f>IF(E109="——","——",H101-H105-H106)</f>
        <v>——</v>
      </c>
      <c r="I109" s="129"/>
    </row>
    <row r="110" spans="1:35" ht="18.75" customHeight="1">
      <c r="A110" s="129"/>
      <c r="B110" s="129"/>
      <c r="C110" s="129"/>
      <c r="D110" s="129"/>
      <c r="E110" s="3677"/>
      <c r="F110" s="3645"/>
      <c r="G110" s="1823" t="s">
        <v>1434</v>
      </c>
      <c r="H110" s="2551"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v>
      </c>
      <c r="F111" s="3664"/>
      <c r="G111" s="1823" t="s">
        <v>1432</v>
      </c>
      <c r="H111" s="2591" t="str">
        <f>IF(E111="——","——",N59)</f>
        <v>——</v>
      </c>
      <c r="I111" s="129"/>
    </row>
    <row r="112" spans="1:35" ht="18.75" customHeight="1" thickBot="1">
      <c r="A112" s="129"/>
      <c r="B112" s="129"/>
      <c r="C112" s="129"/>
      <c r="D112" s="129"/>
      <c r="E112" s="3679"/>
      <c r="F112" s="3680"/>
      <c r="G112" s="1826" t="s">
        <v>1434</v>
      </c>
      <c r="H112" s="2595" t="str">
        <f>IF(E111="——","——",N61)</f>
        <v>——</v>
      </c>
      <c r="I112" s="129"/>
    </row>
    <row r="113" spans="1:27" ht="18.75" customHeight="1">
      <c r="A113" s="129"/>
      <c r="B113" s="129"/>
      <c r="C113" s="129"/>
      <c r="D113" s="129"/>
      <c r="E113" s="3687" t="s">
        <v>1440</v>
      </c>
      <c r="F113" s="3687"/>
      <c r="G113" s="3687"/>
      <c r="H113" s="3687"/>
      <c r="I113" s="129"/>
    </row>
    <row r="114" spans="1:27" ht="3.75" customHeight="1">
      <c r="A114" s="1743"/>
      <c r="B114" s="1743"/>
      <c r="C114" s="1743"/>
      <c r="D114" s="1743"/>
      <c r="E114" s="1805"/>
      <c r="F114" s="1805"/>
      <c r="G114" s="1805"/>
      <c r="H114" s="1805"/>
      <c r="I114" s="1743"/>
    </row>
    <row r="115" spans="1:27" ht="18.75" customHeight="1">
      <c r="A115" s="3695" t="s">
        <v>1442</v>
      </c>
      <c r="B115" s="3696"/>
      <c r="C115" s="3696"/>
      <c r="D115" s="3696"/>
      <c r="E115" s="3696"/>
      <c r="F115" s="3696"/>
      <c r="G115" s="3696"/>
      <c r="H115" s="3696"/>
      <c r="I115" s="3697"/>
    </row>
    <row r="116" spans="1:27" ht="27" customHeight="1">
      <c r="A116" s="3652" t="s">
        <v>1443</v>
      </c>
      <c r="B116" s="3656" t="s">
        <v>1444</v>
      </c>
      <c r="C116" s="3656" t="s">
        <v>1445</v>
      </c>
      <c r="D116" s="3662" t="s">
        <v>1446</v>
      </c>
      <c r="E116" s="3663"/>
      <c r="F116" s="3694" t="s">
        <v>1447</v>
      </c>
      <c r="G116" s="3694"/>
      <c r="H116" s="3652" t="s">
        <v>1448</v>
      </c>
      <c r="I116" s="3652"/>
    </row>
    <row r="117" spans="1:27" ht="18.75" customHeight="1">
      <c r="A117" s="3652"/>
      <c r="B117" s="3657"/>
      <c r="C117" s="3657"/>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62397.95</v>
      </c>
      <c r="C118" s="2325">
        <f>M19</f>
        <v>12557.73</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192043</v>
      </c>
      <c r="I118" s="2325">
        <f ca="1">ROUND(IF(D32="楼面单价",C32,H118*10000/B118),0)</f>
        <v>30777</v>
      </c>
    </row>
    <row r="119" spans="1:27" ht="18.75" customHeight="1">
      <c r="A119" s="3652" t="s">
        <v>1452</v>
      </c>
      <c r="B119" s="3652"/>
      <c r="C119" s="3652"/>
      <c r="D119" s="3658" t="e">
        <f ca="1">NUMBERSTRING(INT(D118*10000),2)&amp;"元整"</f>
        <v>#REF!</v>
      </c>
      <c r="E119" s="3659"/>
      <c r="F119" s="3658" t="e">
        <f ca="1">NUMBERSTRING(INT(F118*10000),2)&amp;"元整"</f>
        <v>#REF!</v>
      </c>
      <c r="G119" s="3659"/>
      <c r="H119" s="3658" t="str">
        <f ca="1">NUMBERSTRING(INT(H118*10000),2)&amp;"元整"</f>
        <v>壹拾玖亿贰仟零肆拾叁万元整</v>
      </c>
      <c r="I119" s="3659"/>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8" t="s">
        <v>1452</v>
      </c>
      <c r="B121" s="3660"/>
      <c r="C121" s="3659"/>
      <c r="D121" s="3658" t="str">
        <f>IF(D120=0,"零元整",NUMBERSTRING(INT(D120*10000),2)&amp;"元整")</f>
        <v>零元整</v>
      </c>
      <c r="E121" s="3660"/>
      <c r="F121" s="3660"/>
      <c r="G121" s="3660"/>
      <c r="H121" s="3660"/>
      <c r="I121" s="3659"/>
      <c r="AA121" s="724"/>
    </row>
    <row r="122" spans="1:27" ht="18.75" customHeight="1">
      <c r="A122" s="3664" t="str">
        <f>IF(项目基本情况!B9="房地产市场价值","",MID(E107,3,LEN(E107)-2))</f>
        <v>房地产抵押价值</v>
      </c>
      <c r="B122" s="3664"/>
      <c r="C122" s="3664"/>
      <c r="D122" s="3653">
        <f ca="1">H107</f>
        <v>192043</v>
      </c>
      <c r="E122" s="3654"/>
      <c r="F122" s="3654"/>
      <c r="G122" s="3654"/>
      <c r="H122" s="3654"/>
      <c r="I122" s="3655"/>
      <c r="AA122" s="724"/>
    </row>
    <row r="123" spans="1:27" ht="18.75" customHeight="1">
      <c r="A123" s="3652" t="s">
        <v>1452</v>
      </c>
      <c r="B123" s="3652"/>
      <c r="C123" s="3652"/>
      <c r="D123" s="3658" t="str">
        <f ca="1">NUMBERSTRING(INT(D122*10000),2)&amp;"元整"</f>
        <v>壹拾玖亿贰仟零肆拾叁万元整</v>
      </c>
      <c r="E123" s="3660"/>
      <c r="F123" s="3660"/>
      <c r="G123" s="3660"/>
      <c r="H123" s="3660"/>
      <c r="I123" s="3659"/>
      <c r="AA123" s="724"/>
    </row>
    <row r="124" spans="1:27" ht="18.75" customHeight="1">
      <c r="A124" s="3664" t="str">
        <f>IF(项目基本情况!B9="房地产市场价值","",MID(E109,3,LEN(E109)-2))</f>
        <v/>
      </c>
      <c r="B124" s="3664"/>
      <c r="C124" s="3664"/>
      <c r="D124" s="3653" t="str">
        <f>H109</f>
        <v>——</v>
      </c>
      <c r="E124" s="3654"/>
      <c r="F124" s="3654"/>
      <c r="G124" s="3654"/>
      <c r="H124" s="3654"/>
      <c r="I124" s="3655"/>
      <c r="AA124" s="724"/>
    </row>
    <row r="125" spans="1:27" ht="18.75" customHeight="1">
      <c r="A125" s="3652" t="s">
        <v>1452</v>
      </c>
      <c r="B125" s="3652"/>
      <c r="C125" s="3652"/>
      <c r="D125" s="3658" t="e">
        <f>NUMBERSTRING(INT(D124*10000),2)&amp;"元整"</f>
        <v>#VALUE!</v>
      </c>
      <c r="E125" s="3660"/>
      <c r="F125" s="3660"/>
      <c r="G125" s="3660"/>
      <c r="H125" s="3660"/>
      <c r="I125" s="3659"/>
      <c r="AA125" s="724"/>
    </row>
    <row r="126" spans="1:27" ht="18.75" customHeight="1">
      <c r="A126" s="3664" t="str">
        <f>IF(项目基本情况!B9="房地产市场价值","",MID(E111,3,LEN(E111)-2))</f>
        <v/>
      </c>
      <c r="B126" s="3664"/>
      <c r="C126" s="3664"/>
      <c r="D126" s="3653" t="str">
        <f>H111</f>
        <v>——</v>
      </c>
      <c r="E126" s="3654"/>
      <c r="F126" s="3654"/>
      <c r="G126" s="3654"/>
      <c r="H126" s="3654"/>
      <c r="I126" s="3655"/>
      <c r="AA126" s="724"/>
    </row>
    <row r="127" spans="1:27" ht="18.75" customHeight="1">
      <c r="A127" s="3652" t="s">
        <v>1452</v>
      </c>
      <c r="B127" s="3652"/>
      <c r="C127" s="3652"/>
      <c r="D127" s="3658" t="e">
        <f>NUMBERSTRING(INT(D126*10000),2)&amp;"元整"</f>
        <v>#VALUE!</v>
      </c>
      <c r="E127" s="3660"/>
      <c r="F127" s="3660"/>
      <c r="G127" s="3660"/>
      <c r="H127" s="3660"/>
      <c r="I127" s="3659"/>
      <c r="AA127" s="724"/>
    </row>
    <row r="128" spans="1:27" ht="21.75" customHeight="1">
      <c r="A128" s="3661" t="s">
        <v>1453</v>
      </c>
      <c r="B128" s="3661"/>
      <c r="C128" s="3661"/>
      <c r="D128" s="3661"/>
      <c r="E128" s="3661"/>
      <c r="F128" s="3661"/>
      <c r="G128" s="3661"/>
      <c r="H128" s="3661"/>
      <c r="I128" s="3661"/>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204" priority="11" stopIfTrue="1">
      <formula>$H$88&lt;&gt;"仅含出让金"</formula>
    </cfRule>
  </conditionalFormatting>
  <conditionalFormatting sqref="C91">
    <cfRule type="expression" dxfId="203" priority="10" stopIfTrue="1">
      <formula>$H$91="由企业提供"</formula>
    </cfRule>
  </conditionalFormatting>
  <conditionalFormatting sqref="E36">
    <cfRule type="expression" dxfId="202" priority="9" stopIfTrue="1">
      <formula>$D$36="同一抵押权人同一抵押物续贷"</formula>
    </cfRule>
  </conditionalFormatting>
  <conditionalFormatting sqref="D5:D7">
    <cfRule type="cellIs" dxfId="201" priority="8" stopIfTrue="1" operator="equal">
      <formula>25</formula>
    </cfRule>
  </conditionalFormatting>
  <conditionalFormatting sqref="D8:D9">
    <cfRule type="cellIs" dxfId="200" priority="7" stopIfTrue="1" operator="equal">
      <formula>15</formula>
    </cfRule>
  </conditionalFormatting>
  <conditionalFormatting sqref="D10:D13">
    <cfRule type="cellIs" dxfId="199" priority="6" stopIfTrue="1" operator="equal">
      <formula>15</formula>
    </cfRule>
  </conditionalFormatting>
  <conditionalFormatting sqref="D14:D16">
    <cfRule type="cellIs" dxfId="198" priority="5" stopIfTrue="1" operator="equal">
      <formula>30</formula>
    </cfRule>
  </conditionalFormatting>
  <conditionalFormatting sqref="C5:C7">
    <cfRule type="cellIs" dxfId="197" priority="4" stopIfTrue="1" operator="equal">
      <formula>25</formula>
    </cfRule>
  </conditionalFormatting>
  <conditionalFormatting sqref="C8:C9">
    <cfRule type="cellIs" dxfId="196" priority="3" stopIfTrue="1" operator="equal">
      <formula>15</formula>
    </cfRule>
  </conditionalFormatting>
  <conditionalFormatting sqref="C10:C13">
    <cfRule type="cellIs" dxfId="195" priority="2" stopIfTrue="1" operator="equal">
      <formula>15</formula>
    </cfRule>
  </conditionalFormatting>
  <conditionalFormatting sqref="C14:C16">
    <cfRule type="cellIs" dxfId="194"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2">
        <f>MATCH(B1,'数据-取费表'!A6:A16,0)+5</f>
        <v>8</v>
      </c>
      <c r="H1" s="1057" t="str">
        <f>IF(ISERROR(FIND("住宅",B1)),"非住宅","住宅")</f>
        <v>非住宅</v>
      </c>
    </row>
    <row r="2" spans="1:8" s="199" customFormat="1" ht="18" customHeight="1">
      <c r="A2" s="200" t="s">
        <v>1462</v>
      </c>
      <c r="B2" s="3420">
        <f ca="1">ROUND(IF(D2="——",C52/10000,C52/10000-E2),4)</f>
        <v>48980.1515</v>
      </c>
      <c r="C2" s="198" t="s">
        <v>1463</v>
      </c>
      <c r="D2" s="1849" t="s">
        <v>43</v>
      </c>
      <c r="E2" s="1165"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7538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12995634</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12995634</v>
      </c>
      <c r="D8" s="221"/>
      <c r="E8" s="219"/>
      <c r="F8" s="220"/>
      <c r="G8" s="1852"/>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12995634</v>
      </c>
      <c r="D10" s="841">
        <f ca="1">IF(B1="",'数据-汇总表'!E6,IF(INDIRECT("'数据-取费表'!c"&amp;$G$1)="住宅",INDIRECT("'数据-取费表'!s"&amp;$G$1),INDIRECT("'数据-取费表'!k"&amp;$G$1)+INDIRECT("'数据-取费表'!s"&amp;$G$1)))</f>
        <v>64978.17</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12995634</v>
      </c>
      <c r="D19" s="845">
        <f ca="1">D9+D10</f>
        <v>64978.17</v>
      </c>
      <c r="E19" s="210">
        <f>'数据-取费表'!B31</f>
        <v>200</v>
      </c>
      <c r="F19" s="230"/>
      <c r="G19" s="1852"/>
    </row>
    <row r="20" spans="1:7" s="213" customFormat="1" ht="13.5" customHeight="1">
      <c r="A20" s="254" t="s">
        <v>1574</v>
      </c>
      <c r="B20" s="209" t="s">
        <v>1575</v>
      </c>
      <c r="C20" s="231">
        <f ca="1">ROUND((C5+C19)*F20,0)</f>
        <v>519825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2223611</v>
      </c>
      <c r="D22" s="234">
        <f ca="1">C26</f>
        <v>8.0000000000000004E-4</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1101019</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1101019</v>
      </c>
      <c r="D24" s="237"/>
      <c r="E24" s="237"/>
      <c r="F24" s="238"/>
      <c r="G24" s="239" t="s">
        <v>1586</v>
      </c>
    </row>
    <row r="25" spans="1:7" s="213" customFormat="1" ht="24">
      <c r="A25" s="776" t="s">
        <v>1476</v>
      </c>
      <c r="B25" s="214" t="s">
        <v>1587</v>
      </c>
      <c r="C25" s="1124">
        <f ca="1">ROUND(IF('数据-取费表'!B22&lt;=1,C20*F22*'数据-取费表'!B22/2,C20*(POWER((1+F22),'数据-取费表'!B22/2)-1)),0)</f>
        <v>21573</v>
      </c>
      <c r="D25" s="237"/>
      <c r="E25" s="240"/>
      <c r="F25" s="238"/>
      <c r="G25" s="241" t="s">
        <v>1588</v>
      </c>
    </row>
    <row r="26" spans="1:7" s="213" customFormat="1">
      <c r="A26" s="776" t="s">
        <v>350</v>
      </c>
      <c r="B26" s="214" t="s">
        <v>1511</v>
      </c>
      <c r="C26" s="237">
        <f ca="1">ROUND(IF('数据-取费表'!B22&lt;=1,F21*F22*'数据-取费表'!B22/2,F21*(POWER((1+F22),'数据-取费表'!B22/2)-1)),4)</f>
        <v>8.0000000000000004E-4</v>
      </c>
      <c r="D26" s="237"/>
      <c r="E26" s="240"/>
      <c r="F26" s="238"/>
      <c r="G26" s="242"/>
    </row>
    <row r="27" spans="1:7" s="213" customFormat="1" ht="24.75">
      <c r="A27" s="254" t="s">
        <v>1512</v>
      </c>
      <c r="B27" s="243" t="s">
        <v>1513</v>
      </c>
      <c r="C27" s="244">
        <f ca="1">C28</f>
        <v>5037108</v>
      </c>
      <c r="D27" s="234">
        <f ca="1">C29</f>
        <v>3.8E-3</v>
      </c>
      <c r="E27" s="235" t="s">
        <v>1514</v>
      </c>
      <c r="F27" s="245">
        <f ca="1">IF(B1="",'数据-取费表'!Q16,INDIRECT("'数据-取费表'!q"&amp;$G$1))</f>
        <v>0.19</v>
      </c>
      <c r="G27" s="246" t="s">
        <v>1515</v>
      </c>
    </row>
    <row r="28" spans="1:7" s="213" customFormat="1" ht="13.5" customHeight="1">
      <c r="A28" s="776" t="s">
        <v>346</v>
      </c>
      <c r="B28" s="247" t="s">
        <v>1516</v>
      </c>
      <c r="C28" s="248">
        <f ca="1">ROUND((C5+C19+C20)*F27,0)</f>
        <v>5037108</v>
      </c>
      <c r="D28" s="234"/>
      <c r="E28" s="235"/>
      <c r="F28" s="245"/>
      <c r="G28" s="246"/>
    </row>
    <row r="29" spans="1:7" s="213" customFormat="1" ht="13.5" customHeight="1">
      <c r="A29" s="776" t="s">
        <v>347</v>
      </c>
      <c r="B29" s="247" t="s">
        <v>1517</v>
      </c>
      <c r="C29" s="237">
        <f ca="1">ROUND(C21*F27,4)</f>
        <v>3.8E-3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36624891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384587201</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352219495</v>
      </c>
      <c r="D34" s="216"/>
      <c r="E34" s="219"/>
      <c r="F34" s="256"/>
      <c r="G34" s="218"/>
    </row>
    <row r="35" spans="1:7" ht="13.5" customHeight="1">
      <c r="A35" s="776" t="s">
        <v>351</v>
      </c>
      <c r="B35" s="214" t="s">
        <v>1527</v>
      </c>
      <c r="C35" s="219">
        <f ca="1">ROUND(C34*F35,0)</f>
        <v>14088780</v>
      </c>
      <c r="D35" s="219"/>
      <c r="E35" s="219"/>
      <c r="F35" s="258">
        <f>'数据-取费表'!B33</f>
        <v>0.04</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0.05</v>
      </c>
      <c r="G36" s="259" t="s">
        <v>1530</v>
      </c>
    </row>
    <row r="37" spans="1:7" s="257" customFormat="1" ht="13.5" customHeight="1">
      <c r="A37" s="776" t="s">
        <v>353</v>
      </c>
      <c r="B37" s="214" t="s">
        <v>1531</v>
      </c>
      <c r="C37" s="248">
        <f ca="1">ROUND(E37*D37,0)</f>
        <v>12995634</v>
      </c>
      <c r="D37" s="216">
        <f ca="1">D19</f>
        <v>64978.17</v>
      </c>
      <c r="E37" s="248">
        <f>'数据-取费表'!B35</f>
        <v>200</v>
      </c>
      <c r="F37" s="258"/>
      <c r="G37" s="260"/>
    </row>
    <row r="38" spans="1:7" ht="13.5" customHeight="1">
      <c r="A38" s="776" t="s">
        <v>354</v>
      </c>
      <c r="B38" s="214" t="s">
        <v>1533</v>
      </c>
      <c r="C38" s="219">
        <f ca="1">ROUND(C34*F38,0)</f>
        <v>5283292</v>
      </c>
      <c r="D38" s="219"/>
      <c r="E38" s="219"/>
      <c r="F38" s="258">
        <f>'数据-取费表'!B36</f>
        <v>1.4999999999999999E-2</v>
      </c>
      <c r="G38" s="218" t="s">
        <v>1528</v>
      </c>
    </row>
    <row r="39" spans="1:7" s="213" customFormat="1" ht="13.5" customHeight="1">
      <c r="A39" s="254" t="s">
        <v>1534</v>
      </c>
      <c r="B39" s="209" t="s">
        <v>1535</v>
      </c>
      <c r="C39" s="231">
        <f ca="1">ROUND(C33*F20,0)</f>
        <v>7691744</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16279576</v>
      </c>
      <c r="D41" s="234">
        <f ca="1">C44</f>
        <v>8.0000000000000004E-4</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15960369</v>
      </c>
      <c r="D42" s="237"/>
      <c r="E42" s="237"/>
      <c r="F42" s="238"/>
      <c r="G42" s="3730" t="s">
        <v>1591</v>
      </c>
    </row>
    <row r="43" spans="1:7" ht="13.5" customHeight="1">
      <c r="A43" s="776" t="s">
        <v>347</v>
      </c>
      <c r="B43" s="214" t="s">
        <v>1545</v>
      </c>
      <c r="C43" s="237">
        <f ca="1">ROUND(IF('数据-取费表'!B22&lt;=1,C39*F22*'数据-取费表'!B20/2,C39*(POWER((1+F22),'数据-取费表'!B20/2)-1)),0)</f>
        <v>319207</v>
      </c>
      <c r="D43" s="237"/>
      <c r="E43" s="237"/>
      <c r="F43" s="238"/>
      <c r="G43" s="3731"/>
    </row>
    <row r="44" spans="1:7" ht="13.5" customHeight="1">
      <c r="A44" s="776" t="s">
        <v>348</v>
      </c>
      <c r="B44" s="214" t="s">
        <v>1546</v>
      </c>
      <c r="C44" s="237">
        <f ca="1">ROUND(IF('数据-取费表'!B22&lt;=1,C40*F22*'数据-取费表'!B20/2,C40*(POWER((1+F22),'数据-取费表'!B20/2)-1)),4)</f>
        <v>8.0000000000000004E-4</v>
      </c>
      <c r="D44" s="237"/>
      <c r="E44" s="237"/>
      <c r="F44" s="238"/>
      <c r="G44" s="3732"/>
    </row>
    <row r="45" spans="1:7" s="213" customFormat="1" ht="13.5" customHeight="1">
      <c r="A45" s="254" t="s">
        <v>1547</v>
      </c>
      <c r="B45" s="243" t="s">
        <v>1513</v>
      </c>
      <c r="C45" s="244">
        <f ca="1">C46</f>
        <v>74533000</v>
      </c>
      <c r="D45" s="234">
        <f ca="1">C47</f>
        <v>3.8E-3</v>
      </c>
      <c r="E45" s="235" t="s">
        <v>1539</v>
      </c>
      <c r="F45" s="245">
        <f ca="1">F27</f>
        <v>0.19</v>
      </c>
      <c r="G45" s="246" t="s">
        <v>1548</v>
      </c>
    </row>
    <row r="46" spans="1:7" s="213" customFormat="1" ht="13.5" customHeight="1">
      <c r="A46" s="776" t="s">
        <v>346</v>
      </c>
      <c r="B46" s="247" t="s">
        <v>1549</v>
      </c>
      <c r="C46" s="248">
        <f ca="1">ROUND((C33+C39)*F27,0)</f>
        <v>74533000</v>
      </c>
      <c r="D46" s="262"/>
      <c r="E46" s="235"/>
      <c r="F46" s="245"/>
      <c r="G46" s="246"/>
    </row>
    <row r="47" spans="1:7" s="213" customFormat="1" ht="13.5" customHeight="1">
      <c r="A47" s="776" t="s">
        <v>347</v>
      </c>
      <c r="B47" s="247" t="s">
        <v>1550</v>
      </c>
      <c r="C47" s="237">
        <f ca="1">ROUND(C40*F27,4)</f>
        <v>3.8E-3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523903612</v>
      </c>
      <c r="D49" s="231"/>
      <c r="E49" s="231"/>
      <c r="F49" s="263"/>
      <c r="G49" s="233" t="s">
        <v>1554</v>
      </c>
    </row>
    <row r="50" spans="1:7" s="257" customFormat="1">
      <c r="A50" s="254" t="s">
        <v>1555</v>
      </c>
      <c r="B50" s="209" t="s">
        <v>1556</v>
      </c>
      <c r="C50" s="231"/>
      <c r="D50" s="231"/>
      <c r="E50" s="231"/>
      <c r="F50" s="263">
        <f>IF('数据-取费表'!B24=0,'数据-取费表'!N16,1)</f>
        <v>0.86499999999999999</v>
      </c>
      <c r="G50" s="246"/>
    </row>
    <row r="51" spans="1:7" ht="16.5" customHeight="1">
      <c r="A51" s="254" t="s">
        <v>1558</v>
      </c>
      <c r="B51" s="209" t="s">
        <v>1593</v>
      </c>
      <c r="C51" s="231">
        <f ca="1">ROUND(C49*F50,0)</f>
        <v>453176624</v>
      </c>
      <c r="D51" s="231"/>
      <c r="E51" s="231"/>
      <c r="F51" s="263"/>
      <c r="G51" s="233" t="s">
        <v>1560</v>
      </c>
    </row>
    <row r="52" spans="1:7" s="207" customFormat="1" ht="16.5" thickBot="1">
      <c r="A52" s="264" t="s">
        <v>1561</v>
      </c>
      <c r="B52" s="265"/>
      <c r="C52" s="266">
        <f ca="1">C31+C51</f>
        <v>489801515</v>
      </c>
      <c r="D52" s="265"/>
      <c r="E52" s="265"/>
      <c r="F52" s="265"/>
      <c r="G52" s="267"/>
    </row>
    <row r="55" spans="1:7" ht="15">
      <c r="B55" s="269" t="s">
        <v>1562</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7"/>
      <c r="C1" s="1188"/>
      <c r="D1" s="1186"/>
      <c r="E1" s="2802"/>
      <c r="F1" s="2802"/>
      <c r="G1" s="2667"/>
      <c r="H1" s="2802"/>
      <c r="I1" s="2802"/>
      <c r="J1" s="2802"/>
      <c r="K1" s="2803">
        <f>MATCH(C1,'数据-取费表'!A6:A16,0)+5</f>
        <v>8</v>
      </c>
    </row>
    <row r="2" spans="1:33" ht="18" customHeight="1">
      <c r="A2" s="200" t="s">
        <v>1462</v>
      </c>
      <c r="B2" s="203">
        <f ca="1">C32</f>
        <v>-61</v>
      </c>
      <c r="C2" s="275" t="s">
        <v>1595</v>
      </c>
      <c r="D2" s="275"/>
      <c r="E2" s="2802"/>
      <c r="F2" s="2802"/>
      <c r="G2" s="2802"/>
      <c r="H2" s="2802"/>
      <c r="I2" s="2802"/>
      <c r="J2" s="2802"/>
      <c r="K2" s="2802"/>
    </row>
    <row r="3" spans="1:33" ht="18" customHeight="1" thickBot="1">
      <c r="A3" s="202" t="s">
        <v>1464</v>
      </c>
      <c r="B3" s="203">
        <f ca="1">ROUND(B2*10000/IF(C1="",'数据-汇总表'!E3,INDIRECT("'数据-取费表'!K"&amp;$K$1)),0)</f>
        <v>-9</v>
      </c>
      <c r="C3" s="275" t="s">
        <v>1596</v>
      </c>
      <c r="D3" s="275"/>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0.05</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64978.17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64978.17</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52</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1300</v>
      </c>
      <c r="D20" s="842">
        <f ca="1">IF(C1="",'数据-汇总表'!E6,IF(INDIRECT("'数据-取费表'!c"&amp;$K$1)="住宅",INDIRECT("'数据-取费表'!s"&amp;$K$1),INDIRECT("'数据-取费表'!k"&amp;$K$1)+INDIRECT("'数据-取费表'!s"&amp;$K$1)))</f>
        <v>64978.17</v>
      </c>
      <c r="E20" s="21">
        <f>'数据-取费表'!B28</f>
        <v>200</v>
      </c>
      <c r="F20" s="800"/>
      <c r="G20" s="12"/>
      <c r="H20" s="805"/>
      <c r="I20" s="805"/>
      <c r="J20" s="805"/>
      <c r="K20" s="806"/>
    </row>
    <row r="21" spans="1:33" s="799" customFormat="1" ht="13.5" customHeight="1">
      <c r="A21" s="786" t="s">
        <v>357</v>
      </c>
      <c r="B21" s="809" t="s">
        <v>1628</v>
      </c>
      <c r="C21" s="810">
        <f ca="1">C16+C17+C18</f>
        <v>52</v>
      </c>
      <c r="D21" s="811"/>
      <c r="E21" s="280"/>
      <c r="F21" s="280"/>
      <c r="G21" s="131" t="s">
        <v>1629</v>
      </c>
      <c r="H21" s="803"/>
      <c r="I21" s="803"/>
      <c r="J21" s="803"/>
      <c r="K21" s="804"/>
    </row>
    <row r="22" spans="1:33" s="799" customFormat="1" ht="13.5" customHeight="1">
      <c r="A22" s="786" t="s">
        <v>1601</v>
      </c>
      <c r="B22" s="809" t="s">
        <v>1630</v>
      </c>
      <c r="C22" s="810">
        <f ca="1">ROUND(C21*F22,0)</f>
        <v>1</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9">
        <f ca="1">C26</f>
        <v>0</v>
      </c>
      <c r="E25" s="281" t="s">
        <v>12</v>
      </c>
      <c r="F25" s="282">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1641</v>
      </c>
      <c r="B28" s="1861" t="s">
        <v>1642</v>
      </c>
      <c r="C28" s="286">
        <f ca="1">C30</f>
        <v>10</v>
      </c>
      <c r="D28" s="279">
        <f ca="1">C29</f>
        <v>0</v>
      </c>
      <c r="E28" s="281" t="s">
        <v>12</v>
      </c>
      <c r="F28" s="287">
        <f ca="1">IF(C1="",'数据-取费表'!Q16,INDIRECT("'数据-取费表'!q"&amp;$K$1))</f>
        <v>0.19</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1" t="s">
        <v>1644</v>
      </c>
      <c r="H29" s="803"/>
      <c r="I29" s="803"/>
      <c r="J29" s="803"/>
      <c r="K29" s="804"/>
    </row>
    <row r="30" spans="1:33" s="290" customFormat="1" ht="13.5" customHeight="1">
      <c r="A30" s="796" t="s">
        <v>359</v>
      </c>
      <c r="B30" s="818" t="s">
        <v>1645</v>
      </c>
      <c r="C30" s="291">
        <f ca="1">ROUND((C21+C22+C23)*F28,0)</f>
        <v>10</v>
      </c>
      <c r="D30" s="283"/>
      <c r="E30" s="284"/>
      <c r="F30" s="289"/>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-61</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c r="D1" s="1358" t="s">
        <v>43</v>
      </c>
      <c r="E1" s="1359" t="s">
        <v>678</v>
      </c>
      <c r="F1" s="1058">
        <f ca="1">J53</f>
        <v>0</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2"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733" t="s">
        <v>694</v>
      </c>
      <c r="C6" s="1070">
        <f ca="1">ROUND(F6*F8*F7*(1-F9),0)</f>
        <v>0</v>
      </c>
      <c r="D6" s="155" t="s">
        <v>2106</v>
      </c>
      <c r="E6" s="301" t="s">
        <v>696</v>
      </c>
      <c r="F6" s="302">
        <f ca="1">INDIRECT("'数据-取费表'!u"&amp;$G$1)</f>
        <v>0</v>
      </c>
      <c r="G6" s="1380"/>
      <c r="H6" s="1065" t="s">
        <v>398</v>
      </c>
      <c r="I6" s="3733" t="s">
        <v>694</v>
      </c>
      <c r="J6" s="300">
        <f ca="1">ROUND(M6*M8*M7*(1-M9),0)</f>
        <v>0</v>
      </c>
      <c r="K6" s="1372" t="s">
        <v>2107</v>
      </c>
      <c r="L6" s="301" t="s">
        <v>696</v>
      </c>
      <c r="M6" s="302">
        <f ca="1">INDIRECT("'数据-取费表'!z"&amp;$G$1)</f>
        <v>0</v>
      </c>
    </row>
    <row r="7" spans="1:37" ht="18" customHeight="1">
      <c r="A7" s="1069"/>
      <c r="B7" s="3734"/>
      <c r="C7" s="1071"/>
      <c r="D7" s="306"/>
      <c r="E7" s="1072" t="s">
        <v>697</v>
      </c>
      <c r="F7" s="302">
        <f ca="1">IF(INDIRECT("'数据-取费表'!ah"&amp;$G$1)="",INDIRECT("'数据-取费表'!k"&amp;$G$1),INDIRECT("'数据-取费表'!ah"&amp;$G$1))</f>
        <v>0</v>
      </c>
      <c r="G7" s="1380"/>
      <c r="H7" s="303"/>
      <c r="I7" s="3734"/>
      <c r="J7" s="305"/>
      <c r="K7" s="306"/>
      <c r="L7" s="301" t="s">
        <v>697</v>
      </c>
      <c r="M7" s="302">
        <f ca="1">F7</f>
        <v>0</v>
      </c>
    </row>
    <row r="8" spans="1:37" ht="18" customHeight="1">
      <c r="A8" s="303"/>
      <c r="B8" s="3734"/>
      <c r="C8" s="305"/>
      <c r="D8" s="306"/>
      <c r="E8" s="301" t="s">
        <v>698</v>
      </c>
      <c r="F8" s="302">
        <f ca="1">INDIRECT("'数据-取费表'!ai"&amp;$G$1)</f>
        <v>0</v>
      </c>
      <c r="G8" s="1380"/>
      <c r="H8" s="303"/>
      <c r="I8" s="3734"/>
      <c r="J8" s="305"/>
      <c r="K8" s="306"/>
      <c r="L8" s="301" t="s">
        <v>698</v>
      </c>
      <c r="M8" s="302">
        <f ca="1">INDIRECT("'数据-取费表'!ai"&amp;$G$1)</f>
        <v>0</v>
      </c>
    </row>
    <row r="9" spans="1:37" ht="18" customHeight="1">
      <c r="A9" s="303"/>
      <c r="B9" s="3735"/>
      <c r="C9" s="305"/>
      <c r="D9" s="306"/>
      <c r="E9" s="301" t="s">
        <v>699</v>
      </c>
      <c r="F9" s="311">
        <f ca="1">INDIRECT("'数据-取费表'!w"&amp;$G$1)</f>
        <v>0</v>
      </c>
      <c r="G9" s="1380"/>
      <c r="H9" s="303"/>
      <c r="I9" s="3735"/>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c r="G10" s="1380"/>
      <c r="H10" s="1065" t="s">
        <v>402</v>
      </c>
      <c r="I10" s="1361" t="s">
        <v>700</v>
      </c>
      <c r="J10" s="300">
        <f ca="1">ROUND(IF(M10="押一",J6/12*M11,IF(M10="押二",J6/12*2*M11,IF(M10="押三",J6/12*3*M11,J11*M11))),0)</f>
        <v>0</v>
      </c>
      <c r="K10" s="1373" t="s">
        <v>2118</v>
      </c>
      <c r="L10" s="312" t="s">
        <v>701</v>
      </c>
      <c r="M10" s="1112"/>
    </row>
    <row r="11" spans="1:37" ht="18" customHeight="1">
      <c r="A11" s="307"/>
      <c r="B11" s="1363" t="s">
        <v>890</v>
      </c>
      <c r="C11" s="955"/>
      <c r="D11" s="306"/>
      <c r="E11" s="312" t="s">
        <v>702</v>
      </c>
      <c r="F11" s="313">
        <f ca="1">'数据-取费表'!B39</f>
        <v>1.4999999999999999E-2</v>
      </c>
      <c r="G11" s="1380"/>
      <c r="H11" s="1073"/>
      <c r="I11" s="1363" t="s">
        <v>891</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1" t="s">
        <v>726</v>
      </c>
      <c r="E19" s="1356"/>
      <c r="F19" s="23"/>
      <c r="G19" s="1380"/>
      <c r="H19" s="978" t="s">
        <v>399</v>
      </c>
      <c r="I19" s="301" t="s">
        <v>727</v>
      </c>
      <c r="J19" s="21">
        <f ca="1">IF(K19="按租金收入计税",ROUND(J6*M19/(1+'数据-取费表'!C42),0),ROUND(C29*M19*0.7,0))</f>
        <v>0</v>
      </c>
      <c r="K19" s="1366" t="s">
        <v>3342</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0.02</v>
      </c>
      <c r="G20" s="1392"/>
      <c r="H20" s="978" t="s">
        <v>680</v>
      </c>
      <c r="I20" s="155" t="s">
        <v>730</v>
      </c>
      <c r="J20" s="22">
        <f ca="1">ROUND(M20*M21,0)</f>
        <v>0</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1"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4" t="s">
        <v>2310</v>
      </c>
      <c r="I31" s="1394"/>
      <c r="J31" s="1395"/>
      <c r="K31" s="2471"/>
      <c r="L31" s="2694"/>
      <c r="M31" s="2695"/>
    </row>
    <row r="32" spans="1:37" ht="18" customHeight="1">
      <c r="A32" s="978" t="s">
        <v>397</v>
      </c>
      <c r="B32" s="301" t="s">
        <v>723</v>
      </c>
      <c r="C32" s="21" t="str">
        <f>IF(项目基本情况!B11="自然人","——",ROUND(C6*F32/(1+'数据-取费表'!C42),0))</f>
        <v>——</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IF(项目基本情况!B11="自然人","——",IF(D33="按租金收入计税",ROUND(C6*F33/(1+'数据-取费表'!C42),0),IF(D33="按房产原值计税",ROUND(C29*F33*0.7,0),INDIRECT("'数据-取费表'!Aj"&amp;$G$1))))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IF(项目基本情况!B11="自然人","——",ROUND(F34*F35,0))</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0</v>
      </c>
      <c r="G35" s="1380"/>
      <c r="H35" s="2693"/>
      <c r="I35" s="1394"/>
      <c r="J35" s="1395"/>
      <c r="K35" s="2697"/>
      <c r="L35" s="2696"/>
      <c r="M35" s="2696"/>
    </row>
    <row r="36" spans="1:18" ht="18" customHeight="1">
      <c r="A36" s="1098" t="s">
        <v>402</v>
      </c>
      <c r="B36" s="301" t="s">
        <v>738</v>
      </c>
      <c r="C36" s="21">
        <f ca="1">ROUND(C29*F36,0)</f>
        <v>0</v>
      </c>
      <c r="D36" s="1340" t="s">
        <v>771</v>
      </c>
      <c r="E36" s="301" t="s">
        <v>712</v>
      </c>
      <c r="F36" s="327">
        <f ca="1">INDIRECT("'数据-取费表'!Ak"&amp;$G$1)</f>
        <v>0</v>
      </c>
      <c r="G36" s="1380"/>
      <c r="H36" s="2696"/>
      <c r="I36" s="1394"/>
      <c r="J36" s="1395"/>
      <c r="K36" s="2540"/>
      <c r="L36" s="2696"/>
      <c r="M36" s="2696"/>
    </row>
    <row r="37" spans="1:18" ht="18" customHeight="1">
      <c r="A37" s="978" t="s">
        <v>437</v>
      </c>
      <c r="B37" s="301" t="s">
        <v>742</v>
      </c>
      <c r="C37" s="21">
        <f ca="1">ROUND(C13*F37,0)</f>
        <v>0</v>
      </c>
      <c r="D37" s="1340" t="s">
        <v>743</v>
      </c>
      <c r="E37" s="301" t="s">
        <v>744</v>
      </c>
      <c r="F37" s="329">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9">
        <f ca="1">C5-C30</f>
        <v>0</v>
      </c>
      <c r="D39" s="1091" t="s">
        <v>773</v>
      </c>
      <c r="E39" s="1092"/>
      <c r="F39" s="1093"/>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766</v>
      </c>
      <c r="F42" s="311">
        <f ca="1">INDIRECT("'数据-取费表'!v"&amp;$G$1)</f>
        <v>0</v>
      </c>
      <c r="G42" s="1380"/>
      <c r="H42" s="1187"/>
      <c r="I42" s="1394"/>
      <c r="J42" s="1395"/>
      <c r="K42" s="2540"/>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1"/>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9" t="s">
        <v>692</v>
      </c>
      <c r="C48" s="1355">
        <f ca="1">C49+C53+C55</f>
        <v>0</v>
      </c>
      <c r="D48" s="1108"/>
      <c r="E48" s="1109"/>
      <c r="F48" s="958"/>
      <c r="G48" s="721"/>
      <c r="H48" s="722"/>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22"/>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22"/>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2119</v>
      </c>
      <c r="E53" s="312" t="s">
        <v>701</v>
      </c>
      <c r="F53" s="1112"/>
      <c r="I53" s="1435" t="s">
        <v>836</v>
      </c>
      <c r="J53" s="2164">
        <f ca="1">IF(M47="住宅",IF(D1="——",MAX(J51,L48),MAX(J51,L48-'数据-取费表'!B24)),IF(D1="——",MIN(J51,L48),MIN(J51,L48-'数据-取费表'!B24)))</f>
        <v>0</v>
      </c>
      <c r="K53" s="3736" t="s">
        <v>837</v>
      </c>
      <c r="L53" s="3737"/>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7">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4" t="s">
        <v>393</v>
      </c>
      <c r="B58" s="954" t="s">
        <v>714</v>
      </c>
      <c r="C58" s="315">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IF(项目基本情况!B11="自然人","——",ROUND(C48*F60/(1+'数据-取费表'!C42),0))</f>
        <v>——</v>
      </c>
      <c r="D60" s="960" t="s">
        <v>724</v>
      </c>
      <c r="E60" s="946"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IF(项目基本情况!B11="自然人","——",ROUND(F62*F63,0))</f>
        <v>——</v>
      </c>
      <c r="D62" s="961" t="s">
        <v>786</v>
      </c>
      <c r="E62" s="946" t="s">
        <v>787</v>
      </c>
      <c r="F62" s="324">
        <f t="shared" si="0"/>
        <v>12</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1">
        <f t="shared" ca="1" si="0"/>
        <v>0</v>
      </c>
      <c r="O66" s="1414" t="s">
        <v>404</v>
      </c>
      <c r="P66" s="1415" t="s">
        <v>846</v>
      </c>
      <c r="Q66" s="1416" t="e">
        <f ca="1">L60</f>
        <v>#DIV/0!</v>
      </c>
      <c r="R66" s="1416" t="s">
        <v>869</v>
      </c>
    </row>
    <row r="67" spans="1:18" s="1380" customFormat="1" ht="16.5"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5" thickBot="1">
      <c r="A69" s="947"/>
      <c r="B69" s="948"/>
      <c r="C69" s="305"/>
      <c r="D69" s="966" t="s">
        <v>762</v>
      </c>
      <c r="E69" s="946" t="s">
        <v>763</v>
      </c>
      <c r="F69" s="332">
        <f ca="1">F41</f>
        <v>0</v>
      </c>
      <c r="O69" s="1424" t="s">
        <v>411</v>
      </c>
      <c r="P69" s="1463" t="s">
        <v>872</v>
      </c>
      <c r="Q69" s="1416">
        <f ca="1">C39</f>
        <v>0</v>
      </c>
      <c r="R69" s="1416" t="s">
        <v>818</v>
      </c>
    </row>
    <row r="70" spans="1:18" s="1380" customFormat="1" ht="13.5" thickBot="1">
      <c r="A70" s="950"/>
      <c r="B70" s="951"/>
      <c r="C70" s="309"/>
      <c r="D70" s="962"/>
      <c r="E70" s="946" t="s">
        <v>766</v>
      </c>
      <c r="F70" s="1050"/>
      <c r="O70" s="1424" t="s">
        <v>412</v>
      </c>
      <c r="P70" s="1463" t="s">
        <v>873</v>
      </c>
      <c r="Q70" s="1416">
        <f ca="1">C13</f>
        <v>0</v>
      </c>
      <c r="R70" s="1416" t="s">
        <v>818</v>
      </c>
    </row>
    <row r="71" spans="1:18" s="1380" customFormat="1" ht="13.5"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1" t="s">
        <v>2318</v>
      </c>
      <c r="B2" s="2839" t="e">
        <f>IF(D2="——",C40,C40+E2)</f>
        <v>#DIV/0!</v>
      </c>
      <c r="C2" s="2840" t="s">
        <v>2319</v>
      </c>
      <c r="D2" s="3439" t="s">
        <v>3365</v>
      </c>
      <c r="E2" s="3440"/>
      <c r="F2" s="2842"/>
      <c r="G2" s="2843"/>
      <c r="H2" s="2844"/>
      <c r="I2" s="2845"/>
      <c r="J2" s="3738" t="s">
        <v>2320</v>
      </c>
      <c r="K2" s="3739"/>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0" t="s">
        <v>2330</v>
      </c>
      <c r="K3" s="3741"/>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0" t="s">
        <v>2332</v>
      </c>
      <c r="K4" s="3741"/>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2" t="s">
        <v>2336</v>
      </c>
      <c r="B6" s="3743"/>
      <c r="C6" s="3744"/>
      <c r="D6" s="2866"/>
      <c r="E6" s="2867"/>
      <c r="F6" s="2868"/>
      <c r="G6" s="2869"/>
      <c r="H6" s="2844"/>
      <c r="I6" s="2845"/>
      <c r="J6" s="3745">
        <v>1</v>
      </c>
      <c r="K6" s="3746"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5"/>
      <c r="K7" s="3747"/>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49" t="s">
        <v>2350</v>
      </c>
      <c r="C8" s="3750"/>
      <c r="D8" s="2885" t="s">
        <v>2351</v>
      </c>
      <c r="E8" s="2886" t="s">
        <v>2352</v>
      </c>
      <c r="F8" s="2887" t="s">
        <v>2353</v>
      </c>
      <c r="G8" s="2888"/>
      <c r="H8" s="2844"/>
      <c r="I8" s="2845"/>
      <c r="J8" s="3745"/>
      <c r="K8" s="3747"/>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49" t="s">
        <v>2356</v>
      </c>
      <c r="C9" s="3750"/>
      <c r="D9" s="2885">
        <f>ROUND(D6*E9,0)</f>
        <v>0</v>
      </c>
      <c r="E9" s="2889"/>
      <c r="F9" s="2890" t="s">
        <v>2357</v>
      </c>
      <c r="G9" s="2869"/>
      <c r="H9" s="2844"/>
      <c r="I9" s="2845"/>
      <c r="J9" s="3745"/>
      <c r="K9" s="3747"/>
      <c r="L9" s="2879" t="s">
        <v>2358</v>
      </c>
      <c r="M9" s="2880"/>
      <c r="N9" s="2856"/>
      <c r="O9" s="2881"/>
      <c r="P9" s="2881"/>
      <c r="Q9" s="2882">
        <v>365</v>
      </c>
      <c r="R9" s="2883">
        <f t="shared" si="0"/>
        <v>0</v>
      </c>
      <c r="S9" s="2837"/>
      <c r="T9" s="2837"/>
      <c r="U9" s="2837"/>
      <c r="V9" s="2845"/>
    </row>
    <row r="10" spans="1:22" s="2849" customFormat="1" ht="13.15" customHeight="1">
      <c r="A10" s="2884">
        <v>2</v>
      </c>
      <c r="B10" s="3749" t="s">
        <v>2359</v>
      </c>
      <c r="C10" s="3750"/>
      <c r="D10" s="2885">
        <f>ROUND(D6*E10,0)</f>
        <v>0</v>
      </c>
      <c r="E10" s="2889"/>
      <c r="F10" s="2890" t="s">
        <v>2360</v>
      </c>
      <c r="G10" s="2869"/>
      <c r="H10" s="2844"/>
      <c r="I10" s="2845"/>
      <c r="J10" s="3745"/>
      <c r="K10" s="3747"/>
      <c r="L10" s="2879" t="s">
        <v>2361</v>
      </c>
      <c r="M10" s="2880"/>
      <c r="N10" s="2856"/>
      <c r="O10" s="2881"/>
      <c r="P10" s="2881"/>
      <c r="Q10" s="2882">
        <v>365</v>
      </c>
      <c r="R10" s="2883">
        <f t="shared" si="0"/>
        <v>0</v>
      </c>
      <c r="S10" s="2837"/>
      <c r="T10" s="2837"/>
      <c r="U10" s="2837"/>
      <c r="V10" s="2845"/>
    </row>
    <row r="11" spans="1:22" s="2849" customFormat="1" ht="13.15" customHeight="1">
      <c r="A11" s="2884">
        <v>3</v>
      </c>
      <c r="B11" s="3749" t="s">
        <v>2362</v>
      </c>
      <c r="C11" s="3750"/>
      <c r="D11" s="2885">
        <f>D12+D14+D15+D16</f>
        <v>0</v>
      </c>
      <c r="E11" s="2891" t="e">
        <f>D11/D6</f>
        <v>#DIV/0!</v>
      </c>
      <c r="F11" s="2887"/>
      <c r="G11" s="2888"/>
      <c r="H11" s="2844"/>
      <c r="I11" s="2845"/>
      <c r="J11" s="3745"/>
      <c r="K11" s="3747"/>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1" t="s">
        <v>2365</v>
      </c>
      <c r="C12" s="3752"/>
      <c r="D12" s="2893">
        <f>ROUND(D13*1.2%*(1-30%),0)</f>
        <v>0</v>
      </c>
      <c r="E12" s="2894">
        <v>1.2E-2</v>
      </c>
      <c r="F12" s="2887" t="s">
        <v>2366</v>
      </c>
      <c r="G12" s="2888"/>
      <c r="H12" s="2844"/>
      <c r="I12" s="2845"/>
      <c r="J12" s="3745"/>
      <c r="K12" s="3747"/>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5"/>
      <c r="K13" s="3747"/>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1" t="s">
        <v>2371</v>
      </c>
      <c r="C14" s="3752"/>
      <c r="D14" s="2893">
        <f>ROUND(E14*B5/10000,0)</f>
        <v>0</v>
      </c>
      <c r="E14" s="2882"/>
      <c r="F14" s="2887" t="s">
        <v>2372</v>
      </c>
      <c r="G14" s="2888"/>
      <c r="H14" s="2844"/>
      <c r="I14" s="2845"/>
      <c r="J14" s="3745"/>
      <c r="K14" s="3748"/>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1" t="s">
        <v>2375</v>
      </c>
      <c r="C15" s="3752"/>
      <c r="D15" s="2893">
        <f>ROUND(D6*E15,0)</f>
        <v>0</v>
      </c>
      <c r="E15" s="2894">
        <v>5.5E-2</v>
      </c>
      <c r="F15" s="2887" t="s">
        <v>2376</v>
      </c>
      <c r="G15" s="2869"/>
      <c r="H15" s="2844"/>
      <c r="I15" s="2845"/>
      <c r="J15" s="3745">
        <v>2</v>
      </c>
      <c r="K15" s="3746"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1" t="s">
        <v>2384</v>
      </c>
      <c r="C16" s="3752"/>
      <c r="D16" s="2904">
        <f>D6*E16</f>
        <v>0</v>
      </c>
      <c r="E16" s="2905"/>
      <c r="F16" s="2890" t="s">
        <v>2385</v>
      </c>
      <c r="G16" s="2869"/>
      <c r="H16" s="2844"/>
      <c r="I16" s="2845"/>
      <c r="J16" s="3745"/>
      <c r="K16" s="3747"/>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3" t="s">
        <v>2387</v>
      </c>
      <c r="C17" s="3754"/>
      <c r="D17" s="2907">
        <f>ROUND(D6*E17,0)</f>
        <v>0</v>
      </c>
      <c r="E17" s="2908"/>
      <c r="F17" s="2909" t="s">
        <v>2388</v>
      </c>
      <c r="G17" s="2869"/>
      <c r="H17" s="2844"/>
      <c r="I17" s="2845"/>
      <c r="J17" s="3745"/>
      <c r="K17" s="3747"/>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5"/>
      <c r="K18" s="3747"/>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5"/>
      <c r="K19" s="3748"/>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5">
        <v>3</v>
      </c>
      <c r="K20" s="3746"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5"/>
      <c r="K21" s="3747"/>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5"/>
      <c r="K22" s="3747"/>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5"/>
      <c r="K23" s="3747"/>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5"/>
      <c r="K24" s="3748"/>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5">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38" t="s">
        <v>2320</v>
      </c>
      <c r="K32" s="3739"/>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0" t="s">
        <v>2330</v>
      </c>
      <c r="K33" s="3741"/>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0" t="s">
        <v>2332</v>
      </c>
      <c r="K34" s="374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5">
        <v>1</v>
      </c>
      <c r="K36" s="3746"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5"/>
      <c r="K37" s="3747"/>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5"/>
      <c r="K38" s="3747"/>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5"/>
      <c r="K39" s="3747"/>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5"/>
      <c r="K40" s="3748"/>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5">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64978.17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1666</v>
      </c>
      <c r="B4" s="355"/>
      <c r="C4" s="3775" t="s">
        <v>1667</v>
      </c>
      <c r="D4" s="3776"/>
      <c r="E4" s="3777" t="s">
        <v>1668</v>
      </c>
      <c r="F4" s="3778"/>
      <c r="G4" s="3775" t="s">
        <v>1669</v>
      </c>
      <c r="H4" s="3776"/>
      <c r="I4" s="3775" t="s">
        <v>1670</v>
      </c>
      <c r="J4" s="3776"/>
      <c r="K4" s="1885" t="s">
        <v>1671</v>
      </c>
      <c r="L4" s="2711"/>
      <c r="M4" s="2712"/>
      <c r="N4" s="2712"/>
      <c r="O4" s="2712"/>
      <c r="P4" s="3779" t="s">
        <v>1672</v>
      </c>
      <c r="Q4" s="3780"/>
      <c r="R4" s="3762" t="s">
        <v>1668</v>
      </c>
      <c r="S4" s="3763"/>
      <c r="T4" s="3762" t="s">
        <v>1669</v>
      </c>
      <c r="U4" s="3763"/>
      <c r="V4" s="3787" t="s">
        <v>1670</v>
      </c>
      <c r="W4" s="3787"/>
      <c r="X4" s="1351"/>
      <c r="Y4" s="3762" t="s">
        <v>1672</v>
      </c>
      <c r="Z4" s="3763"/>
      <c r="AA4" s="3757" t="s">
        <v>1668</v>
      </c>
      <c r="AB4" s="3757" t="s">
        <v>1669</v>
      </c>
      <c r="AC4" s="3757" t="s">
        <v>1670</v>
      </c>
    </row>
    <row r="5" spans="1:29" ht="15">
      <c r="A5" s="357"/>
      <c r="B5" s="358"/>
      <c r="C5" s="3768" t="s">
        <v>1673</v>
      </c>
      <c r="D5" s="3769"/>
      <c r="E5" s="3766" t="s">
        <v>1674</v>
      </c>
      <c r="F5" s="3767"/>
      <c r="G5" s="3768" t="s">
        <v>1675</v>
      </c>
      <c r="H5" s="3769"/>
      <c r="I5" s="3768" t="s">
        <v>1676</v>
      </c>
      <c r="J5" s="3769"/>
      <c r="K5" s="1886"/>
      <c r="L5" s="2711"/>
      <c r="M5" s="2712"/>
      <c r="N5" s="2712"/>
      <c r="O5" s="2712"/>
      <c r="P5" s="3781"/>
      <c r="Q5" s="3782"/>
      <c r="R5" s="3764"/>
      <c r="S5" s="3765"/>
      <c r="T5" s="3764"/>
      <c r="U5" s="3765"/>
      <c r="V5" s="3787"/>
      <c r="W5" s="3787"/>
      <c r="X5" s="1351"/>
      <c r="Y5" s="3764"/>
      <c r="Z5" s="3765"/>
      <c r="AA5" s="3758"/>
      <c r="AB5" s="3758"/>
      <c r="AC5" s="3758"/>
    </row>
    <row r="6" spans="1:29" ht="15.75" thickBot="1">
      <c r="A6" s="359"/>
      <c r="B6" s="360"/>
      <c r="C6" s="3770" t="s">
        <v>1677</v>
      </c>
      <c r="D6" s="3771"/>
      <c r="E6" s="3772" t="s">
        <v>1677</v>
      </c>
      <c r="F6" s="3773"/>
      <c r="G6" s="3770" t="s">
        <v>1677</v>
      </c>
      <c r="H6" s="3771"/>
      <c r="I6" s="3770" t="s">
        <v>1677</v>
      </c>
      <c r="J6" s="3771"/>
      <c r="K6" s="1886" t="s">
        <v>1678</v>
      </c>
      <c r="L6" s="2711"/>
      <c r="M6" s="2712"/>
      <c r="N6" s="2712"/>
      <c r="O6" s="2712"/>
      <c r="P6" s="3783"/>
      <c r="Q6" s="3784"/>
      <c r="R6" s="3764"/>
      <c r="S6" s="3765"/>
      <c r="T6" s="3785"/>
      <c r="U6" s="3786"/>
      <c r="V6" s="3787"/>
      <c r="W6" s="3787"/>
      <c r="X6" s="1351"/>
      <c r="Y6" s="3785"/>
      <c r="Z6" s="3786"/>
      <c r="AA6" s="3759"/>
      <c r="AB6" s="3759"/>
      <c r="AC6" s="3759"/>
    </row>
    <row r="7" spans="1:29" s="108" customFormat="1" ht="15.75" thickBot="1">
      <c r="A7" s="361" t="s">
        <v>1679</v>
      </c>
      <c r="B7" s="362"/>
      <c r="C7" s="363">
        <f>'数据-取费表'!B2</f>
        <v>45005</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60" t="s">
        <v>1680</v>
      </c>
      <c r="Q7" s="3788"/>
      <c r="R7" s="700" t="s">
        <v>20</v>
      </c>
      <c r="S7" s="701">
        <f t="shared" ref="S7:S15" si="0">F7</f>
        <v>0</v>
      </c>
      <c r="T7" s="700" t="s">
        <v>20</v>
      </c>
      <c r="U7" s="701">
        <f t="shared" ref="U7:U15" si="1">H7</f>
        <v>0</v>
      </c>
      <c r="V7" s="700" t="s">
        <v>20</v>
      </c>
      <c r="W7" s="701">
        <f t="shared" ref="W7:W15" si="2">J7</f>
        <v>0</v>
      </c>
      <c r="X7" s="702"/>
      <c r="Y7" s="3760" t="s">
        <v>1680</v>
      </c>
      <c r="Z7" s="3761"/>
      <c r="AA7" s="703" t="e">
        <f>D7/F7</f>
        <v>#DIV/0!</v>
      </c>
      <c r="AB7" s="703" t="e">
        <f>D7/H7</f>
        <v>#DIV/0!</v>
      </c>
      <c r="AC7" s="703"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60" t="s">
        <v>1683</v>
      </c>
      <c r="Q8" s="3761"/>
      <c r="R8" s="700" t="s">
        <v>20</v>
      </c>
      <c r="S8" s="701">
        <f t="shared" si="0"/>
        <v>100</v>
      </c>
      <c r="T8" s="700" t="s">
        <v>20</v>
      </c>
      <c r="U8" s="701">
        <f t="shared" si="1"/>
        <v>100</v>
      </c>
      <c r="V8" s="700" t="s">
        <v>20</v>
      </c>
      <c r="W8" s="701">
        <f t="shared" si="2"/>
        <v>100</v>
      </c>
      <c r="X8" s="702"/>
      <c r="Y8" s="3760" t="s">
        <v>1683</v>
      </c>
      <c r="Z8" s="3761"/>
      <c r="AA8" s="703">
        <f t="shared" ref="AA8:AA19" si="3">D8/F8</f>
        <v>1</v>
      </c>
      <c r="AB8" s="703">
        <f t="shared" ref="AB8:AB19" si="4">D8/H8</f>
        <v>1</v>
      </c>
      <c r="AC8" s="703">
        <f t="shared" ref="AC8:AC19" si="5">D8/J8</f>
        <v>1</v>
      </c>
    </row>
    <row r="9" spans="1:29" s="108" customFormat="1">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7"/>
      <c r="L9" s="2713"/>
      <c r="M9" s="2714"/>
      <c r="N9" s="2714"/>
      <c r="O9" s="2714"/>
      <c r="P9" s="3774"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1"/>
      <c r="F10" s="375">
        <f>SUMIF(65:65,E10,66:66)-SUMIF(65:65,C10,66:66)+100</f>
        <v>100</v>
      </c>
      <c r="G10" s="3430"/>
      <c r="H10" s="127">
        <f>SUMIF(65:65,G10,66:66)-SUMIF(65:65,C10,66:66)+100</f>
        <v>100</v>
      </c>
      <c r="I10" s="3430"/>
      <c r="J10" s="127">
        <f>SUMIF(65:65,I10,66:66)-SUMIF(65:65,C10,66:66)+100</f>
        <v>100</v>
      </c>
      <c r="K10" s="1887"/>
      <c r="L10" s="2715"/>
      <c r="M10" s="2716"/>
      <c r="N10" s="2716"/>
      <c r="O10" s="2716"/>
      <c r="P10" s="3774"/>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7"/>
      <c r="M11" s="2712"/>
      <c r="N11" s="2712"/>
      <c r="O11" s="2712"/>
      <c r="P11" s="3774"/>
      <c r="Q11" s="1339" t="str">
        <f t="shared" si="6"/>
        <v>容积率</v>
      </c>
      <c r="R11" s="700" t="s">
        <v>18</v>
      </c>
      <c r="S11" s="701" t="e">
        <f t="shared" si="0"/>
        <v>#N/A</v>
      </c>
      <c r="T11" s="700" t="s">
        <v>18</v>
      </c>
      <c r="U11" s="701" t="e">
        <f t="shared" si="1"/>
        <v>#N/A</v>
      </c>
      <c r="V11" s="700" t="s">
        <v>18</v>
      </c>
      <c r="W11" s="701" t="e">
        <f t="shared" si="2"/>
        <v>#N/A</v>
      </c>
      <c r="X11" s="702"/>
      <c r="Y11" s="3709"/>
      <c r="Z11" s="52" t="str">
        <f t="shared" si="7"/>
        <v>容积率</v>
      </c>
      <c r="AA11" s="703" t="e">
        <f t="shared" si="3"/>
        <v>#N/A</v>
      </c>
      <c r="AB11" s="703" t="e">
        <f t="shared" si="4"/>
        <v>#N/A</v>
      </c>
      <c r="AC11" s="703" t="e">
        <f t="shared" si="5"/>
        <v>#N/A</v>
      </c>
    </row>
    <row r="12" spans="1:29" s="108" customFormat="1" ht="15">
      <c r="A12" s="381"/>
      <c r="B12" s="1889">
        <v>111</v>
      </c>
      <c r="C12" s="382"/>
      <c r="D12" s="383">
        <v>100</v>
      </c>
      <c r="E12" s="382"/>
      <c r="F12" s="375">
        <f>SUMIF(70:70,E12,71:71)-SUMIF(70:70,C12,71:71)+100</f>
        <v>100</v>
      </c>
      <c r="G12" s="382"/>
      <c r="H12" s="127">
        <f>SUMIF(70:70,G12,71:71)-SUMIF(70:70,C12,71:71)+100</f>
        <v>100</v>
      </c>
      <c r="I12" s="382"/>
      <c r="J12" s="127">
        <f>SUMIF(70:70,I12,71:71)-SUMIF(70:70,C12,71:71)+100</f>
        <v>100</v>
      </c>
      <c r="K12" s="1890"/>
      <c r="L12" s="2713"/>
      <c r="M12" s="2714"/>
      <c r="N12" s="2714"/>
      <c r="O12" s="2714"/>
      <c r="P12" s="3774"/>
      <c r="Q12" s="1339">
        <f t="shared" si="6"/>
        <v>111</v>
      </c>
      <c r="R12" s="700" t="s">
        <v>18</v>
      </c>
      <c r="S12" s="701">
        <f t="shared" si="0"/>
        <v>100</v>
      </c>
      <c r="T12" s="700" t="s">
        <v>18</v>
      </c>
      <c r="U12" s="701">
        <f t="shared" si="1"/>
        <v>100</v>
      </c>
      <c r="V12" s="700" t="s">
        <v>18</v>
      </c>
      <c r="W12" s="701">
        <f t="shared" si="2"/>
        <v>100</v>
      </c>
      <c r="X12" s="702"/>
      <c r="Y12" s="3709"/>
      <c r="Z12" s="52">
        <f t="shared" si="7"/>
        <v>111</v>
      </c>
      <c r="AA12" s="703">
        <f>D12/F12</f>
        <v>1</v>
      </c>
      <c r="AB12" s="703">
        <f>D12/H12</f>
        <v>1</v>
      </c>
      <c r="AC12" s="703">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74"/>
      <c r="Q13" s="1339">
        <f t="shared" si="6"/>
        <v>111</v>
      </c>
      <c r="R13" s="700" t="s">
        <v>18</v>
      </c>
      <c r="S13" s="701">
        <f t="shared" si="0"/>
        <v>100</v>
      </c>
      <c r="T13" s="700" t="s">
        <v>18</v>
      </c>
      <c r="U13" s="701">
        <f t="shared" si="1"/>
        <v>100</v>
      </c>
      <c r="V13" s="700" t="s">
        <v>18</v>
      </c>
      <c r="W13" s="701">
        <f t="shared" si="2"/>
        <v>100</v>
      </c>
      <c r="X13" s="702"/>
      <c r="Y13" s="3709"/>
      <c r="Z13" s="52">
        <f t="shared" si="7"/>
        <v>111</v>
      </c>
      <c r="AA13" s="703">
        <f t="shared" si="3"/>
        <v>1</v>
      </c>
      <c r="AB13" s="703">
        <f t="shared" si="4"/>
        <v>1</v>
      </c>
      <c r="AC13" s="703">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74"/>
      <c r="Q14" s="1339">
        <f t="shared" si="6"/>
        <v>111</v>
      </c>
      <c r="R14" s="700" t="s">
        <v>18</v>
      </c>
      <c r="S14" s="701">
        <f t="shared" si="0"/>
        <v>100</v>
      </c>
      <c r="T14" s="700" t="s">
        <v>18</v>
      </c>
      <c r="U14" s="701">
        <f t="shared" si="1"/>
        <v>100</v>
      </c>
      <c r="V14" s="700" t="s">
        <v>18</v>
      </c>
      <c r="W14" s="701">
        <f t="shared" si="2"/>
        <v>100</v>
      </c>
      <c r="X14" s="702"/>
      <c r="Y14" s="3709"/>
      <c r="Z14" s="52">
        <f t="shared" si="7"/>
        <v>111</v>
      </c>
      <c r="AA14" s="703">
        <f t="shared" si="3"/>
        <v>1</v>
      </c>
      <c r="AB14" s="703">
        <f t="shared" si="4"/>
        <v>1</v>
      </c>
      <c r="AC14" s="703">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01" t="s">
        <v>1691</v>
      </c>
      <c r="Q15" s="1348" t="str">
        <f t="shared" si="6"/>
        <v>居住社区成熟度</v>
      </c>
      <c r="R15" s="704" t="s">
        <v>18</v>
      </c>
      <c r="S15" s="705">
        <f t="shared" si="0"/>
        <v>100</v>
      </c>
      <c r="T15" s="704" t="s">
        <v>18</v>
      </c>
      <c r="U15" s="705">
        <f t="shared" si="1"/>
        <v>100</v>
      </c>
      <c r="V15" s="704" t="s">
        <v>18</v>
      </c>
      <c r="W15" s="705">
        <f t="shared" si="2"/>
        <v>100</v>
      </c>
      <c r="X15" s="1351"/>
      <c r="Y15" s="3794"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02"/>
      <c r="Q16" s="1348"/>
      <c r="R16" s="704"/>
      <c r="S16" s="705"/>
      <c r="T16" s="704"/>
      <c r="U16" s="705"/>
      <c r="V16" s="704"/>
      <c r="W16" s="705"/>
      <c r="X16" s="1351"/>
      <c r="Y16" s="3795"/>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02"/>
      <c r="Q17" s="1348" t="str">
        <f>B17</f>
        <v>交通便捷度</v>
      </c>
      <c r="R17" s="704" t="s">
        <v>18</v>
      </c>
      <c r="S17" s="705">
        <f>F17</f>
        <v>100</v>
      </c>
      <c r="T17" s="704" t="s">
        <v>18</v>
      </c>
      <c r="U17" s="705">
        <f>H17</f>
        <v>100</v>
      </c>
      <c r="V17" s="704" t="s">
        <v>18</v>
      </c>
      <c r="W17" s="705">
        <f>J17</f>
        <v>100</v>
      </c>
      <c r="X17" s="1351"/>
      <c r="Y17" s="3795"/>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02"/>
      <c r="Q18" s="1348"/>
      <c r="R18" s="704"/>
      <c r="S18" s="705"/>
      <c r="T18" s="704"/>
      <c r="U18" s="705"/>
      <c r="V18" s="704"/>
      <c r="W18" s="705"/>
      <c r="X18" s="1351"/>
      <c r="Y18" s="3795"/>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02"/>
      <c r="Q19" s="1348" t="str">
        <f>B19</f>
        <v>公共配套设施</v>
      </c>
      <c r="R19" s="704" t="s">
        <v>18</v>
      </c>
      <c r="S19" s="705">
        <f>F19</f>
        <v>100</v>
      </c>
      <c r="T19" s="704" t="s">
        <v>18</v>
      </c>
      <c r="U19" s="705">
        <f>H19</f>
        <v>100</v>
      </c>
      <c r="V19" s="704" t="s">
        <v>18</v>
      </c>
      <c r="W19" s="705">
        <f>J19</f>
        <v>100</v>
      </c>
      <c r="X19" s="1351"/>
      <c r="Y19" s="3795"/>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02"/>
      <c r="Q20" s="1348"/>
      <c r="R20" s="704"/>
      <c r="S20" s="705"/>
      <c r="T20" s="704"/>
      <c r="U20" s="705"/>
      <c r="V20" s="704"/>
      <c r="W20" s="705"/>
      <c r="X20" s="1351"/>
      <c r="Y20" s="3795"/>
      <c r="Z20" s="1352"/>
      <c r="AA20" s="1349">
        <v>1</v>
      </c>
      <c r="AB20" s="1349">
        <v>1</v>
      </c>
      <c r="AC20" s="1349">
        <v>1</v>
      </c>
    </row>
    <row r="21" spans="1:29" ht="28.5">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02"/>
      <c r="Q21" s="1348" t="str">
        <f>B21</f>
        <v>基础设施水平</v>
      </c>
      <c r="R21" s="704" t="s">
        <v>14</v>
      </c>
      <c r="S21" s="705">
        <f>F21</f>
        <v>100</v>
      </c>
      <c r="T21" s="704" t="s">
        <v>14</v>
      </c>
      <c r="U21" s="705">
        <f>H21</f>
        <v>100</v>
      </c>
      <c r="V21" s="704" t="s">
        <v>14</v>
      </c>
      <c r="W21" s="705">
        <f>J21</f>
        <v>100</v>
      </c>
      <c r="X21" s="1351"/>
      <c r="Y21" s="379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02"/>
      <c r="Q22" s="1348"/>
      <c r="R22" s="704"/>
      <c r="S22" s="705"/>
      <c r="T22" s="704"/>
      <c r="U22" s="705"/>
      <c r="V22" s="704"/>
      <c r="W22" s="705"/>
      <c r="X22" s="1351"/>
      <c r="Y22" s="3795"/>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02"/>
      <c r="Q23" s="1348" t="str">
        <f>B23</f>
        <v>自然及人文环境</v>
      </c>
      <c r="R23" s="704" t="s">
        <v>18</v>
      </c>
      <c r="S23" s="705">
        <f>F23</f>
        <v>100</v>
      </c>
      <c r="T23" s="704" t="s">
        <v>18</v>
      </c>
      <c r="U23" s="705">
        <f>H23</f>
        <v>100</v>
      </c>
      <c r="V23" s="704" t="s">
        <v>18</v>
      </c>
      <c r="W23" s="705">
        <f>J23</f>
        <v>100</v>
      </c>
      <c r="X23" s="1351"/>
      <c r="Y23" s="3795"/>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02"/>
      <c r="Q24" s="1348"/>
      <c r="R24" s="704"/>
      <c r="S24" s="705"/>
      <c r="T24" s="704"/>
      <c r="U24" s="705"/>
      <c r="V24" s="704"/>
      <c r="W24" s="705"/>
      <c r="X24" s="1351"/>
      <c r="Y24" s="3795"/>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02"/>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95"/>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02"/>
      <c r="Q26" s="1348" t="str">
        <f t="shared" si="11"/>
        <v>朝向</v>
      </c>
      <c r="R26" s="704" t="s">
        <v>18</v>
      </c>
      <c r="S26" s="705">
        <f t="shared" si="12"/>
        <v>100</v>
      </c>
      <c r="T26" s="704" t="s">
        <v>18</v>
      </c>
      <c r="U26" s="705">
        <f t="shared" si="13"/>
        <v>100</v>
      </c>
      <c r="V26" s="704" t="s">
        <v>18</v>
      </c>
      <c r="W26" s="705">
        <f t="shared" si="14"/>
        <v>100</v>
      </c>
      <c r="X26" s="1351"/>
      <c r="Y26" s="3795"/>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02"/>
      <c r="Q27" s="1339">
        <f t="shared" si="11"/>
        <v>111</v>
      </c>
      <c r="R27" s="700" t="s">
        <v>18</v>
      </c>
      <c r="S27" s="701">
        <f t="shared" si="12"/>
        <v>100</v>
      </c>
      <c r="T27" s="700" t="s">
        <v>18</v>
      </c>
      <c r="U27" s="701">
        <f t="shared" si="13"/>
        <v>100</v>
      </c>
      <c r="V27" s="700" t="s">
        <v>18</v>
      </c>
      <c r="W27" s="701">
        <f t="shared" si="14"/>
        <v>100</v>
      </c>
      <c r="X27" s="702"/>
      <c r="Y27" s="3795"/>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02"/>
      <c r="Q28" s="1348">
        <f t="shared" si="11"/>
        <v>111</v>
      </c>
      <c r="R28" s="704" t="s">
        <v>18</v>
      </c>
      <c r="S28" s="705">
        <f t="shared" si="12"/>
        <v>100</v>
      </c>
      <c r="T28" s="704" t="s">
        <v>18</v>
      </c>
      <c r="U28" s="705">
        <f t="shared" si="13"/>
        <v>100</v>
      </c>
      <c r="V28" s="704" t="s">
        <v>18</v>
      </c>
      <c r="W28" s="705">
        <f t="shared" si="14"/>
        <v>100</v>
      </c>
      <c r="X28" s="1351"/>
      <c r="Y28" s="3795"/>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02"/>
      <c r="Q29" s="1348">
        <f t="shared" si="11"/>
        <v>111</v>
      </c>
      <c r="R29" s="704" t="s">
        <v>18</v>
      </c>
      <c r="S29" s="705">
        <f t="shared" si="12"/>
        <v>100</v>
      </c>
      <c r="T29" s="704" t="s">
        <v>18</v>
      </c>
      <c r="U29" s="705">
        <f t="shared" si="13"/>
        <v>100</v>
      </c>
      <c r="V29" s="704" t="s">
        <v>18</v>
      </c>
      <c r="W29" s="705">
        <f t="shared" si="14"/>
        <v>100</v>
      </c>
      <c r="X29" s="1351"/>
      <c r="Y29" s="3795"/>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02"/>
      <c r="Q30" s="1348">
        <f t="shared" si="11"/>
        <v>111</v>
      </c>
      <c r="R30" s="704" t="s">
        <v>18</v>
      </c>
      <c r="S30" s="705">
        <f t="shared" si="12"/>
        <v>100</v>
      </c>
      <c r="T30" s="704" t="s">
        <v>18</v>
      </c>
      <c r="U30" s="705">
        <f t="shared" si="13"/>
        <v>100</v>
      </c>
      <c r="V30" s="704" t="s">
        <v>18</v>
      </c>
      <c r="W30" s="705">
        <f t="shared" si="14"/>
        <v>100</v>
      </c>
      <c r="X30" s="1351"/>
      <c r="Y30" s="3795"/>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02"/>
      <c r="Q31" s="1348">
        <f t="shared" si="11"/>
        <v>111</v>
      </c>
      <c r="R31" s="704" t="s">
        <v>18</v>
      </c>
      <c r="S31" s="705">
        <f t="shared" si="12"/>
        <v>100</v>
      </c>
      <c r="T31" s="704" t="s">
        <v>18</v>
      </c>
      <c r="U31" s="705">
        <f t="shared" si="13"/>
        <v>100</v>
      </c>
      <c r="V31" s="704" t="s">
        <v>18</v>
      </c>
      <c r="W31" s="705">
        <f t="shared" si="14"/>
        <v>100</v>
      </c>
      <c r="X31" s="1351"/>
      <c r="Y31" s="3795"/>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96" t="s">
        <v>1696</v>
      </c>
      <c r="Q32" s="1348" t="str">
        <f t="shared" si="11"/>
        <v>建筑类型</v>
      </c>
      <c r="R32" s="704" t="s">
        <v>18</v>
      </c>
      <c r="S32" s="705">
        <f t="shared" si="12"/>
        <v>100</v>
      </c>
      <c r="T32" s="704" t="s">
        <v>18</v>
      </c>
      <c r="U32" s="705">
        <f t="shared" si="13"/>
        <v>100</v>
      </c>
      <c r="V32" s="704" t="s">
        <v>18</v>
      </c>
      <c r="W32" s="705">
        <f t="shared" si="14"/>
        <v>100</v>
      </c>
      <c r="X32" s="1351"/>
      <c r="Y32" s="3799" t="s">
        <v>1696</v>
      </c>
      <c r="Z32" s="1352" t="str">
        <f t="shared" si="18"/>
        <v>建筑类型</v>
      </c>
      <c r="AA32" s="1349">
        <f t="shared" si="15"/>
        <v>1</v>
      </c>
      <c r="AB32" s="1349">
        <f t="shared" si="16"/>
        <v>1</v>
      </c>
      <c r="AC32" s="1349">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0"/>
      <c r="L33" s="2717"/>
      <c r="M33" s="2719"/>
      <c r="N33" s="2719"/>
      <c r="O33" s="2719"/>
      <c r="P33" s="3797"/>
      <c r="Q33" s="706" t="str">
        <f t="shared" si="11"/>
        <v>项目建筑规模</v>
      </c>
      <c r="R33" s="707" t="s">
        <v>18</v>
      </c>
      <c r="S33" s="708" t="e">
        <f t="shared" si="12"/>
        <v>#N/A</v>
      </c>
      <c r="T33" s="707" t="s">
        <v>18</v>
      </c>
      <c r="U33" s="708" t="e">
        <f t="shared" si="13"/>
        <v>#N/A</v>
      </c>
      <c r="V33" s="707" t="s">
        <v>18</v>
      </c>
      <c r="W33" s="708" t="e">
        <f t="shared" si="14"/>
        <v>#N/A</v>
      </c>
      <c r="X33" s="709"/>
      <c r="Y33" s="3799"/>
      <c r="Z33" s="710"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97"/>
      <c r="Q34" s="1348" t="str">
        <f t="shared" si="11"/>
        <v>建筑结构</v>
      </c>
      <c r="R34" s="704" t="s">
        <v>18</v>
      </c>
      <c r="S34" s="705">
        <f t="shared" si="12"/>
        <v>100</v>
      </c>
      <c r="T34" s="704" t="s">
        <v>18</v>
      </c>
      <c r="U34" s="705">
        <f t="shared" si="13"/>
        <v>100</v>
      </c>
      <c r="V34" s="704" t="s">
        <v>18</v>
      </c>
      <c r="W34" s="705">
        <f t="shared" si="14"/>
        <v>100</v>
      </c>
      <c r="X34" s="1351"/>
      <c r="Y34" s="3799"/>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97"/>
      <c r="Q35" s="1348" t="str">
        <f t="shared" si="11"/>
        <v>建筑品质</v>
      </c>
      <c r="R35" s="704" t="s">
        <v>18</v>
      </c>
      <c r="S35" s="705">
        <f t="shared" si="12"/>
        <v>100</v>
      </c>
      <c r="T35" s="704" t="s">
        <v>18</v>
      </c>
      <c r="U35" s="705">
        <f t="shared" si="13"/>
        <v>100</v>
      </c>
      <c r="V35" s="704" t="s">
        <v>18</v>
      </c>
      <c r="W35" s="705">
        <f t="shared" si="14"/>
        <v>100</v>
      </c>
      <c r="X35" s="1351"/>
      <c r="Y35" s="3799"/>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97"/>
      <c r="Q36" s="1348" t="str">
        <f t="shared" si="11"/>
        <v>公共部分装修</v>
      </c>
      <c r="R36" s="704" t="s">
        <v>18</v>
      </c>
      <c r="S36" s="705">
        <f t="shared" si="12"/>
        <v>100</v>
      </c>
      <c r="T36" s="704" t="s">
        <v>18</v>
      </c>
      <c r="U36" s="705">
        <f t="shared" si="13"/>
        <v>100</v>
      </c>
      <c r="V36" s="704" t="s">
        <v>18</v>
      </c>
      <c r="W36" s="705">
        <f t="shared" si="14"/>
        <v>100</v>
      </c>
      <c r="X36" s="1351"/>
      <c r="Y36" s="3799"/>
      <c r="Z36" s="1352" t="str">
        <f t="shared" si="18"/>
        <v>公共部分装修</v>
      </c>
      <c r="AA36" s="1349">
        <f t="shared" si="15"/>
        <v>1</v>
      </c>
      <c r="AB36" s="1349">
        <f t="shared" si="16"/>
        <v>1</v>
      </c>
      <c r="AC36" s="1349">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3"/>
      <c r="M37" s="2714"/>
      <c r="N37" s="2714"/>
      <c r="O37" s="2714"/>
      <c r="P37" s="3797"/>
      <c r="Q37" s="1339" t="str">
        <f t="shared" si="11"/>
        <v>成新度</v>
      </c>
      <c r="R37" s="700" t="s">
        <v>18</v>
      </c>
      <c r="S37" s="701" t="e">
        <f t="shared" si="12"/>
        <v>#N/A</v>
      </c>
      <c r="T37" s="700" t="s">
        <v>18</v>
      </c>
      <c r="U37" s="701" t="e">
        <f t="shared" si="13"/>
        <v>#N/A</v>
      </c>
      <c r="V37" s="700" t="s">
        <v>18</v>
      </c>
      <c r="W37" s="701" t="e">
        <f t="shared" si="14"/>
        <v>#N/A</v>
      </c>
      <c r="X37" s="702"/>
      <c r="Y37" s="3799"/>
      <c r="Z37" s="52" t="str">
        <f t="shared" si="18"/>
        <v>成新度</v>
      </c>
      <c r="AA37" s="703" t="e">
        <f t="shared" si="15"/>
        <v>#N/A</v>
      </c>
      <c r="AB37" s="703" t="e">
        <f t="shared" si="16"/>
        <v>#N/A</v>
      </c>
      <c r="AC37" s="703"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97" t="s">
        <v>1696</v>
      </c>
      <c r="Q38" s="1348" t="str">
        <f t="shared" si="11"/>
        <v>物业管理</v>
      </c>
      <c r="R38" s="704" t="s">
        <v>18</v>
      </c>
      <c r="S38" s="705">
        <f t="shared" si="12"/>
        <v>100</v>
      </c>
      <c r="T38" s="704" t="s">
        <v>18</v>
      </c>
      <c r="U38" s="705">
        <f t="shared" si="13"/>
        <v>100</v>
      </c>
      <c r="V38" s="704" t="s">
        <v>18</v>
      </c>
      <c r="W38" s="705">
        <f t="shared" si="14"/>
        <v>100</v>
      </c>
      <c r="X38" s="1351"/>
      <c r="Y38" s="3799"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97"/>
      <c r="Q39" s="1348" t="str">
        <f t="shared" si="11"/>
        <v>市政基础设施</v>
      </c>
      <c r="R39" s="704" t="s">
        <v>18</v>
      </c>
      <c r="S39" s="705">
        <f t="shared" si="12"/>
        <v>100</v>
      </c>
      <c r="T39" s="704" t="s">
        <v>18</v>
      </c>
      <c r="U39" s="705">
        <f t="shared" si="13"/>
        <v>100</v>
      </c>
      <c r="V39" s="704" t="s">
        <v>18</v>
      </c>
      <c r="W39" s="705">
        <f t="shared" si="14"/>
        <v>100</v>
      </c>
      <c r="X39" s="1351"/>
      <c r="Y39" s="3799"/>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97"/>
      <c r="Q40" s="1348" t="str">
        <f t="shared" si="11"/>
        <v>房型</v>
      </c>
      <c r="R40" s="704" t="s">
        <v>18</v>
      </c>
      <c r="S40" s="705">
        <f t="shared" si="12"/>
        <v>100</v>
      </c>
      <c r="T40" s="704" t="s">
        <v>18</v>
      </c>
      <c r="U40" s="705">
        <f t="shared" si="13"/>
        <v>100</v>
      </c>
      <c r="V40" s="704" t="s">
        <v>18</v>
      </c>
      <c r="W40" s="705">
        <f t="shared" si="14"/>
        <v>100</v>
      </c>
      <c r="X40" s="1351"/>
      <c r="Y40" s="3799"/>
      <c r="Z40" s="1352" t="str">
        <f t="shared" si="18"/>
        <v>房型</v>
      </c>
      <c r="AA40" s="1349">
        <f t="shared" si="15"/>
        <v>1</v>
      </c>
      <c r="AB40" s="1349">
        <f t="shared" si="16"/>
        <v>1</v>
      </c>
      <c r="AC40" s="1349">
        <f t="shared" si="17"/>
        <v>1</v>
      </c>
    </row>
    <row r="41" spans="1:29" s="421" customFormat="1" ht="28.5">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0"/>
      <c r="L41" s="2717"/>
      <c r="M41" s="2719"/>
      <c r="N41" s="2719"/>
      <c r="O41" s="2719"/>
      <c r="P41" s="3797"/>
      <c r="Q41" s="706" t="str">
        <f t="shared" si="11"/>
        <v>单套/主力户型建筑面积</v>
      </c>
      <c r="R41" s="707" t="s">
        <v>18</v>
      </c>
      <c r="S41" s="708">
        <f t="shared" si="12"/>
        <v>100</v>
      </c>
      <c r="T41" s="707" t="s">
        <v>18</v>
      </c>
      <c r="U41" s="708">
        <f t="shared" si="13"/>
        <v>100</v>
      </c>
      <c r="V41" s="707" t="s">
        <v>18</v>
      </c>
      <c r="W41" s="708">
        <f t="shared" si="14"/>
        <v>100</v>
      </c>
      <c r="X41" s="709"/>
      <c r="Y41" s="3799"/>
      <c r="Z41" s="710"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97"/>
      <c r="Q42" s="1348" t="str">
        <f t="shared" si="11"/>
        <v>内部装修</v>
      </c>
      <c r="R42" s="704" t="s">
        <v>18</v>
      </c>
      <c r="S42" s="705">
        <f t="shared" si="12"/>
        <v>100</v>
      </c>
      <c r="T42" s="704" t="s">
        <v>18</v>
      </c>
      <c r="U42" s="705">
        <f t="shared" si="13"/>
        <v>100</v>
      </c>
      <c r="V42" s="704" t="s">
        <v>18</v>
      </c>
      <c r="W42" s="705">
        <f t="shared" si="14"/>
        <v>100</v>
      </c>
      <c r="X42" s="1351"/>
      <c r="Y42" s="3799"/>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97"/>
      <c r="Q43" s="1348" t="str">
        <f t="shared" si="11"/>
        <v>内部装修维护情况</v>
      </c>
      <c r="R43" s="704" t="s">
        <v>18</v>
      </c>
      <c r="S43" s="705">
        <f t="shared" si="12"/>
        <v>100</v>
      </c>
      <c r="T43" s="704" t="s">
        <v>18</v>
      </c>
      <c r="U43" s="705">
        <f t="shared" si="13"/>
        <v>100</v>
      </c>
      <c r="V43" s="704" t="s">
        <v>18</v>
      </c>
      <c r="W43" s="705">
        <f t="shared" si="14"/>
        <v>100</v>
      </c>
      <c r="X43" s="1351"/>
      <c r="Y43" s="3799"/>
      <c r="Z43" s="1352" t="str">
        <f t="shared" si="18"/>
        <v>内部装修维护情况</v>
      </c>
      <c r="AA43" s="1349">
        <f t="shared" si="15"/>
        <v>1</v>
      </c>
      <c r="AB43" s="1349">
        <f t="shared" si="16"/>
        <v>1</v>
      </c>
      <c r="AC43" s="1349">
        <f t="shared" si="17"/>
        <v>1</v>
      </c>
    </row>
    <row r="44" spans="1:29" s="108" customFormat="1" ht="15">
      <c r="A44" s="423"/>
      <c r="B44" s="1129">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0"/>
      <c r="L44" s="2713"/>
      <c r="M44" s="2714"/>
      <c r="N44" s="2714"/>
      <c r="O44" s="2714"/>
      <c r="P44" s="3797"/>
      <c r="Q44" s="1339">
        <f t="shared" si="11"/>
        <v>111</v>
      </c>
      <c r="R44" s="700" t="s">
        <v>18</v>
      </c>
      <c r="S44" s="701">
        <f t="shared" si="12"/>
        <v>100</v>
      </c>
      <c r="T44" s="700" t="s">
        <v>18</v>
      </c>
      <c r="U44" s="701">
        <f t="shared" si="13"/>
        <v>100</v>
      </c>
      <c r="V44" s="700" t="s">
        <v>18</v>
      </c>
      <c r="W44" s="701">
        <f t="shared" si="14"/>
        <v>100</v>
      </c>
      <c r="X44" s="702"/>
      <c r="Y44" s="3799"/>
      <c r="Z44" s="52">
        <f t="shared" si="18"/>
        <v>111</v>
      </c>
      <c r="AA44" s="703">
        <f t="shared" si="15"/>
        <v>1</v>
      </c>
      <c r="AB44" s="703">
        <f t="shared" si="16"/>
        <v>1</v>
      </c>
      <c r="AC44" s="703">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97"/>
      <c r="Q45" s="1348">
        <f t="shared" si="11"/>
        <v>111</v>
      </c>
      <c r="R45" s="704" t="s">
        <v>18</v>
      </c>
      <c r="S45" s="705">
        <f t="shared" si="12"/>
        <v>100</v>
      </c>
      <c r="T45" s="704" t="s">
        <v>18</v>
      </c>
      <c r="U45" s="705">
        <f t="shared" si="13"/>
        <v>100</v>
      </c>
      <c r="V45" s="704" t="s">
        <v>18</v>
      </c>
      <c r="W45" s="705">
        <f t="shared" si="14"/>
        <v>100</v>
      </c>
      <c r="X45" s="1351"/>
      <c r="Y45" s="3799"/>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98"/>
      <c r="Q46" s="1348">
        <f t="shared" si="11"/>
        <v>111</v>
      </c>
      <c r="R46" s="704" t="s">
        <v>17</v>
      </c>
      <c r="S46" s="705">
        <f t="shared" si="12"/>
        <v>100</v>
      </c>
      <c r="T46" s="704" t="s">
        <v>17</v>
      </c>
      <c r="U46" s="705">
        <f t="shared" si="13"/>
        <v>100</v>
      </c>
      <c r="V46" s="704" t="s">
        <v>17</v>
      </c>
      <c r="W46" s="705">
        <f t="shared" si="14"/>
        <v>100</v>
      </c>
      <c r="X46" s="1351"/>
      <c r="Y46" s="3800"/>
      <c r="Z46" s="1352">
        <f t="shared" si="18"/>
        <v>111</v>
      </c>
      <c r="AA46" s="1349">
        <f t="shared" si="15"/>
        <v>1</v>
      </c>
      <c r="AB46" s="1349">
        <f t="shared" si="16"/>
        <v>1</v>
      </c>
      <c r="AC46" s="1349">
        <f t="shared" si="17"/>
        <v>1</v>
      </c>
    </row>
    <row r="47" spans="1:29" ht="15">
      <c r="A47" s="429" t="s">
        <v>1708</v>
      </c>
      <c r="B47" s="430"/>
      <c r="C47" s="1150" t="s">
        <v>16</v>
      </c>
      <c r="D47" s="1151"/>
      <c r="E47" s="1152"/>
      <c r="F47" s="1153"/>
      <c r="G47" s="1154"/>
      <c r="H47" s="1155"/>
      <c r="I47" s="1152"/>
      <c r="J47" s="1155"/>
      <c r="K47" s="1910"/>
      <c r="L47" s="2720"/>
      <c r="M47" s="2721"/>
      <c r="N47" s="2712"/>
      <c r="O47" s="2721"/>
      <c r="P47" s="3792" t="str">
        <f>A47</f>
        <v>成交单价（元/平方米）</v>
      </c>
      <c r="Q47" s="3792"/>
      <c r="R47" s="3793">
        <f>E47</f>
        <v>0</v>
      </c>
      <c r="S47" s="3793"/>
      <c r="T47" s="3793">
        <f>G47</f>
        <v>0</v>
      </c>
      <c r="U47" s="3793"/>
      <c r="V47" s="3793">
        <f>I47</f>
        <v>0</v>
      </c>
      <c r="W47" s="3793"/>
      <c r="X47" s="689"/>
      <c r="Y47" s="711"/>
      <c r="Z47" s="689"/>
      <c r="AA47" s="689"/>
      <c r="AB47" s="689"/>
      <c r="AC47" s="689"/>
    </row>
    <row r="48" spans="1:29" ht="15.75" thickBot="1">
      <c r="A48" s="436" t="s">
        <v>1709</v>
      </c>
      <c r="B48" s="437"/>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89"/>
      <c r="Y48" s="689"/>
      <c r="Z48" s="689"/>
      <c r="AA48" s="689"/>
      <c r="AB48" s="689"/>
      <c r="AC48" s="689"/>
    </row>
    <row r="49" spans="1:29" ht="15.75" thickBot="1">
      <c r="A49" s="440" t="s">
        <v>1710</v>
      </c>
      <c r="B49" s="441"/>
      <c r="C49" s="1158" t="e">
        <f>R49</f>
        <v>#DIV/0!</v>
      </c>
      <c r="D49" s="1159"/>
      <c r="E49" s="1159"/>
      <c r="F49" s="1159"/>
      <c r="G49" s="1159"/>
      <c r="H49" s="1159"/>
      <c r="I49" s="1159"/>
      <c r="J49" s="1159"/>
      <c r="K49" s="1911"/>
      <c r="L49" s="2720"/>
      <c r="M49" s="2721"/>
      <c r="N49" s="2721"/>
      <c r="O49" s="2721"/>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37"/>
      <c r="L57" s="938"/>
      <c r="M57" s="936"/>
      <c r="N57" s="936"/>
      <c r="O57" s="936"/>
      <c r="P57" s="1914"/>
      <c r="Q57" s="452"/>
    </row>
    <row r="58" spans="1:29" s="456" customFormat="1" ht="15">
      <c r="A58" s="453" t="s">
        <v>1715</v>
      </c>
      <c r="B58" s="454"/>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1719</v>
      </c>
      <c r="B63" s="476" t="s">
        <v>1685</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1688</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1734</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1735</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1694</v>
      </c>
      <c r="B100" s="476" t="s">
        <v>1736</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1738</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1739</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1740</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1742</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8" priority="19" stopIfTrue="1" operator="containsText" text="超过">
      <formula>NOT(ISERROR(SEARCH("超过",F52)))</formula>
    </cfRule>
  </conditionalFormatting>
  <conditionalFormatting sqref="J54">
    <cfRule type="containsText" dxfId="187" priority="18" stopIfTrue="1" operator="containsText" text="超过">
      <formula>NOT(ISERROR(SEARCH("超过",J54)))</formula>
    </cfRule>
  </conditionalFormatting>
  <conditionalFormatting sqref="H54">
    <cfRule type="containsText" dxfId="186" priority="17" stopIfTrue="1" operator="containsText" text="超过">
      <formula>NOT(ISERROR(SEARCH("超过",H54)))</formula>
    </cfRule>
  </conditionalFormatting>
  <conditionalFormatting sqref="F54">
    <cfRule type="containsText" dxfId="185" priority="16" stopIfTrue="1" operator="containsText" text="超过">
      <formula>NOT(ISERROR(SEARCH("超过",F54)))</formula>
    </cfRule>
  </conditionalFormatting>
  <conditionalFormatting sqref="F53 H53 J53">
    <cfRule type="containsText" dxfId="184" priority="15" stopIfTrue="1" operator="containsText" text="超过">
      <formula>NOT(ISERROR(SEARCH("超过",F53)))</formula>
    </cfRule>
  </conditionalFormatting>
  <conditionalFormatting sqref="E52">
    <cfRule type="expression" dxfId="183" priority="14" stopIfTrue="1">
      <formula>$F$52="超过30%"</formula>
    </cfRule>
  </conditionalFormatting>
  <conditionalFormatting sqref="G54">
    <cfRule type="expression" dxfId="182" priority="12" stopIfTrue="1">
      <formula>$H$54="超过30%"</formula>
    </cfRule>
  </conditionalFormatting>
  <conditionalFormatting sqref="E53">
    <cfRule type="expression" dxfId="181" priority="11" stopIfTrue="1">
      <formula>$F$53="超过20%"</formula>
    </cfRule>
  </conditionalFormatting>
  <conditionalFormatting sqref="E54">
    <cfRule type="expression" dxfId="180" priority="10" stopIfTrue="1">
      <formula>$F$54="超过30%"</formula>
    </cfRule>
  </conditionalFormatting>
  <conditionalFormatting sqref="G52">
    <cfRule type="expression" dxfId="179" priority="9" stopIfTrue="1">
      <formula>$H$52="超过30%"</formula>
    </cfRule>
  </conditionalFormatting>
  <conditionalFormatting sqref="G53">
    <cfRule type="expression" dxfId="178" priority="8" stopIfTrue="1">
      <formula>$H$53="超过20%"</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1464</v>
      </c>
      <c r="B3" s="557">
        <f>IF(C2="——",C49,ROUND(B2*10000/D3,0))</f>
        <v>0</v>
      </c>
      <c r="C3" s="353" t="s">
        <v>1768</v>
      </c>
      <c r="D3" s="352">
        <f>IF(D1="",'数据-汇总表'!E3,SUMIF('数据-汇总表'!$C19:$C33,D1,'数据-汇总表'!$E19:$E33))</f>
        <v>64978.17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1769</v>
      </c>
      <c r="B4" s="355"/>
      <c r="C4" s="3775" t="s">
        <v>1770</v>
      </c>
      <c r="D4" s="3776"/>
      <c r="E4" s="3777" t="s">
        <v>1771</v>
      </c>
      <c r="F4" s="3778"/>
      <c r="G4" s="3775" t="s">
        <v>1772</v>
      </c>
      <c r="H4" s="3776"/>
      <c r="I4" s="3775" t="s">
        <v>1773</v>
      </c>
      <c r="J4" s="3776"/>
      <c r="K4" s="558" t="s">
        <v>1774</v>
      </c>
      <c r="L4" s="2711"/>
      <c r="M4" s="2712"/>
      <c r="N4" s="2712"/>
      <c r="O4" s="2712"/>
      <c r="P4" s="3779" t="s">
        <v>1775</v>
      </c>
      <c r="Q4" s="3780"/>
      <c r="R4" s="3762" t="s">
        <v>1771</v>
      </c>
      <c r="S4" s="3763"/>
      <c r="T4" s="3762" t="s">
        <v>1772</v>
      </c>
      <c r="U4" s="3763"/>
      <c r="V4" s="3787" t="s">
        <v>1773</v>
      </c>
      <c r="W4" s="3787"/>
      <c r="X4" s="1351"/>
      <c r="Y4" s="3762" t="s">
        <v>1775</v>
      </c>
      <c r="Z4" s="3763"/>
      <c r="AA4" s="3757" t="s">
        <v>1771</v>
      </c>
      <c r="AB4" s="3787" t="s">
        <v>1772</v>
      </c>
      <c r="AC4" s="3757" t="s">
        <v>1773</v>
      </c>
    </row>
    <row r="5" spans="1:29" ht="15">
      <c r="A5" s="357"/>
      <c r="B5" s="358"/>
      <c r="C5" s="3768" t="s">
        <v>1673</v>
      </c>
      <c r="D5" s="3769"/>
      <c r="E5" s="3766" t="s">
        <v>1674</v>
      </c>
      <c r="F5" s="3767"/>
      <c r="G5" s="3768" t="s">
        <v>1675</v>
      </c>
      <c r="H5" s="3769"/>
      <c r="I5" s="3768" t="s">
        <v>1676</v>
      </c>
      <c r="J5" s="3769"/>
      <c r="K5" s="558"/>
      <c r="L5" s="2711"/>
      <c r="M5" s="2712"/>
      <c r="N5" s="2712"/>
      <c r="O5" s="2712"/>
      <c r="P5" s="3781"/>
      <c r="Q5" s="3782"/>
      <c r="R5" s="3764"/>
      <c r="S5" s="3765"/>
      <c r="T5" s="3764"/>
      <c r="U5" s="3765"/>
      <c r="V5" s="3787"/>
      <c r="W5" s="3787"/>
      <c r="X5" s="1351"/>
      <c r="Y5" s="3764"/>
      <c r="Z5" s="3765"/>
      <c r="AA5" s="3758"/>
      <c r="AB5" s="3787"/>
      <c r="AC5" s="3758"/>
    </row>
    <row r="6" spans="1:29" ht="15.75" thickBot="1">
      <c r="A6" s="359"/>
      <c r="B6" s="360"/>
      <c r="C6" s="3770" t="s">
        <v>1677</v>
      </c>
      <c r="D6" s="3771"/>
      <c r="E6" s="3772" t="s">
        <v>1677</v>
      </c>
      <c r="F6" s="3773"/>
      <c r="G6" s="3770" t="s">
        <v>1677</v>
      </c>
      <c r="H6" s="3771"/>
      <c r="I6" s="3770" t="s">
        <v>1677</v>
      </c>
      <c r="J6" s="3771"/>
      <c r="K6" s="558" t="s">
        <v>1678</v>
      </c>
      <c r="L6" s="2711"/>
      <c r="M6" s="2712"/>
      <c r="N6" s="2712"/>
      <c r="O6" s="2712"/>
      <c r="P6" s="3783"/>
      <c r="Q6" s="3784"/>
      <c r="R6" s="3764"/>
      <c r="S6" s="3765"/>
      <c r="T6" s="3785"/>
      <c r="U6" s="3786"/>
      <c r="V6" s="3787"/>
      <c r="W6" s="3787"/>
      <c r="X6" s="1351"/>
      <c r="Y6" s="3785"/>
      <c r="Z6" s="3786"/>
      <c r="AA6" s="3759"/>
      <c r="AB6" s="3787"/>
      <c r="AC6" s="3759"/>
    </row>
    <row r="7" spans="1:29" s="108" customFormat="1" ht="15.75" thickBot="1">
      <c r="A7" s="361" t="s">
        <v>1679</v>
      </c>
      <c r="B7" s="362"/>
      <c r="C7" s="363">
        <f>'数据-取费表'!B2</f>
        <v>45005</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60" t="s">
        <v>1680</v>
      </c>
      <c r="Q7" s="3788"/>
      <c r="R7" s="700" t="s">
        <v>14</v>
      </c>
      <c r="S7" s="701">
        <f t="shared" ref="S7:S15" si="0">F7</f>
        <v>0</v>
      </c>
      <c r="T7" s="700" t="s">
        <v>14</v>
      </c>
      <c r="U7" s="701">
        <f t="shared" ref="U7:U15" si="1">H7</f>
        <v>0</v>
      </c>
      <c r="V7" s="700" t="s">
        <v>14</v>
      </c>
      <c r="W7" s="701">
        <f t="shared" ref="W7:W15" si="2">J7</f>
        <v>0</v>
      </c>
      <c r="X7" s="702"/>
      <c r="Y7" s="3760" t="s">
        <v>1680</v>
      </c>
      <c r="Z7" s="3761"/>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60" t="s">
        <v>1683</v>
      </c>
      <c r="Q8" s="3761"/>
      <c r="R8" s="700" t="s">
        <v>14</v>
      </c>
      <c r="S8" s="701">
        <f t="shared" si="0"/>
        <v>100</v>
      </c>
      <c r="T8" s="700" t="s">
        <v>14</v>
      </c>
      <c r="U8" s="701">
        <f t="shared" si="1"/>
        <v>100</v>
      </c>
      <c r="V8" s="700" t="s">
        <v>14</v>
      </c>
      <c r="W8" s="701">
        <f t="shared" si="2"/>
        <v>100</v>
      </c>
      <c r="X8" s="702"/>
      <c r="Y8" s="3760" t="s">
        <v>1683</v>
      </c>
      <c r="Z8" s="3761"/>
      <c r="AA8" s="703">
        <f t="shared" ref="AA8:AA46" si="3">D8/F8</f>
        <v>1</v>
      </c>
      <c r="AB8" s="703">
        <f t="shared" ref="AB8:AB46" si="4">D8/H8</f>
        <v>1</v>
      </c>
      <c r="AC8" s="703">
        <f t="shared" ref="AC8:AC46" si="5">D8/J8</f>
        <v>1</v>
      </c>
    </row>
    <row r="9" spans="1:29" s="108" customFormat="1">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3"/>
      <c r="M9" s="2714"/>
      <c r="N9" s="2714"/>
      <c r="O9" s="2714"/>
      <c r="P9" s="3774"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1"/>
      <c r="F10" s="375">
        <f>SUMIF(65:65,E10,66:66)-SUMIF(65:65,C10,66:66)+100</f>
        <v>100</v>
      </c>
      <c r="G10" s="3430"/>
      <c r="H10" s="127">
        <f>SUMIF(65:65,G10,66:66)-SUMIF(65:65,C10,66:66)+100</f>
        <v>100</v>
      </c>
      <c r="I10" s="3430"/>
      <c r="J10" s="127">
        <f>SUMIF(65:65,I10,66:66)-SUMIF(65:65,C10,66:66)+100</f>
        <v>100</v>
      </c>
      <c r="K10" s="559"/>
      <c r="L10" s="2715"/>
      <c r="M10" s="2716"/>
      <c r="N10" s="2716"/>
      <c r="O10" s="2716"/>
      <c r="P10" s="3774"/>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7"/>
      <c r="M11" s="2712"/>
      <c r="N11" s="2712"/>
      <c r="O11" s="2712"/>
      <c r="P11" s="3774"/>
      <c r="Q11" s="1339"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1"/>
      <c r="B12" s="1889">
        <v>111</v>
      </c>
      <c r="C12" s="382"/>
      <c r="D12" s="383">
        <v>100</v>
      </c>
      <c r="E12" s="384"/>
      <c r="F12" s="375">
        <f>SUMIF(70:70,E12,71:71)-SUMIF(70:70,C12,71:71)+100</f>
        <v>100</v>
      </c>
      <c r="G12" s="384"/>
      <c r="H12" s="127">
        <f>SUMIF(70:70,G12,71:71)-SUMIF(70:70,C12,71:71)+100</f>
        <v>100</v>
      </c>
      <c r="I12" s="384"/>
      <c r="J12" s="127">
        <f>SUMIF(70:70,I12,71:71)-SUMIF(70:70,C12,71:71)+100</f>
        <v>100</v>
      </c>
      <c r="K12" s="561"/>
      <c r="L12" s="2713"/>
      <c r="M12" s="2714"/>
      <c r="N12" s="2714"/>
      <c r="O12" s="2714"/>
      <c r="P12" s="3774"/>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74"/>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74"/>
      <c r="Q14" s="1339">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01" t="s">
        <v>1691</v>
      </c>
      <c r="Q15" s="1348" t="str">
        <f t="shared" si="6"/>
        <v>商业繁华度</v>
      </c>
      <c r="R15" s="704" t="s">
        <v>14</v>
      </c>
      <c r="S15" s="705">
        <f t="shared" si="0"/>
        <v>100</v>
      </c>
      <c r="T15" s="704" t="s">
        <v>14</v>
      </c>
      <c r="U15" s="705">
        <f t="shared" si="1"/>
        <v>100</v>
      </c>
      <c r="V15" s="704" t="s">
        <v>14</v>
      </c>
      <c r="W15" s="705">
        <f t="shared" si="2"/>
        <v>100</v>
      </c>
      <c r="X15" s="1351"/>
      <c r="Y15" s="3794"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02"/>
      <c r="Q16" s="1348"/>
      <c r="R16" s="704"/>
      <c r="S16" s="705"/>
      <c r="T16" s="704"/>
      <c r="U16" s="705"/>
      <c r="V16" s="704"/>
      <c r="W16" s="705"/>
      <c r="X16" s="1351"/>
      <c r="Y16" s="3795"/>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02"/>
      <c r="Q17" s="1348" t="str">
        <f>B17</f>
        <v>交通便捷度</v>
      </c>
      <c r="R17" s="704" t="s">
        <v>14</v>
      </c>
      <c r="S17" s="705">
        <f>F17</f>
        <v>100</v>
      </c>
      <c r="T17" s="704" t="s">
        <v>14</v>
      </c>
      <c r="U17" s="705">
        <f>H17</f>
        <v>100</v>
      </c>
      <c r="V17" s="704" t="s">
        <v>14</v>
      </c>
      <c r="W17" s="705">
        <f>J17</f>
        <v>100</v>
      </c>
      <c r="X17" s="1351"/>
      <c r="Y17" s="379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02"/>
      <c r="Q18" s="1348"/>
      <c r="R18" s="704"/>
      <c r="S18" s="705"/>
      <c r="T18" s="704"/>
      <c r="U18" s="705"/>
      <c r="V18" s="704"/>
      <c r="W18" s="705"/>
      <c r="X18" s="1351"/>
      <c r="Y18" s="3795"/>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02"/>
      <c r="Q19" s="1348" t="str">
        <f>B19</f>
        <v>公共配套设施</v>
      </c>
      <c r="R19" s="704" t="s">
        <v>14</v>
      </c>
      <c r="S19" s="705">
        <f>F19</f>
        <v>100</v>
      </c>
      <c r="T19" s="704" t="s">
        <v>14</v>
      </c>
      <c r="U19" s="705">
        <f>H19</f>
        <v>100</v>
      </c>
      <c r="V19" s="704" t="s">
        <v>14</v>
      </c>
      <c r="W19" s="705">
        <f>J19</f>
        <v>100</v>
      </c>
      <c r="X19" s="1351"/>
      <c r="Y19" s="379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02"/>
      <c r="Q20" s="1348"/>
      <c r="R20" s="704"/>
      <c r="S20" s="705"/>
      <c r="T20" s="704"/>
      <c r="U20" s="705"/>
      <c r="V20" s="704"/>
      <c r="W20" s="705"/>
      <c r="X20" s="1351"/>
      <c r="Y20" s="3795"/>
      <c r="Z20" s="1352"/>
      <c r="AA20" s="1349">
        <v>1</v>
      </c>
      <c r="AB20" s="1349">
        <v>1</v>
      </c>
      <c r="AC20" s="1349">
        <v>1</v>
      </c>
    </row>
    <row r="21" spans="1:29" ht="28.5">
      <c r="A21" s="378"/>
      <c r="B21" s="1127"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02"/>
      <c r="Q21" s="1348" t="str">
        <f>B21</f>
        <v>基础设施水平</v>
      </c>
      <c r="R21" s="704" t="s">
        <v>14</v>
      </c>
      <c r="S21" s="705">
        <f>F21</f>
        <v>100</v>
      </c>
      <c r="T21" s="704" t="s">
        <v>14</v>
      </c>
      <c r="U21" s="705">
        <f>H21</f>
        <v>100</v>
      </c>
      <c r="V21" s="704" t="s">
        <v>14</v>
      </c>
      <c r="W21" s="705">
        <f>J21</f>
        <v>100</v>
      </c>
      <c r="X21" s="1351"/>
      <c r="Y21" s="379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02"/>
      <c r="Q22" s="1348"/>
      <c r="R22" s="704"/>
      <c r="S22" s="705"/>
      <c r="T22" s="704"/>
      <c r="U22" s="705"/>
      <c r="V22" s="704"/>
      <c r="W22" s="705"/>
      <c r="X22" s="1351"/>
      <c r="Y22" s="3795"/>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02"/>
      <c r="Q23" s="1348" t="str">
        <f>B23</f>
        <v>自然及人文环境</v>
      </c>
      <c r="R23" s="704" t="s">
        <v>14</v>
      </c>
      <c r="S23" s="705">
        <f>F23</f>
        <v>100</v>
      </c>
      <c r="T23" s="704" t="s">
        <v>14</v>
      </c>
      <c r="U23" s="705">
        <f>H23</f>
        <v>100</v>
      </c>
      <c r="V23" s="704" t="s">
        <v>14</v>
      </c>
      <c r="W23" s="705">
        <f>J23</f>
        <v>100</v>
      </c>
      <c r="X23" s="1351"/>
      <c r="Y23" s="3795"/>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02"/>
      <c r="Q24" s="1348"/>
      <c r="R24" s="704"/>
      <c r="S24" s="705"/>
      <c r="T24" s="704"/>
      <c r="U24" s="705"/>
      <c r="V24" s="704"/>
      <c r="W24" s="705"/>
      <c r="X24" s="1351"/>
      <c r="Y24" s="3795"/>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02"/>
      <c r="Q25" s="1348" t="str">
        <f t="shared" ref="Q25:Q46" si="11">B25</f>
        <v>临街状况</v>
      </c>
      <c r="R25" s="704" t="s">
        <v>14</v>
      </c>
      <c r="S25" s="705">
        <f>F25</f>
        <v>100</v>
      </c>
      <c r="T25" s="704" t="s">
        <v>14</v>
      </c>
      <c r="U25" s="705">
        <f>H25</f>
        <v>100</v>
      </c>
      <c r="V25" s="704" t="s">
        <v>14</v>
      </c>
      <c r="W25" s="705">
        <f>J25</f>
        <v>100</v>
      </c>
      <c r="X25" s="1351"/>
      <c r="Y25" s="3795"/>
      <c r="Z25" s="1352" t="str">
        <f>Q25</f>
        <v>临街状况</v>
      </c>
      <c r="AA25" s="1349">
        <f t="shared" si="3"/>
        <v>1</v>
      </c>
      <c r="AB25" s="1349">
        <f t="shared" si="4"/>
        <v>1</v>
      </c>
      <c r="AC25" s="1349">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02"/>
      <c r="Q26" s="1348" t="str">
        <f t="shared" si="11"/>
        <v>平面位置/可视性</v>
      </c>
      <c r="R26" s="704" t="s">
        <v>14</v>
      </c>
      <c r="S26" s="705">
        <f>F26</f>
        <v>100</v>
      </c>
      <c r="T26" s="704" t="s">
        <v>14</v>
      </c>
      <c r="U26" s="705">
        <f>H26</f>
        <v>100</v>
      </c>
      <c r="V26" s="704" t="s">
        <v>14</v>
      </c>
      <c r="W26" s="705">
        <f>J26</f>
        <v>100</v>
      </c>
      <c r="X26" s="1351"/>
      <c r="Y26" s="3795"/>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02"/>
      <c r="Q27" s="1339" t="str">
        <f t="shared" si="11"/>
        <v>人流量</v>
      </c>
      <c r="R27" s="700" t="s">
        <v>14</v>
      </c>
      <c r="S27" s="701">
        <f>F27</f>
        <v>100</v>
      </c>
      <c r="T27" s="700" t="s">
        <v>14</v>
      </c>
      <c r="U27" s="701">
        <f>H27</f>
        <v>100</v>
      </c>
      <c r="V27" s="700" t="s">
        <v>14</v>
      </c>
      <c r="W27" s="701">
        <f>J27</f>
        <v>100</v>
      </c>
      <c r="X27" s="702"/>
      <c r="Y27" s="3795"/>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02"/>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95"/>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02"/>
      <c r="Q29" s="1348">
        <f t="shared" si="11"/>
        <v>111</v>
      </c>
      <c r="R29" s="704" t="s">
        <v>14</v>
      </c>
      <c r="S29" s="705">
        <f t="shared" si="12"/>
        <v>100</v>
      </c>
      <c r="T29" s="704" t="s">
        <v>14</v>
      </c>
      <c r="U29" s="705">
        <f t="shared" si="13"/>
        <v>100</v>
      </c>
      <c r="V29" s="704" t="s">
        <v>14</v>
      </c>
      <c r="W29" s="705">
        <f t="shared" si="14"/>
        <v>100</v>
      </c>
      <c r="X29" s="1351"/>
      <c r="Y29" s="3795"/>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02"/>
      <c r="Q30" s="1348">
        <f t="shared" si="11"/>
        <v>111</v>
      </c>
      <c r="R30" s="704" t="s">
        <v>14</v>
      </c>
      <c r="S30" s="705">
        <f t="shared" si="12"/>
        <v>100</v>
      </c>
      <c r="T30" s="704" t="s">
        <v>14</v>
      </c>
      <c r="U30" s="705">
        <f t="shared" si="13"/>
        <v>100</v>
      </c>
      <c r="V30" s="704" t="s">
        <v>14</v>
      </c>
      <c r="W30" s="705">
        <f t="shared" si="14"/>
        <v>100</v>
      </c>
      <c r="X30" s="1351"/>
      <c r="Y30" s="3795"/>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02"/>
      <c r="Q31" s="1348">
        <f t="shared" si="11"/>
        <v>111</v>
      </c>
      <c r="R31" s="704" t="s">
        <v>14</v>
      </c>
      <c r="S31" s="705">
        <f t="shared" si="12"/>
        <v>100</v>
      </c>
      <c r="T31" s="704" t="s">
        <v>14</v>
      </c>
      <c r="U31" s="705">
        <f t="shared" si="13"/>
        <v>100</v>
      </c>
      <c r="V31" s="704" t="s">
        <v>14</v>
      </c>
      <c r="W31" s="705">
        <f t="shared" si="14"/>
        <v>100</v>
      </c>
      <c r="X31" s="1351"/>
      <c r="Y31" s="3795"/>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796" t="s">
        <v>1696</v>
      </c>
      <c r="Q32" s="1348" t="str">
        <f t="shared" si="11"/>
        <v>商业类型</v>
      </c>
      <c r="R32" s="704" t="s">
        <v>14</v>
      </c>
      <c r="S32" s="705">
        <f t="shared" si="12"/>
        <v>100</v>
      </c>
      <c r="T32" s="704" t="s">
        <v>14</v>
      </c>
      <c r="U32" s="705">
        <f t="shared" si="13"/>
        <v>100</v>
      </c>
      <c r="V32" s="704" t="s">
        <v>14</v>
      </c>
      <c r="W32" s="705">
        <f t="shared" si="14"/>
        <v>100</v>
      </c>
      <c r="X32" s="1351"/>
      <c r="Y32" s="3799" t="s">
        <v>1696</v>
      </c>
      <c r="Z32" s="1352" t="str">
        <f t="shared" si="15"/>
        <v>商业类型</v>
      </c>
      <c r="AA32" s="1349">
        <f t="shared" si="3"/>
        <v>1</v>
      </c>
      <c r="AB32" s="1349">
        <f t="shared" si="4"/>
        <v>1</v>
      </c>
      <c r="AC32" s="1349">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7"/>
      <c r="M33" s="2719"/>
      <c r="N33" s="2719"/>
      <c r="O33" s="2719"/>
      <c r="P33" s="3797"/>
      <c r="Q33" s="706" t="str">
        <f t="shared" si="11"/>
        <v>项目建筑规模</v>
      </c>
      <c r="R33" s="707" t="s">
        <v>14</v>
      </c>
      <c r="S33" s="708" t="e">
        <f t="shared" si="12"/>
        <v>#N/A</v>
      </c>
      <c r="T33" s="707" t="s">
        <v>14</v>
      </c>
      <c r="U33" s="708" t="e">
        <f t="shared" si="13"/>
        <v>#N/A</v>
      </c>
      <c r="V33" s="707" t="s">
        <v>14</v>
      </c>
      <c r="W33" s="708" t="e">
        <f t="shared" si="14"/>
        <v>#N/A</v>
      </c>
      <c r="X33" s="709"/>
      <c r="Y33" s="3799"/>
      <c r="Z33" s="710"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797"/>
      <c r="Q34" s="1348" t="str">
        <f t="shared" si="11"/>
        <v>建筑结构</v>
      </c>
      <c r="R34" s="704" t="s">
        <v>14</v>
      </c>
      <c r="S34" s="705">
        <f t="shared" si="12"/>
        <v>100</v>
      </c>
      <c r="T34" s="704" t="s">
        <v>14</v>
      </c>
      <c r="U34" s="705">
        <f t="shared" si="13"/>
        <v>100</v>
      </c>
      <c r="V34" s="704" t="s">
        <v>14</v>
      </c>
      <c r="W34" s="705">
        <f t="shared" si="14"/>
        <v>100</v>
      </c>
      <c r="X34" s="1351"/>
      <c r="Y34" s="3799"/>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97"/>
      <c r="Q35" s="1348" t="str">
        <f t="shared" si="11"/>
        <v>公共部分装修</v>
      </c>
      <c r="R35" s="704" t="s">
        <v>14</v>
      </c>
      <c r="S35" s="705">
        <f t="shared" si="12"/>
        <v>100</v>
      </c>
      <c r="T35" s="704" t="s">
        <v>14</v>
      </c>
      <c r="U35" s="705">
        <f t="shared" si="13"/>
        <v>100</v>
      </c>
      <c r="V35" s="704" t="s">
        <v>14</v>
      </c>
      <c r="W35" s="705">
        <f t="shared" si="14"/>
        <v>100</v>
      </c>
      <c r="X35" s="1351"/>
      <c r="Y35" s="3799"/>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97"/>
      <c r="Q36" s="1348" t="str">
        <f t="shared" si="11"/>
        <v>成新度</v>
      </c>
      <c r="R36" s="704" t="s">
        <v>14</v>
      </c>
      <c r="S36" s="705" t="e">
        <f t="shared" si="12"/>
        <v>#N/A</v>
      </c>
      <c r="T36" s="704" t="s">
        <v>14</v>
      </c>
      <c r="U36" s="705" t="e">
        <f t="shared" si="13"/>
        <v>#N/A</v>
      </c>
      <c r="V36" s="704" t="s">
        <v>14</v>
      </c>
      <c r="W36" s="705" t="e">
        <f t="shared" si="14"/>
        <v>#N/A</v>
      </c>
      <c r="X36" s="1351"/>
      <c r="Y36" s="3799"/>
      <c r="Z36" s="1352" t="str">
        <f t="shared" si="15"/>
        <v>成新度</v>
      </c>
      <c r="AA36" s="1349" t="e">
        <f t="shared" si="3"/>
        <v>#N/A</v>
      </c>
      <c r="AB36" s="1349" t="e">
        <f t="shared" si="4"/>
        <v>#N/A</v>
      </c>
      <c r="AC36" s="1349" t="e">
        <f t="shared" si="5"/>
        <v>#N/A</v>
      </c>
    </row>
    <row r="37" spans="1:29" s="108" customFormat="1" ht="15">
      <c r="A37" s="423"/>
      <c r="B37" s="374" t="s">
        <v>1787</v>
      </c>
      <c r="C37" s="1902"/>
      <c r="D37" s="127">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797"/>
      <c r="Q37" s="1339" t="str">
        <f t="shared" si="11"/>
        <v>市政基础设施</v>
      </c>
      <c r="R37" s="700" t="s">
        <v>14</v>
      </c>
      <c r="S37" s="701">
        <f t="shared" si="12"/>
        <v>100</v>
      </c>
      <c r="T37" s="700" t="s">
        <v>14</v>
      </c>
      <c r="U37" s="701">
        <f t="shared" si="13"/>
        <v>100</v>
      </c>
      <c r="V37" s="700" t="s">
        <v>14</v>
      </c>
      <c r="W37" s="701">
        <f t="shared" si="14"/>
        <v>100</v>
      </c>
      <c r="X37" s="702"/>
      <c r="Y37" s="3799"/>
      <c r="Z37" s="52" t="str">
        <f t="shared" si="15"/>
        <v>市政基础设施</v>
      </c>
      <c r="AA37" s="703">
        <f t="shared" si="3"/>
        <v>1</v>
      </c>
      <c r="AB37" s="703">
        <f t="shared" si="4"/>
        <v>1</v>
      </c>
      <c r="AC37" s="703">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797" t="s">
        <v>1696</v>
      </c>
      <c r="Q38" s="1348" t="str">
        <f t="shared" si="11"/>
        <v>业态</v>
      </c>
      <c r="R38" s="704" t="s">
        <v>14</v>
      </c>
      <c r="S38" s="705">
        <f t="shared" si="12"/>
        <v>100</v>
      </c>
      <c r="T38" s="704" t="s">
        <v>14</v>
      </c>
      <c r="U38" s="705">
        <f t="shared" si="13"/>
        <v>100</v>
      </c>
      <c r="V38" s="704" t="s">
        <v>14</v>
      </c>
      <c r="W38" s="705">
        <f t="shared" si="14"/>
        <v>100</v>
      </c>
      <c r="X38" s="1351"/>
      <c r="Y38" s="3799"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97"/>
      <c r="Q39" s="1348" t="str">
        <f t="shared" si="11"/>
        <v>层高</v>
      </c>
      <c r="R39" s="704" t="s">
        <v>14</v>
      </c>
      <c r="S39" s="705">
        <f t="shared" si="12"/>
        <v>100</v>
      </c>
      <c r="T39" s="704" t="s">
        <v>14</v>
      </c>
      <c r="U39" s="705">
        <f t="shared" si="13"/>
        <v>100</v>
      </c>
      <c r="V39" s="704" t="s">
        <v>14</v>
      </c>
      <c r="W39" s="705">
        <f t="shared" si="14"/>
        <v>100</v>
      </c>
      <c r="X39" s="1351"/>
      <c r="Y39" s="3799"/>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97"/>
      <c r="Q40" s="1348" t="str">
        <f t="shared" si="11"/>
        <v>单套建筑面积</v>
      </c>
      <c r="R40" s="704" t="s">
        <v>14</v>
      </c>
      <c r="S40" s="705">
        <f t="shared" si="12"/>
        <v>100</v>
      </c>
      <c r="T40" s="704" t="s">
        <v>14</v>
      </c>
      <c r="U40" s="705">
        <f t="shared" si="13"/>
        <v>100</v>
      </c>
      <c r="V40" s="704" t="s">
        <v>14</v>
      </c>
      <c r="W40" s="705">
        <f t="shared" si="14"/>
        <v>100</v>
      </c>
      <c r="X40" s="1351"/>
      <c r="Y40" s="3799"/>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97"/>
      <c r="Q41" s="706" t="str">
        <f t="shared" si="11"/>
        <v>进深比</v>
      </c>
      <c r="R41" s="707" t="s">
        <v>14</v>
      </c>
      <c r="S41" s="708">
        <f t="shared" si="12"/>
        <v>100</v>
      </c>
      <c r="T41" s="707" t="s">
        <v>14</v>
      </c>
      <c r="U41" s="708">
        <f t="shared" si="13"/>
        <v>100</v>
      </c>
      <c r="V41" s="707" t="s">
        <v>14</v>
      </c>
      <c r="W41" s="708">
        <f t="shared" si="14"/>
        <v>100</v>
      </c>
      <c r="X41" s="709"/>
      <c r="Y41" s="3799"/>
      <c r="Z41" s="710"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797"/>
      <c r="Q42" s="1348" t="str">
        <f t="shared" si="11"/>
        <v>内部装修</v>
      </c>
      <c r="R42" s="704" t="s">
        <v>14</v>
      </c>
      <c r="S42" s="705">
        <f t="shared" si="12"/>
        <v>100</v>
      </c>
      <c r="T42" s="704" t="s">
        <v>14</v>
      </c>
      <c r="U42" s="705">
        <f t="shared" si="13"/>
        <v>100</v>
      </c>
      <c r="V42" s="704" t="s">
        <v>14</v>
      </c>
      <c r="W42" s="705">
        <f t="shared" si="14"/>
        <v>100</v>
      </c>
      <c r="X42" s="1351"/>
      <c r="Y42" s="3799"/>
      <c r="Z42" s="1352" t="str">
        <f t="shared" si="15"/>
        <v>内部装修</v>
      </c>
      <c r="AA42" s="1349">
        <f t="shared" si="3"/>
        <v>1</v>
      </c>
      <c r="AB42" s="1349">
        <f t="shared" si="4"/>
        <v>1</v>
      </c>
      <c r="AC42" s="1349">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797"/>
      <c r="Q43" s="1348" t="str">
        <f t="shared" si="11"/>
        <v>内部装修维护情况</v>
      </c>
      <c r="R43" s="704" t="s">
        <v>14</v>
      </c>
      <c r="S43" s="705">
        <f t="shared" si="12"/>
        <v>100</v>
      </c>
      <c r="T43" s="704" t="s">
        <v>14</v>
      </c>
      <c r="U43" s="705">
        <f t="shared" si="13"/>
        <v>100</v>
      </c>
      <c r="V43" s="704" t="s">
        <v>14</v>
      </c>
      <c r="W43" s="705">
        <f t="shared" si="14"/>
        <v>100</v>
      </c>
      <c r="X43" s="1351"/>
      <c r="Y43" s="3799"/>
      <c r="Z43" s="1352" t="str">
        <f t="shared" si="15"/>
        <v>内部装修维护情况</v>
      </c>
      <c r="AA43" s="1349">
        <f t="shared" si="3"/>
        <v>1</v>
      </c>
      <c r="AB43" s="1349">
        <f t="shared" si="4"/>
        <v>1</v>
      </c>
      <c r="AC43" s="1349">
        <f t="shared" si="5"/>
        <v>1</v>
      </c>
    </row>
    <row r="44" spans="1:29" s="108" customFormat="1" ht="15">
      <c r="A44" s="423"/>
      <c r="B44" s="1129">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3"/>
      <c r="M44" s="2714"/>
      <c r="N44" s="2714"/>
      <c r="O44" s="2714"/>
      <c r="P44" s="3797"/>
      <c r="Q44" s="1339">
        <f t="shared" si="11"/>
        <v>111</v>
      </c>
      <c r="R44" s="700" t="s">
        <v>14</v>
      </c>
      <c r="S44" s="701">
        <f t="shared" si="12"/>
        <v>100</v>
      </c>
      <c r="T44" s="700" t="s">
        <v>14</v>
      </c>
      <c r="U44" s="701">
        <f t="shared" si="13"/>
        <v>100</v>
      </c>
      <c r="V44" s="700" t="s">
        <v>14</v>
      </c>
      <c r="W44" s="701">
        <f t="shared" si="14"/>
        <v>100</v>
      </c>
      <c r="X44" s="702"/>
      <c r="Y44" s="3799"/>
      <c r="Z44" s="52">
        <f t="shared" si="15"/>
        <v>111</v>
      </c>
      <c r="AA44" s="703">
        <f t="shared" si="3"/>
        <v>1</v>
      </c>
      <c r="AB44" s="703">
        <f t="shared" si="4"/>
        <v>1</v>
      </c>
      <c r="AC44" s="703">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97"/>
      <c r="Q45" s="1348">
        <f t="shared" si="11"/>
        <v>111</v>
      </c>
      <c r="R45" s="704" t="s">
        <v>14</v>
      </c>
      <c r="S45" s="705">
        <f t="shared" si="12"/>
        <v>100</v>
      </c>
      <c r="T45" s="704" t="s">
        <v>14</v>
      </c>
      <c r="U45" s="705">
        <f t="shared" si="13"/>
        <v>100</v>
      </c>
      <c r="V45" s="704" t="s">
        <v>14</v>
      </c>
      <c r="W45" s="705">
        <f t="shared" si="14"/>
        <v>100</v>
      </c>
      <c r="X45" s="1351"/>
      <c r="Y45" s="3799"/>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98"/>
      <c r="Q46" s="1348">
        <f t="shared" si="11"/>
        <v>111</v>
      </c>
      <c r="R46" s="704" t="s">
        <v>14</v>
      </c>
      <c r="S46" s="705">
        <f t="shared" si="12"/>
        <v>100</v>
      </c>
      <c r="T46" s="704" t="s">
        <v>14</v>
      </c>
      <c r="U46" s="705">
        <f t="shared" si="13"/>
        <v>100</v>
      </c>
      <c r="V46" s="704" t="s">
        <v>14</v>
      </c>
      <c r="W46" s="705">
        <f t="shared" si="14"/>
        <v>100</v>
      </c>
      <c r="X46" s="1351"/>
      <c r="Y46" s="3800"/>
      <c r="Z46" s="1352">
        <f t="shared" si="15"/>
        <v>111</v>
      </c>
      <c r="AA46" s="1349">
        <f t="shared" si="3"/>
        <v>1</v>
      </c>
      <c r="AB46" s="1349">
        <f t="shared" si="4"/>
        <v>1</v>
      </c>
      <c r="AC46" s="1349">
        <f t="shared" si="5"/>
        <v>1</v>
      </c>
    </row>
    <row r="47" spans="1:29" ht="15">
      <c r="A47" s="429" t="s">
        <v>1708</v>
      </c>
      <c r="B47" s="430"/>
      <c r="C47" s="1150" t="s">
        <v>0</v>
      </c>
      <c r="D47" s="1151"/>
      <c r="E47" s="1152"/>
      <c r="F47" s="1153"/>
      <c r="G47" s="1154"/>
      <c r="H47" s="1155"/>
      <c r="I47" s="1152"/>
      <c r="J47" s="1155"/>
      <c r="K47" s="713"/>
      <c r="L47" s="2720"/>
      <c r="M47" s="2721"/>
      <c r="N47" s="2712"/>
      <c r="O47" s="2721"/>
      <c r="P47" s="3792" t="str">
        <f>A47</f>
        <v>成交单价（元/平方米）</v>
      </c>
      <c r="Q47" s="3792"/>
      <c r="R47" s="3787">
        <f>E47</f>
        <v>0</v>
      </c>
      <c r="S47" s="3787"/>
      <c r="T47" s="3787">
        <f>G47</f>
        <v>0</v>
      </c>
      <c r="U47" s="3787"/>
      <c r="V47" s="3787">
        <f>I47</f>
        <v>0</v>
      </c>
      <c r="W47" s="3787"/>
      <c r="X47" s="689"/>
      <c r="Y47" s="711"/>
      <c r="Z47" s="689"/>
      <c r="AA47" s="689"/>
      <c r="AB47" s="689"/>
      <c r="AC47" s="689"/>
    </row>
    <row r="48" spans="1:29" ht="15.75" thickBot="1">
      <c r="A48" s="436" t="s">
        <v>1793</v>
      </c>
      <c r="B48" s="437"/>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89"/>
      <c r="Y48" s="689"/>
      <c r="Z48" s="689"/>
      <c r="AA48" s="689"/>
      <c r="AB48" s="689"/>
      <c r="AC48" s="689"/>
    </row>
    <row r="49" spans="1:29" ht="15.75" thickBot="1">
      <c r="A49" s="440" t="s">
        <v>1794</v>
      </c>
      <c r="B49" s="441"/>
      <c r="C49" s="1159" t="e">
        <f>R49</f>
        <v>#DIV/0!</v>
      </c>
      <c r="D49" s="1159"/>
      <c r="E49" s="1159"/>
      <c r="F49" s="1159"/>
      <c r="G49" s="1159"/>
      <c r="H49" s="1159"/>
      <c r="I49" s="1159"/>
      <c r="J49" s="1159"/>
      <c r="K49" s="714"/>
      <c r="L49" s="2720"/>
      <c r="M49" s="2721"/>
      <c r="N49" s="2712"/>
      <c r="O49" s="2721"/>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1679</v>
      </c>
      <c r="B58" s="454"/>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0" priority="21" stopIfTrue="1" operator="containsText" text="超过">
      <formula>NOT(ISERROR(SEARCH("超过",F52)))</formula>
    </cfRule>
  </conditionalFormatting>
  <conditionalFormatting sqref="H54">
    <cfRule type="containsText" dxfId="169" priority="19" stopIfTrue="1" operator="containsText" text="超过">
      <formula>NOT(ISERROR(SEARCH("超过",H54)))</formula>
    </cfRule>
  </conditionalFormatting>
  <conditionalFormatting sqref="F54">
    <cfRule type="containsText" dxfId="168" priority="18" stopIfTrue="1" operator="containsText" text="超过">
      <formula>NOT(ISERROR(SEARCH("超过",F54)))</formula>
    </cfRule>
  </conditionalFormatting>
  <conditionalFormatting sqref="F53 H53">
    <cfRule type="containsText" dxfId="167" priority="17" stopIfTrue="1" operator="containsText" text="超过">
      <formula>NOT(ISERROR(SEARCH("超过",F53)))</formula>
    </cfRule>
  </conditionalFormatting>
  <conditionalFormatting sqref="E52">
    <cfRule type="expression" dxfId="166" priority="16" stopIfTrue="1">
      <formula>$F$52="超过30%"</formula>
    </cfRule>
  </conditionalFormatting>
  <conditionalFormatting sqref="E53">
    <cfRule type="expression" dxfId="165" priority="15" stopIfTrue="1">
      <formula>$F$53="超过20%"</formula>
    </cfRule>
  </conditionalFormatting>
  <conditionalFormatting sqref="E54">
    <cfRule type="expression" dxfId="164" priority="14" stopIfTrue="1">
      <formula>$F$54="超过30%"</formula>
    </cfRule>
  </conditionalFormatting>
  <conditionalFormatting sqref="G54">
    <cfRule type="expression" dxfId="163" priority="13" stopIfTrue="1">
      <formula>$H$54="超过30%"</formula>
    </cfRule>
  </conditionalFormatting>
  <conditionalFormatting sqref="G52">
    <cfRule type="expression" dxfId="162" priority="12" stopIfTrue="1">
      <formula>$H$52="超过30%"</formula>
    </cfRule>
  </conditionalFormatting>
  <conditionalFormatting sqref="G53">
    <cfRule type="expression" dxfId="161" priority="11" stopIfTrue="1">
      <formula>$H$53="超过20%"</formula>
    </cfRule>
  </conditionalFormatting>
  <conditionalFormatting sqref="J52">
    <cfRule type="containsText" dxfId="160" priority="10" stopIfTrue="1" operator="containsText" text="超过">
      <formula>NOT(ISERROR(SEARCH("超过",J52)))</formula>
    </cfRule>
  </conditionalFormatting>
  <conditionalFormatting sqref="J54">
    <cfRule type="containsText" dxfId="159" priority="9" stopIfTrue="1" operator="containsText" text="超过">
      <formula>NOT(ISERROR(SEARCH("超过",J54)))</formula>
    </cfRule>
  </conditionalFormatting>
  <conditionalFormatting sqref="J53">
    <cfRule type="containsText" dxfId="158" priority="8" stopIfTrue="1" operator="containsText" text="超过">
      <formula>NOT(ISERROR(SEARCH("超过",J53)))</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64978.17</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4" t="s">
        <v>1769</v>
      </c>
      <c r="B4" s="355"/>
      <c r="C4" s="3775" t="s">
        <v>1770</v>
      </c>
      <c r="D4" s="3776"/>
      <c r="E4" s="3777" t="s">
        <v>1771</v>
      </c>
      <c r="F4" s="3778"/>
      <c r="G4" s="3775" t="s">
        <v>1772</v>
      </c>
      <c r="H4" s="3776"/>
      <c r="I4" s="3775" t="s">
        <v>1773</v>
      </c>
      <c r="J4" s="3776"/>
      <c r="K4" s="558" t="s">
        <v>1774</v>
      </c>
      <c r="L4" s="2711"/>
      <c r="M4" s="2712"/>
      <c r="N4" s="2712"/>
      <c r="O4" s="2712"/>
      <c r="P4" s="3809" t="s">
        <v>1775</v>
      </c>
      <c r="Q4" s="3810"/>
      <c r="R4" s="3804" t="s">
        <v>1771</v>
      </c>
      <c r="S4" s="3805"/>
      <c r="T4" s="3804" t="s">
        <v>1772</v>
      </c>
      <c r="U4" s="3805"/>
      <c r="V4" s="3813" t="s">
        <v>1773</v>
      </c>
      <c r="W4" s="3813"/>
      <c r="X4" s="1954"/>
      <c r="Y4" s="3804" t="s">
        <v>1775</v>
      </c>
      <c r="Z4" s="3805"/>
      <c r="AA4" s="3803" t="s">
        <v>1771</v>
      </c>
      <c r="AB4" s="3803" t="s">
        <v>1772</v>
      </c>
      <c r="AC4" s="3806" t="s">
        <v>1773</v>
      </c>
    </row>
    <row r="5" spans="1:29" ht="15">
      <c r="A5" s="357"/>
      <c r="B5" s="358"/>
      <c r="C5" s="3768" t="s">
        <v>1673</v>
      </c>
      <c r="D5" s="3769"/>
      <c r="E5" s="3766" t="s">
        <v>1674</v>
      </c>
      <c r="F5" s="3767"/>
      <c r="G5" s="3768" t="s">
        <v>1675</v>
      </c>
      <c r="H5" s="3769"/>
      <c r="I5" s="3768" t="s">
        <v>1676</v>
      </c>
      <c r="J5" s="3769"/>
      <c r="K5" s="558"/>
      <c r="L5" s="2711"/>
      <c r="M5" s="2712"/>
      <c r="N5" s="2712"/>
      <c r="O5" s="2712"/>
      <c r="P5" s="3811"/>
      <c r="Q5" s="3782"/>
      <c r="R5" s="3764"/>
      <c r="S5" s="3765"/>
      <c r="T5" s="3764"/>
      <c r="U5" s="3765"/>
      <c r="V5" s="3787"/>
      <c r="W5" s="3787"/>
      <c r="X5" s="1351"/>
      <c r="Y5" s="3764"/>
      <c r="Z5" s="3765"/>
      <c r="AA5" s="3758"/>
      <c r="AB5" s="3758"/>
      <c r="AC5" s="3807"/>
    </row>
    <row r="6" spans="1:29" ht="15.75" thickBot="1">
      <c r="A6" s="359"/>
      <c r="B6" s="360"/>
      <c r="C6" s="3770" t="s">
        <v>1677</v>
      </c>
      <c r="D6" s="3771"/>
      <c r="E6" s="3772" t="s">
        <v>1677</v>
      </c>
      <c r="F6" s="3773"/>
      <c r="G6" s="3770" t="s">
        <v>1677</v>
      </c>
      <c r="H6" s="3771"/>
      <c r="I6" s="3770" t="s">
        <v>1677</v>
      </c>
      <c r="J6" s="3771"/>
      <c r="K6" s="558" t="s">
        <v>1678</v>
      </c>
      <c r="L6" s="2711"/>
      <c r="M6" s="2712"/>
      <c r="N6" s="2712"/>
      <c r="O6" s="2712"/>
      <c r="P6" s="3812"/>
      <c r="Q6" s="3784"/>
      <c r="R6" s="3764"/>
      <c r="S6" s="3765"/>
      <c r="T6" s="3785"/>
      <c r="U6" s="3786"/>
      <c r="V6" s="3787"/>
      <c r="W6" s="3787"/>
      <c r="X6" s="1351"/>
      <c r="Y6" s="3785"/>
      <c r="Z6" s="3786"/>
      <c r="AA6" s="3759"/>
      <c r="AB6" s="3759"/>
      <c r="AC6" s="3808"/>
    </row>
    <row r="7" spans="1:29" s="108" customFormat="1" ht="15.75" thickBot="1">
      <c r="A7" s="361" t="s">
        <v>1679</v>
      </c>
      <c r="B7" s="362"/>
      <c r="C7" s="363">
        <f>'数据-取费表'!B2</f>
        <v>45005</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14" t="s">
        <v>1680</v>
      </c>
      <c r="Q7" s="3788"/>
      <c r="R7" s="700" t="s">
        <v>14</v>
      </c>
      <c r="S7" s="701">
        <f t="shared" ref="S7:S15" si="0">F7</f>
        <v>0</v>
      </c>
      <c r="T7" s="700" t="s">
        <v>14</v>
      </c>
      <c r="U7" s="701">
        <f t="shared" ref="U7:U15" si="1">H7</f>
        <v>0</v>
      </c>
      <c r="V7" s="700" t="s">
        <v>14</v>
      </c>
      <c r="W7" s="701">
        <f t="shared" ref="W7:W15" si="2">J7</f>
        <v>0</v>
      </c>
      <c r="X7" s="702"/>
      <c r="Y7" s="3760" t="s">
        <v>1680</v>
      </c>
      <c r="Z7" s="3761"/>
      <c r="AA7" s="703" t="e">
        <f>D7/F7</f>
        <v>#DIV/0!</v>
      </c>
      <c r="AB7" s="703"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14" t="s">
        <v>1683</v>
      </c>
      <c r="Q8" s="3761"/>
      <c r="R8" s="700" t="s">
        <v>14</v>
      </c>
      <c r="S8" s="701">
        <f t="shared" si="0"/>
        <v>100</v>
      </c>
      <c r="T8" s="700" t="s">
        <v>14</v>
      </c>
      <c r="U8" s="701">
        <f t="shared" si="1"/>
        <v>100</v>
      </c>
      <c r="V8" s="700" t="s">
        <v>14</v>
      </c>
      <c r="W8" s="701">
        <f t="shared" si="2"/>
        <v>100</v>
      </c>
      <c r="X8" s="702"/>
      <c r="Y8" s="3760" t="s">
        <v>1683</v>
      </c>
      <c r="Z8" s="3761"/>
      <c r="AA8" s="703">
        <f t="shared" ref="AA8:AA47" si="3">D8/F8</f>
        <v>1</v>
      </c>
      <c r="AB8" s="703">
        <f t="shared" ref="AB8:AB47" si="4">D8/H8</f>
        <v>1</v>
      </c>
      <c r="AC8" s="1955">
        <f t="shared" ref="AC8:AC47" si="5">D8/J8</f>
        <v>1</v>
      </c>
    </row>
    <row r="9" spans="1:29" s="108" customFormat="1">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9"/>
      <c r="L9" s="2713"/>
      <c r="M9" s="2714"/>
      <c r="N9" s="2714"/>
      <c r="O9" s="2714"/>
      <c r="P9" s="3774"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1955">
        <f t="shared" si="5"/>
        <v>1</v>
      </c>
    </row>
    <row r="10" spans="1:29" s="377" customFormat="1" ht="27">
      <c r="A10" s="373"/>
      <c r="B10" s="374" t="s">
        <v>1688</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774"/>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1955">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7"/>
      <c r="M11" s="2712"/>
      <c r="N11" s="2712"/>
      <c r="O11" s="2712"/>
      <c r="P11" s="3774"/>
      <c r="Q11" s="1339"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1955">
        <f t="shared" si="5"/>
        <v>1</v>
      </c>
    </row>
    <row r="12" spans="1:29" s="108" customFormat="1" ht="15">
      <c r="A12" s="381"/>
      <c r="B12" s="1889">
        <v>111</v>
      </c>
      <c r="C12" s="382"/>
      <c r="D12" s="383">
        <v>100</v>
      </c>
      <c r="E12" s="382"/>
      <c r="F12" s="127">
        <f>SUMIF(71:71,E12,72:72)-SUMIF(71:71,C12,72:72)+100</f>
        <v>100</v>
      </c>
      <c r="G12" s="1956"/>
      <c r="H12" s="127">
        <f>SUMIF(71:71,G12,72:72)-SUMIF(71:71,C12,72:72)+100</f>
        <v>100</v>
      </c>
      <c r="I12" s="382"/>
      <c r="J12" s="127">
        <f>SUMIF(71:71,I12,72:72)-SUMIF(71:71,C12,72:72)+100</f>
        <v>100</v>
      </c>
      <c r="K12" s="561"/>
      <c r="L12" s="2713"/>
      <c r="M12" s="2714"/>
      <c r="N12" s="2714"/>
      <c r="O12" s="2714"/>
      <c r="P12" s="3774"/>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1955">
        <f>D12/J12</f>
        <v>1</v>
      </c>
    </row>
    <row r="13" spans="1:29" ht="15">
      <c r="A13" s="378"/>
      <c r="B13" s="1889">
        <v>111</v>
      </c>
      <c r="C13" s="384"/>
      <c r="D13" s="385">
        <v>100</v>
      </c>
      <c r="E13" s="382"/>
      <c r="F13" s="127">
        <f>SUMIF(73:73,E13,74:74)-SUMIF(73:73,C13,74:74)+100</f>
        <v>100</v>
      </c>
      <c r="G13" s="1956"/>
      <c r="H13" s="385">
        <f>SUMIF(73:73,G13,74:74)-SUMIF(73:73,C13,74:74)+100</f>
        <v>100</v>
      </c>
      <c r="I13" s="382"/>
      <c r="J13" s="385">
        <f>SUMIF(73:73,I13,74:74)-SUMIF(73:73,C13,74:74)+100</f>
        <v>100</v>
      </c>
      <c r="K13" s="561"/>
      <c r="L13" s="2718"/>
      <c r="M13" s="2712"/>
      <c r="N13" s="2712"/>
      <c r="O13" s="2712"/>
      <c r="P13" s="3774"/>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74"/>
      <c r="Q14" s="1339">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01" t="s">
        <v>1691</v>
      </c>
      <c r="Q15" s="1348" t="str">
        <f t="shared" si="6"/>
        <v>办公集聚程度</v>
      </c>
      <c r="R15" s="704" t="s">
        <v>14</v>
      </c>
      <c r="S15" s="705">
        <f t="shared" si="0"/>
        <v>100</v>
      </c>
      <c r="T15" s="704" t="s">
        <v>14</v>
      </c>
      <c r="U15" s="705">
        <f t="shared" si="1"/>
        <v>100</v>
      </c>
      <c r="V15" s="704" t="s">
        <v>14</v>
      </c>
      <c r="W15" s="705">
        <f t="shared" si="2"/>
        <v>100</v>
      </c>
      <c r="X15" s="1351"/>
      <c r="Y15" s="3794"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02"/>
      <c r="Q16" s="1348"/>
      <c r="R16" s="704"/>
      <c r="S16" s="705"/>
      <c r="T16" s="704"/>
      <c r="U16" s="705"/>
      <c r="V16" s="704"/>
      <c r="W16" s="705"/>
      <c r="X16" s="1351"/>
      <c r="Y16" s="3795"/>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02"/>
      <c r="Q17" s="1348" t="str">
        <f>B17</f>
        <v>交通便捷度</v>
      </c>
      <c r="R17" s="704" t="s">
        <v>14</v>
      </c>
      <c r="S17" s="705">
        <f>F17</f>
        <v>100</v>
      </c>
      <c r="T17" s="704" t="s">
        <v>14</v>
      </c>
      <c r="U17" s="705">
        <f>H17</f>
        <v>100</v>
      </c>
      <c r="V17" s="704" t="s">
        <v>14</v>
      </c>
      <c r="W17" s="705">
        <f>J17</f>
        <v>100</v>
      </c>
      <c r="X17" s="1351"/>
      <c r="Y17" s="3795"/>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02"/>
      <c r="Q18" s="1348"/>
      <c r="R18" s="704"/>
      <c r="S18" s="705"/>
      <c r="T18" s="704"/>
      <c r="U18" s="705"/>
      <c r="V18" s="704"/>
      <c r="W18" s="705"/>
      <c r="X18" s="1351"/>
      <c r="Y18" s="3795"/>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02"/>
      <c r="Q19" s="1348" t="str">
        <f>B19</f>
        <v>公共配套设施</v>
      </c>
      <c r="R19" s="704" t="s">
        <v>14</v>
      </c>
      <c r="S19" s="705">
        <f>F19</f>
        <v>100</v>
      </c>
      <c r="T19" s="704" t="s">
        <v>14</v>
      </c>
      <c r="U19" s="705">
        <f>H19</f>
        <v>100</v>
      </c>
      <c r="V19" s="704" t="s">
        <v>14</v>
      </c>
      <c r="W19" s="705">
        <f>J19</f>
        <v>100</v>
      </c>
      <c r="X19" s="1351"/>
      <c r="Y19" s="3795"/>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02"/>
      <c r="Q20" s="1348"/>
      <c r="R20" s="704"/>
      <c r="S20" s="705"/>
      <c r="T20" s="704"/>
      <c r="U20" s="705"/>
      <c r="V20" s="704"/>
      <c r="W20" s="705"/>
      <c r="X20" s="1351"/>
      <c r="Y20" s="3795"/>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02"/>
      <c r="Q21" s="1348" t="str">
        <f>B21</f>
        <v>基础设施水平</v>
      </c>
      <c r="R21" s="704" t="s">
        <v>14</v>
      </c>
      <c r="S21" s="705">
        <f>F21</f>
        <v>100</v>
      </c>
      <c r="T21" s="704" t="s">
        <v>14</v>
      </c>
      <c r="U21" s="705">
        <f>H21</f>
        <v>100</v>
      </c>
      <c r="V21" s="704" t="s">
        <v>14</v>
      </c>
      <c r="W21" s="705">
        <f>J21</f>
        <v>100</v>
      </c>
      <c r="X21" s="1351"/>
      <c r="Y21" s="3795"/>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02"/>
      <c r="Q22" s="1348"/>
      <c r="R22" s="704"/>
      <c r="S22" s="705"/>
      <c r="T22" s="704"/>
      <c r="U22" s="705"/>
      <c r="V22" s="704"/>
      <c r="W22" s="705"/>
      <c r="X22" s="1351"/>
      <c r="Y22" s="3795"/>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02"/>
      <c r="Q23" s="1348" t="str">
        <f>B23</f>
        <v>环境质量</v>
      </c>
      <c r="R23" s="704" t="s">
        <v>14</v>
      </c>
      <c r="S23" s="705">
        <f>F23</f>
        <v>100</v>
      </c>
      <c r="T23" s="704" t="s">
        <v>14</v>
      </c>
      <c r="U23" s="705">
        <f>H23</f>
        <v>100</v>
      </c>
      <c r="V23" s="704" t="s">
        <v>14</v>
      </c>
      <c r="W23" s="705">
        <f>J23</f>
        <v>100</v>
      </c>
      <c r="X23" s="1351"/>
      <c r="Y23" s="3795"/>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02"/>
      <c r="Q24" s="1348"/>
      <c r="R24" s="704"/>
      <c r="S24" s="705"/>
      <c r="T24" s="704"/>
      <c r="U24" s="705"/>
      <c r="V24" s="704"/>
      <c r="W24" s="705"/>
      <c r="X24" s="1351"/>
      <c r="Y24" s="3795"/>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02"/>
      <c r="Q25" s="1348" t="str">
        <f>B25</f>
        <v>毗邻道路的类型与等级</v>
      </c>
      <c r="R25" s="704" t="s">
        <v>14</v>
      </c>
      <c r="S25" s="705">
        <f>F25</f>
        <v>100</v>
      </c>
      <c r="T25" s="704" t="s">
        <v>14</v>
      </c>
      <c r="U25" s="705">
        <f>H25</f>
        <v>100</v>
      </c>
      <c r="V25" s="704" t="s">
        <v>14</v>
      </c>
      <c r="W25" s="705">
        <f>J25</f>
        <v>100</v>
      </c>
      <c r="X25" s="1351"/>
      <c r="Y25" s="3795"/>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02"/>
      <c r="Q26" s="1348"/>
      <c r="R26" s="704"/>
      <c r="S26" s="705"/>
      <c r="T26" s="704"/>
      <c r="U26" s="705"/>
      <c r="V26" s="704"/>
      <c r="W26" s="705"/>
      <c r="X26" s="1351"/>
      <c r="Y26" s="3795"/>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02"/>
      <c r="Q27" s="1348" t="str">
        <f t="shared" ref="Q27:Q47" si="11">B27</f>
        <v>楼层</v>
      </c>
      <c r="R27" s="704" t="s">
        <v>14</v>
      </c>
      <c r="S27" s="705">
        <f>F27</f>
        <v>100</v>
      </c>
      <c r="T27" s="704" t="s">
        <v>14</v>
      </c>
      <c r="U27" s="705">
        <f>H27</f>
        <v>100</v>
      </c>
      <c r="V27" s="704" t="s">
        <v>14</v>
      </c>
      <c r="W27" s="705">
        <f>J27</f>
        <v>100</v>
      </c>
      <c r="X27" s="1351"/>
      <c r="Y27" s="3795"/>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02"/>
      <c r="Q28" s="1339" t="str">
        <f t="shared" si="11"/>
        <v>朝向</v>
      </c>
      <c r="R28" s="700" t="s">
        <v>14</v>
      </c>
      <c r="S28" s="701">
        <f>F28</f>
        <v>100</v>
      </c>
      <c r="T28" s="700" t="s">
        <v>14</v>
      </c>
      <c r="U28" s="701">
        <f>H28</f>
        <v>100</v>
      </c>
      <c r="V28" s="700" t="s">
        <v>14</v>
      </c>
      <c r="W28" s="701">
        <f>J28</f>
        <v>100</v>
      </c>
      <c r="X28" s="702"/>
      <c r="Y28" s="3795"/>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02"/>
      <c r="Q29" s="1348">
        <f t="shared" si="11"/>
        <v>111</v>
      </c>
      <c r="R29" s="704" t="s">
        <v>14</v>
      </c>
      <c r="S29" s="705">
        <f t="shared" ref="S29:S47" si="12">F29</f>
        <v>100</v>
      </c>
      <c r="T29" s="704" t="s">
        <v>14</v>
      </c>
      <c r="U29" s="705">
        <f t="shared" ref="U29:U47" si="13">H29</f>
        <v>100</v>
      </c>
      <c r="V29" s="704" t="s">
        <v>14</v>
      </c>
      <c r="W29" s="705">
        <f t="shared" ref="W29:W47" si="14">J29</f>
        <v>100</v>
      </c>
      <c r="X29" s="1351"/>
      <c r="Y29" s="3795"/>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02"/>
      <c r="Q30" s="1348">
        <f t="shared" si="11"/>
        <v>111</v>
      </c>
      <c r="R30" s="704" t="s">
        <v>14</v>
      </c>
      <c r="S30" s="705">
        <f t="shared" si="12"/>
        <v>100</v>
      </c>
      <c r="T30" s="704" t="s">
        <v>14</v>
      </c>
      <c r="U30" s="705">
        <f t="shared" si="13"/>
        <v>100</v>
      </c>
      <c r="V30" s="704" t="s">
        <v>14</v>
      </c>
      <c r="W30" s="705">
        <f t="shared" si="14"/>
        <v>100</v>
      </c>
      <c r="X30" s="1351"/>
      <c r="Y30" s="3795"/>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02"/>
      <c r="Q31" s="1348">
        <f t="shared" si="11"/>
        <v>111</v>
      </c>
      <c r="R31" s="704" t="s">
        <v>14</v>
      </c>
      <c r="S31" s="705">
        <f t="shared" si="12"/>
        <v>100</v>
      </c>
      <c r="T31" s="704" t="s">
        <v>14</v>
      </c>
      <c r="U31" s="705">
        <f t="shared" si="13"/>
        <v>100</v>
      </c>
      <c r="V31" s="704" t="s">
        <v>14</v>
      </c>
      <c r="W31" s="705">
        <f t="shared" si="14"/>
        <v>100</v>
      </c>
      <c r="X31" s="1351"/>
      <c r="Y31" s="3795"/>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02"/>
      <c r="Q32" s="1348">
        <f t="shared" si="11"/>
        <v>111</v>
      </c>
      <c r="R32" s="704" t="s">
        <v>14</v>
      </c>
      <c r="S32" s="705">
        <f t="shared" si="12"/>
        <v>100</v>
      </c>
      <c r="T32" s="704" t="s">
        <v>14</v>
      </c>
      <c r="U32" s="705">
        <f t="shared" si="13"/>
        <v>100</v>
      </c>
      <c r="V32" s="704" t="s">
        <v>14</v>
      </c>
      <c r="W32" s="705">
        <f t="shared" si="14"/>
        <v>100</v>
      </c>
      <c r="X32" s="1351"/>
      <c r="Y32" s="3795"/>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96" t="s">
        <v>1696</v>
      </c>
      <c r="Q33" s="1348" t="str">
        <f t="shared" si="11"/>
        <v>建筑类型</v>
      </c>
      <c r="R33" s="704" t="s">
        <v>14</v>
      </c>
      <c r="S33" s="705">
        <f t="shared" si="12"/>
        <v>100</v>
      </c>
      <c r="T33" s="704" t="s">
        <v>14</v>
      </c>
      <c r="U33" s="705">
        <f t="shared" si="13"/>
        <v>100</v>
      </c>
      <c r="V33" s="704" t="s">
        <v>14</v>
      </c>
      <c r="W33" s="705">
        <f t="shared" si="14"/>
        <v>100</v>
      </c>
      <c r="X33" s="1351"/>
      <c r="Y33" s="3799" t="s">
        <v>1696</v>
      </c>
      <c r="Z33" s="1352" t="str">
        <f t="shared" si="15"/>
        <v>建筑类型</v>
      </c>
      <c r="AA33" s="1349">
        <f t="shared" si="3"/>
        <v>1</v>
      </c>
      <c r="AB33" s="1349">
        <f t="shared" si="4"/>
        <v>1</v>
      </c>
      <c r="AC33" s="1958">
        <f t="shared" si="5"/>
        <v>1</v>
      </c>
    </row>
    <row r="34" spans="1:29" s="421" customFormat="1" ht="15">
      <c r="A34" s="418"/>
      <c r="B34" s="374" t="s">
        <v>1697</v>
      </c>
      <c r="C34" s="419"/>
      <c r="D34" s="127">
        <v>100</v>
      </c>
      <c r="E34" s="380"/>
      <c r="F34" s="375" t="e">
        <f>LOOKUP(E34,104:104,105:105)-LOOKUP(C34,104:104,105:105)+100</f>
        <v>#N/A</v>
      </c>
      <c r="G34" s="379"/>
      <c r="H34" s="127" t="e">
        <f>LOOKUP(G34,104:104,105:105)-LOOKUP(C34,104:104,105:105)+100</f>
        <v>#N/A</v>
      </c>
      <c r="I34" s="379"/>
      <c r="J34" s="127" t="e">
        <f>LOOKUP(I34,104:104,105:105)-LOOKUP(C34,104:104,105:105)+100</f>
        <v>#N/A</v>
      </c>
      <c r="K34" s="561"/>
      <c r="L34" s="2717"/>
      <c r="M34" s="2719"/>
      <c r="N34" s="2719"/>
      <c r="O34" s="2719"/>
      <c r="P34" s="3797"/>
      <c r="Q34" s="706" t="str">
        <f t="shared" si="11"/>
        <v>项目建筑规模</v>
      </c>
      <c r="R34" s="707" t="s">
        <v>14</v>
      </c>
      <c r="S34" s="708" t="e">
        <f t="shared" si="12"/>
        <v>#N/A</v>
      </c>
      <c r="T34" s="707" t="s">
        <v>14</v>
      </c>
      <c r="U34" s="708" t="e">
        <f t="shared" si="13"/>
        <v>#N/A</v>
      </c>
      <c r="V34" s="707" t="s">
        <v>14</v>
      </c>
      <c r="W34" s="708" t="e">
        <f t="shared" si="14"/>
        <v>#N/A</v>
      </c>
      <c r="X34" s="709"/>
      <c r="Y34" s="3799"/>
      <c r="Z34" s="710"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97"/>
      <c r="Q35" s="1348" t="str">
        <f t="shared" si="11"/>
        <v>建筑结构</v>
      </c>
      <c r="R35" s="704" t="s">
        <v>14</v>
      </c>
      <c r="S35" s="705">
        <f t="shared" si="12"/>
        <v>100</v>
      </c>
      <c r="T35" s="704" t="s">
        <v>14</v>
      </c>
      <c r="U35" s="705">
        <f t="shared" si="13"/>
        <v>100</v>
      </c>
      <c r="V35" s="704" t="s">
        <v>14</v>
      </c>
      <c r="W35" s="705">
        <f t="shared" si="14"/>
        <v>100</v>
      </c>
      <c r="X35" s="1351"/>
      <c r="Y35" s="3799"/>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97"/>
      <c r="Q36" s="1348" t="str">
        <f t="shared" si="11"/>
        <v>公共部分装修</v>
      </c>
      <c r="R36" s="704" t="s">
        <v>14</v>
      </c>
      <c r="S36" s="705">
        <f t="shared" si="12"/>
        <v>100</v>
      </c>
      <c r="T36" s="704" t="s">
        <v>14</v>
      </c>
      <c r="U36" s="705">
        <f t="shared" si="13"/>
        <v>100</v>
      </c>
      <c r="V36" s="704" t="s">
        <v>14</v>
      </c>
      <c r="W36" s="705">
        <f t="shared" si="14"/>
        <v>100</v>
      </c>
      <c r="X36" s="1351"/>
      <c r="Y36" s="3799"/>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97"/>
      <c r="Q37" s="1348" t="str">
        <f t="shared" si="11"/>
        <v>成新度</v>
      </c>
      <c r="R37" s="704" t="s">
        <v>14</v>
      </c>
      <c r="S37" s="705" t="e">
        <f t="shared" si="12"/>
        <v>#N/A</v>
      </c>
      <c r="T37" s="704" t="s">
        <v>14</v>
      </c>
      <c r="U37" s="705" t="e">
        <f t="shared" si="13"/>
        <v>#N/A</v>
      </c>
      <c r="V37" s="704" t="s">
        <v>14</v>
      </c>
      <c r="W37" s="705" t="e">
        <f t="shared" si="14"/>
        <v>#N/A</v>
      </c>
      <c r="X37" s="1351"/>
      <c r="Y37" s="3799"/>
      <c r="Z37" s="1352" t="str">
        <f t="shared" si="15"/>
        <v>成新度</v>
      </c>
      <c r="AA37" s="1349" t="e">
        <f t="shared" si="3"/>
        <v>#N/A</v>
      </c>
      <c r="AB37" s="1349" t="e">
        <f t="shared" si="4"/>
        <v>#N/A</v>
      </c>
      <c r="AC37" s="1958" t="e">
        <f t="shared" si="5"/>
        <v>#N/A</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97"/>
      <c r="Q38" s="1339" t="str">
        <f t="shared" si="11"/>
        <v>写字楼等级</v>
      </c>
      <c r="R38" s="700" t="s">
        <v>14</v>
      </c>
      <c r="S38" s="701">
        <f t="shared" si="12"/>
        <v>100</v>
      </c>
      <c r="T38" s="700" t="s">
        <v>14</v>
      </c>
      <c r="U38" s="701">
        <f t="shared" si="13"/>
        <v>100</v>
      </c>
      <c r="V38" s="700" t="s">
        <v>14</v>
      </c>
      <c r="W38" s="701">
        <f t="shared" si="14"/>
        <v>100</v>
      </c>
      <c r="X38" s="702"/>
      <c r="Y38" s="3799"/>
      <c r="Z38" s="52" t="str">
        <f t="shared" si="15"/>
        <v>写字楼等级</v>
      </c>
      <c r="AA38" s="703">
        <f t="shared" si="3"/>
        <v>1</v>
      </c>
      <c r="AB38" s="703">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97" t="s">
        <v>1696</v>
      </c>
      <c r="Q39" s="1348" t="str">
        <f t="shared" si="11"/>
        <v>物业管理</v>
      </c>
      <c r="R39" s="704" t="s">
        <v>14</v>
      </c>
      <c r="S39" s="705">
        <f t="shared" si="12"/>
        <v>100</v>
      </c>
      <c r="T39" s="704" t="s">
        <v>14</v>
      </c>
      <c r="U39" s="705">
        <f t="shared" si="13"/>
        <v>100</v>
      </c>
      <c r="V39" s="704" t="s">
        <v>14</v>
      </c>
      <c r="W39" s="705">
        <f t="shared" si="14"/>
        <v>100</v>
      </c>
      <c r="X39" s="1351"/>
      <c r="Y39" s="3799"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97"/>
      <c r="Q40" s="1348" t="str">
        <f t="shared" si="11"/>
        <v>市政基础设施</v>
      </c>
      <c r="R40" s="704" t="s">
        <v>14</v>
      </c>
      <c r="S40" s="705">
        <f t="shared" si="12"/>
        <v>100</v>
      </c>
      <c r="T40" s="704" t="s">
        <v>14</v>
      </c>
      <c r="U40" s="705">
        <f t="shared" si="13"/>
        <v>100</v>
      </c>
      <c r="V40" s="704" t="s">
        <v>14</v>
      </c>
      <c r="W40" s="705">
        <f t="shared" si="14"/>
        <v>100</v>
      </c>
      <c r="X40" s="1351"/>
      <c r="Y40" s="3799"/>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97"/>
      <c r="Q41" s="1348" t="str">
        <f t="shared" si="11"/>
        <v>层高</v>
      </c>
      <c r="R41" s="704" t="s">
        <v>14</v>
      </c>
      <c r="S41" s="705">
        <f t="shared" si="12"/>
        <v>100</v>
      </c>
      <c r="T41" s="704" t="s">
        <v>14</v>
      </c>
      <c r="U41" s="705">
        <f t="shared" si="13"/>
        <v>100</v>
      </c>
      <c r="V41" s="704" t="s">
        <v>14</v>
      </c>
      <c r="W41" s="705">
        <f t="shared" si="14"/>
        <v>100</v>
      </c>
      <c r="X41" s="1351"/>
      <c r="Y41" s="3799"/>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97"/>
      <c r="Q42" s="706" t="str">
        <f t="shared" si="11"/>
        <v>单套建筑面积</v>
      </c>
      <c r="R42" s="707" t="s">
        <v>14</v>
      </c>
      <c r="S42" s="708">
        <f t="shared" si="12"/>
        <v>100</v>
      </c>
      <c r="T42" s="707" t="s">
        <v>14</v>
      </c>
      <c r="U42" s="708">
        <f t="shared" si="13"/>
        <v>100</v>
      </c>
      <c r="V42" s="707" t="s">
        <v>14</v>
      </c>
      <c r="W42" s="708">
        <f t="shared" si="14"/>
        <v>100</v>
      </c>
      <c r="X42" s="709"/>
      <c r="Y42" s="3799"/>
      <c r="Z42" s="710"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97"/>
      <c r="Q43" s="1348" t="str">
        <f t="shared" si="11"/>
        <v>内部装修</v>
      </c>
      <c r="R43" s="704" t="s">
        <v>14</v>
      </c>
      <c r="S43" s="705">
        <f t="shared" si="12"/>
        <v>100</v>
      </c>
      <c r="T43" s="704" t="s">
        <v>14</v>
      </c>
      <c r="U43" s="705">
        <f t="shared" si="13"/>
        <v>100</v>
      </c>
      <c r="V43" s="704" t="s">
        <v>14</v>
      </c>
      <c r="W43" s="705">
        <f t="shared" si="14"/>
        <v>100</v>
      </c>
      <c r="X43" s="1351"/>
      <c r="Y43" s="3799"/>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97"/>
      <c r="Q44" s="1348" t="str">
        <f t="shared" si="11"/>
        <v>内部装修维护情况</v>
      </c>
      <c r="R44" s="704" t="s">
        <v>14</v>
      </c>
      <c r="S44" s="705">
        <f t="shared" si="12"/>
        <v>100</v>
      </c>
      <c r="T44" s="704" t="s">
        <v>14</v>
      </c>
      <c r="U44" s="705">
        <f t="shared" si="13"/>
        <v>100</v>
      </c>
      <c r="V44" s="704" t="s">
        <v>14</v>
      </c>
      <c r="W44" s="705">
        <f t="shared" si="14"/>
        <v>100</v>
      </c>
      <c r="X44" s="1351"/>
      <c r="Y44" s="3799"/>
      <c r="Z44" s="1352" t="str">
        <f t="shared" si="15"/>
        <v>内部装修维护情况</v>
      </c>
      <c r="AA44" s="1349">
        <f t="shared" si="3"/>
        <v>1</v>
      </c>
      <c r="AB44" s="1349">
        <f t="shared" si="4"/>
        <v>1</v>
      </c>
      <c r="AC44" s="1958">
        <f t="shared" si="5"/>
        <v>1</v>
      </c>
    </row>
    <row r="45" spans="1:29" s="108" customFormat="1" ht="15">
      <c r="A45" s="423"/>
      <c r="B45" s="1129">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13"/>
      <c r="M45" s="2714"/>
      <c r="N45" s="2714"/>
      <c r="O45" s="2714"/>
      <c r="P45" s="3797"/>
      <c r="Q45" s="1339">
        <f t="shared" si="11"/>
        <v>111</v>
      </c>
      <c r="R45" s="700" t="s">
        <v>14</v>
      </c>
      <c r="S45" s="701">
        <f t="shared" si="12"/>
        <v>100</v>
      </c>
      <c r="T45" s="700" t="s">
        <v>14</v>
      </c>
      <c r="U45" s="701">
        <f t="shared" si="13"/>
        <v>100</v>
      </c>
      <c r="V45" s="700" t="s">
        <v>14</v>
      </c>
      <c r="W45" s="701">
        <f t="shared" si="14"/>
        <v>100</v>
      </c>
      <c r="X45" s="702"/>
      <c r="Y45" s="3799"/>
      <c r="Z45" s="52">
        <f t="shared" si="15"/>
        <v>111</v>
      </c>
      <c r="AA45" s="703">
        <f t="shared" si="3"/>
        <v>1</v>
      </c>
      <c r="AB45" s="703">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97"/>
      <c r="Q46" s="1348">
        <f t="shared" si="11"/>
        <v>111</v>
      </c>
      <c r="R46" s="704" t="s">
        <v>14</v>
      </c>
      <c r="S46" s="705">
        <f t="shared" si="12"/>
        <v>100</v>
      </c>
      <c r="T46" s="704" t="s">
        <v>14</v>
      </c>
      <c r="U46" s="705">
        <f t="shared" si="13"/>
        <v>100</v>
      </c>
      <c r="V46" s="704" t="s">
        <v>14</v>
      </c>
      <c r="W46" s="705">
        <f t="shared" si="14"/>
        <v>100</v>
      </c>
      <c r="X46" s="1351"/>
      <c r="Y46" s="3799"/>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98"/>
      <c r="Q47" s="1348">
        <f t="shared" si="11"/>
        <v>111</v>
      </c>
      <c r="R47" s="704" t="s">
        <v>14</v>
      </c>
      <c r="S47" s="705">
        <f t="shared" si="12"/>
        <v>100</v>
      </c>
      <c r="T47" s="704" t="s">
        <v>14</v>
      </c>
      <c r="U47" s="705">
        <f t="shared" si="13"/>
        <v>100</v>
      </c>
      <c r="V47" s="704" t="s">
        <v>14</v>
      </c>
      <c r="W47" s="705">
        <f t="shared" si="14"/>
        <v>100</v>
      </c>
      <c r="X47" s="1351"/>
      <c r="Y47" s="3800"/>
      <c r="Z47" s="1352">
        <f t="shared" si="15"/>
        <v>111</v>
      </c>
      <c r="AA47" s="1349">
        <f t="shared" si="3"/>
        <v>1</v>
      </c>
      <c r="AB47" s="1349">
        <f t="shared" si="4"/>
        <v>1</v>
      </c>
      <c r="AC47" s="1958">
        <f t="shared" si="5"/>
        <v>1</v>
      </c>
    </row>
    <row r="48" spans="1:29" ht="15">
      <c r="A48" s="429" t="s">
        <v>1708</v>
      </c>
      <c r="B48" s="430"/>
      <c r="C48" s="1150" t="s">
        <v>0</v>
      </c>
      <c r="D48" s="1151"/>
      <c r="E48" s="1152"/>
      <c r="F48" s="1153"/>
      <c r="G48" s="1154"/>
      <c r="H48" s="1155"/>
      <c r="I48" s="1152"/>
      <c r="J48" s="435"/>
      <c r="K48" s="713"/>
      <c r="L48" s="2720"/>
      <c r="M48" s="2712"/>
      <c r="N48" s="2712"/>
      <c r="O48" s="2712"/>
      <c r="P48" s="3774" t="str">
        <f>A48</f>
        <v>成交单价（元/平方米）</v>
      </c>
      <c r="Q48" s="3792"/>
      <c r="R48" s="3793">
        <f>E48</f>
        <v>0</v>
      </c>
      <c r="S48" s="3793"/>
      <c r="T48" s="3793">
        <f>G48</f>
        <v>0</v>
      </c>
      <c r="U48" s="3793"/>
      <c r="V48" s="3793">
        <f>I48</f>
        <v>0</v>
      </c>
      <c r="W48" s="3793"/>
      <c r="X48" s="396"/>
      <c r="Y48" s="711"/>
      <c r="Z48" s="396"/>
      <c r="AA48" s="396"/>
      <c r="AB48" s="396"/>
      <c r="AC48" s="577"/>
    </row>
    <row r="49" spans="1:29" ht="15.75" thickBot="1">
      <c r="A49" s="436" t="s">
        <v>1793</v>
      </c>
      <c r="B49" s="437"/>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74" t="str">
        <f>A49</f>
        <v>比较价值（元/平方米）</v>
      </c>
      <c r="Q49" s="3792"/>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4"/>
      <c r="L50" s="2720"/>
      <c r="M50" s="2712"/>
      <c r="N50" s="2712"/>
      <c r="O50" s="2712"/>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64978.17</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4" t="s">
        <v>1769</v>
      </c>
      <c r="B4" s="355"/>
      <c r="C4" s="3775" t="s">
        <v>1770</v>
      </c>
      <c r="D4" s="3776"/>
      <c r="E4" s="3777" t="s">
        <v>1771</v>
      </c>
      <c r="F4" s="3778"/>
      <c r="G4" s="3775" t="s">
        <v>1772</v>
      </c>
      <c r="H4" s="3776"/>
      <c r="I4" s="3775" t="s">
        <v>1773</v>
      </c>
      <c r="J4" s="3776"/>
      <c r="K4" s="558" t="s">
        <v>1774</v>
      </c>
      <c r="L4" s="909"/>
      <c r="M4" s="910"/>
      <c r="N4" s="910"/>
      <c r="O4" s="910"/>
      <c r="P4" s="3779" t="s">
        <v>1775</v>
      </c>
      <c r="Q4" s="3780"/>
      <c r="R4" s="3762" t="s">
        <v>1771</v>
      </c>
      <c r="S4" s="3763"/>
      <c r="T4" s="3762" t="s">
        <v>1772</v>
      </c>
      <c r="U4" s="3763"/>
      <c r="V4" s="3787" t="s">
        <v>1773</v>
      </c>
      <c r="W4" s="3787"/>
      <c r="X4" s="1351"/>
      <c r="Y4" s="3762" t="s">
        <v>1775</v>
      </c>
      <c r="Z4" s="3763"/>
      <c r="AA4" s="3757" t="s">
        <v>1771</v>
      </c>
      <c r="AB4" s="3758" t="s">
        <v>1772</v>
      </c>
      <c r="AC4" s="3757" t="s">
        <v>1773</v>
      </c>
    </row>
    <row r="5" spans="1:29" ht="15">
      <c r="A5" s="357"/>
      <c r="B5" s="358"/>
      <c r="C5" s="3768" t="s">
        <v>1673</v>
      </c>
      <c r="D5" s="3769"/>
      <c r="E5" s="3766" t="s">
        <v>1674</v>
      </c>
      <c r="F5" s="3767"/>
      <c r="G5" s="3768" t="s">
        <v>1675</v>
      </c>
      <c r="H5" s="3769"/>
      <c r="I5" s="3768" t="s">
        <v>1676</v>
      </c>
      <c r="J5" s="3769"/>
      <c r="K5" s="558"/>
      <c r="L5" s="909"/>
      <c r="M5" s="910"/>
      <c r="N5" s="910"/>
      <c r="O5" s="910"/>
      <c r="P5" s="3781"/>
      <c r="Q5" s="3782"/>
      <c r="R5" s="3764"/>
      <c r="S5" s="3765"/>
      <c r="T5" s="3764"/>
      <c r="U5" s="3765"/>
      <c r="V5" s="3787"/>
      <c r="W5" s="3787"/>
      <c r="X5" s="1351"/>
      <c r="Y5" s="3764"/>
      <c r="Z5" s="3765"/>
      <c r="AA5" s="3758"/>
      <c r="AB5" s="3758"/>
      <c r="AC5" s="3758"/>
    </row>
    <row r="6" spans="1:29" ht="15.75" thickBot="1">
      <c r="A6" s="359"/>
      <c r="B6" s="360"/>
      <c r="C6" s="3770" t="s">
        <v>1677</v>
      </c>
      <c r="D6" s="3771"/>
      <c r="E6" s="3772" t="s">
        <v>1677</v>
      </c>
      <c r="F6" s="3773"/>
      <c r="G6" s="3770" t="s">
        <v>1677</v>
      </c>
      <c r="H6" s="3771"/>
      <c r="I6" s="3770" t="s">
        <v>1677</v>
      </c>
      <c r="J6" s="3771"/>
      <c r="K6" s="558" t="s">
        <v>1678</v>
      </c>
      <c r="L6" s="909"/>
      <c r="M6" s="910"/>
      <c r="N6" s="910"/>
      <c r="O6" s="910"/>
      <c r="P6" s="3783"/>
      <c r="Q6" s="3784"/>
      <c r="R6" s="3764"/>
      <c r="S6" s="3765"/>
      <c r="T6" s="3785"/>
      <c r="U6" s="3786"/>
      <c r="V6" s="3787"/>
      <c r="W6" s="3787"/>
      <c r="X6" s="1351"/>
      <c r="Y6" s="3785"/>
      <c r="Z6" s="3786"/>
      <c r="AA6" s="3759"/>
      <c r="AB6" s="3759"/>
      <c r="AC6" s="3759"/>
    </row>
    <row r="7" spans="1:29" s="108" customFormat="1" ht="15.75" thickBot="1">
      <c r="A7" s="361" t="s">
        <v>1679</v>
      </c>
      <c r="B7" s="362"/>
      <c r="C7" s="363">
        <f>'数据-取费表'!B2</f>
        <v>45005</v>
      </c>
      <c r="D7" s="364">
        <v>100</v>
      </c>
      <c r="E7" s="365"/>
      <c r="F7" s="366">
        <f>SUMIF(52:52,YEAR(E7)&amp;"-"&amp;MONTH(E7),53:53)</f>
        <v>0</v>
      </c>
      <c r="G7" s="365"/>
      <c r="H7" s="364">
        <f>SUMIF(52:52,YEAR(G7)&amp;"-"&amp;MONTH(G7),53:53)</f>
        <v>0</v>
      </c>
      <c r="I7" s="365"/>
      <c r="J7" s="364">
        <f>SUMIF(52:52,YEAR(I7)&amp;"-"&amp;MONTH(I7),53:53)</f>
        <v>0</v>
      </c>
      <c r="K7" s="559"/>
      <c r="L7" s="911"/>
      <c r="M7" s="912"/>
      <c r="N7" s="912"/>
      <c r="O7" s="912"/>
      <c r="P7" s="3760" t="s">
        <v>1680</v>
      </c>
      <c r="Q7" s="3788"/>
      <c r="R7" s="700" t="s">
        <v>14</v>
      </c>
      <c r="S7" s="701">
        <f t="shared" ref="S7:S15" si="0">F7</f>
        <v>0</v>
      </c>
      <c r="T7" s="700" t="s">
        <v>14</v>
      </c>
      <c r="U7" s="701">
        <f t="shared" ref="U7:U15" si="1">H7</f>
        <v>0</v>
      </c>
      <c r="V7" s="700" t="s">
        <v>14</v>
      </c>
      <c r="W7" s="701">
        <f t="shared" ref="W7:W15" si="2">J7</f>
        <v>0</v>
      </c>
      <c r="X7" s="702"/>
      <c r="Y7" s="3760" t="s">
        <v>1680</v>
      </c>
      <c r="Z7" s="3761"/>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60" t="s">
        <v>1683</v>
      </c>
      <c r="Q8" s="3761"/>
      <c r="R8" s="700" t="s">
        <v>14</v>
      </c>
      <c r="S8" s="701">
        <f t="shared" si="0"/>
        <v>100</v>
      </c>
      <c r="T8" s="700" t="s">
        <v>14</v>
      </c>
      <c r="U8" s="701">
        <f t="shared" si="1"/>
        <v>100</v>
      </c>
      <c r="V8" s="700" t="s">
        <v>14</v>
      </c>
      <c r="W8" s="701">
        <f t="shared" si="2"/>
        <v>100</v>
      </c>
      <c r="X8" s="702"/>
      <c r="Y8" s="3760" t="s">
        <v>1683</v>
      </c>
      <c r="Z8" s="3761"/>
      <c r="AA8" s="703">
        <f t="shared" ref="AA8:AA40" si="3">D8/F8</f>
        <v>1</v>
      </c>
      <c r="AB8" s="703">
        <f t="shared" ref="AB8:AB40" si="4">D8/H8</f>
        <v>1</v>
      </c>
      <c r="AC8" s="703">
        <f t="shared" ref="AC8:AC40" si="5">D8/J8</f>
        <v>1</v>
      </c>
    </row>
    <row r="9" spans="1:29" s="108" customFormat="1">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1"/>
      <c r="M9" s="912"/>
      <c r="N9" s="912"/>
      <c r="O9" s="913"/>
      <c r="P9" s="3792"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0"/>
      <c r="F10" s="127">
        <f>SUMIF(59:59,E10,60:60)-SUMIF(59:59,C10,60:60)+100</f>
        <v>100</v>
      </c>
      <c r="G10" s="3431"/>
      <c r="H10" s="127">
        <f>SUMIF(59:59,G10,60:60)-SUMIF(59:59,C10,60:60)+100</f>
        <v>100</v>
      </c>
      <c r="I10" s="3430"/>
      <c r="J10" s="127">
        <f>SUMIF(59:59,I10,60:60)-SUMIF(59:59,C10,60:60)+100</f>
        <v>100</v>
      </c>
      <c r="K10" s="559"/>
      <c r="L10" s="914"/>
      <c r="M10" s="915"/>
      <c r="N10" s="915"/>
      <c r="O10" s="916"/>
      <c r="P10" s="3792"/>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17"/>
      <c r="M11" s="910"/>
      <c r="N11" s="910"/>
      <c r="O11" s="918"/>
      <c r="P11" s="3792"/>
      <c r="Q11" s="1339"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c r="A12" s="381"/>
      <c r="B12" s="1889">
        <v>111</v>
      </c>
      <c r="C12" s="382"/>
      <c r="D12" s="383">
        <v>100</v>
      </c>
      <c r="E12" s="384"/>
      <c r="F12" s="127">
        <f>SUMIF(64:64,E12,65:65)-SUMIF(64:64,C12,65:65)+100</f>
        <v>100</v>
      </c>
      <c r="G12" s="1966"/>
      <c r="H12" s="127">
        <f>SUMIF(64:64,G12,65:65)-SUMIF(64:64,C12,65:65)+100</f>
        <v>100</v>
      </c>
      <c r="I12" s="419"/>
      <c r="J12" s="127">
        <f>SUMIF(64:64,I12,65:65)-SUMIF(64:64,C12,65:65)+100</f>
        <v>100</v>
      </c>
      <c r="K12" s="561"/>
      <c r="L12" s="911"/>
      <c r="M12" s="912"/>
      <c r="N12" s="912"/>
      <c r="O12" s="913"/>
      <c r="P12" s="3792"/>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8"/>
      <c r="B13" s="1889">
        <v>111</v>
      </c>
      <c r="C13" s="384"/>
      <c r="D13" s="385">
        <v>100</v>
      </c>
      <c r="E13" s="384"/>
      <c r="F13" s="127">
        <f>SUMIF(66:66,E13,67:67)-SUMIF(66:66,C13,67:67)+100</f>
        <v>100</v>
      </c>
      <c r="G13" s="1966"/>
      <c r="H13" s="385">
        <f>SUMIF(66:66,G13,67:67)-SUMIF(66:66,C13,67:67)+100</f>
        <v>100</v>
      </c>
      <c r="I13" s="419"/>
      <c r="J13" s="385">
        <f>SUMIF(66:66,I13,67:67)-SUMIF(66:66,C13,67:67)+100</f>
        <v>100</v>
      </c>
      <c r="K13" s="561"/>
      <c r="L13" s="919"/>
      <c r="M13" s="910"/>
      <c r="N13" s="910"/>
      <c r="O13" s="918"/>
      <c r="P13" s="3792"/>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792"/>
      <c r="Q14" s="1339">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94" t="s">
        <v>1691</v>
      </c>
      <c r="Q15" s="1348" t="str">
        <f t="shared" si="6"/>
        <v>产业集聚程度</v>
      </c>
      <c r="R15" s="704" t="s">
        <v>14</v>
      </c>
      <c r="S15" s="705">
        <f t="shared" si="0"/>
        <v>100</v>
      </c>
      <c r="T15" s="704" t="s">
        <v>14</v>
      </c>
      <c r="U15" s="705">
        <f t="shared" si="1"/>
        <v>100</v>
      </c>
      <c r="V15" s="704" t="s">
        <v>14</v>
      </c>
      <c r="W15" s="705">
        <f t="shared" si="2"/>
        <v>100</v>
      </c>
      <c r="X15" s="1351"/>
      <c r="Y15" s="3794"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795"/>
      <c r="Q16" s="1348"/>
      <c r="R16" s="704"/>
      <c r="S16" s="705"/>
      <c r="T16" s="704"/>
      <c r="U16" s="705"/>
      <c r="V16" s="704"/>
      <c r="W16" s="705"/>
      <c r="X16" s="1351"/>
      <c r="Y16" s="3795"/>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95"/>
      <c r="Q17" s="1348" t="str">
        <f>B17</f>
        <v>交通便捷度</v>
      </c>
      <c r="R17" s="704" t="s">
        <v>14</v>
      </c>
      <c r="S17" s="705">
        <f>F17</f>
        <v>100</v>
      </c>
      <c r="T17" s="704" t="s">
        <v>14</v>
      </c>
      <c r="U17" s="705">
        <f>H17</f>
        <v>100</v>
      </c>
      <c r="V17" s="704" t="s">
        <v>14</v>
      </c>
      <c r="W17" s="705">
        <f>J17</f>
        <v>100</v>
      </c>
      <c r="X17" s="1351"/>
      <c r="Y17" s="379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795"/>
      <c r="Q18" s="1348"/>
      <c r="R18" s="704"/>
      <c r="S18" s="705"/>
      <c r="T18" s="704"/>
      <c r="U18" s="705"/>
      <c r="V18" s="704"/>
      <c r="W18" s="705"/>
      <c r="X18" s="1351"/>
      <c r="Y18" s="3795"/>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95"/>
      <c r="Q19" s="1348" t="str">
        <f>B19</f>
        <v>公共配套设施</v>
      </c>
      <c r="R19" s="704" t="s">
        <v>14</v>
      </c>
      <c r="S19" s="705">
        <f>F19</f>
        <v>100</v>
      </c>
      <c r="T19" s="704" t="s">
        <v>14</v>
      </c>
      <c r="U19" s="705">
        <f>H19</f>
        <v>100</v>
      </c>
      <c r="V19" s="704" t="s">
        <v>14</v>
      </c>
      <c r="W19" s="705">
        <f>J19</f>
        <v>100</v>
      </c>
      <c r="X19" s="1351"/>
      <c r="Y19" s="379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795"/>
      <c r="Q20" s="1348"/>
      <c r="R20" s="704"/>
      <c r="S20" s="705"/>
      <c r="T20" s="704"/>
      <c r="U20" s="705"/>
      <c r="V20" s="704"/>
      <c r="W20" s="705"/>
      <c r="X20" s="1351"/>
      <c r="Y20" s="3795"/>
      <c r="Z20" s="1352"/>
      <c r="AA20" s="1349">
        <v>1</v>
      </c>
      <c r="AB20" s="1349">
        <v>1</v>
      </c>
      <c r="AC20" s="1349">
        <v>1</v>
      </c>
    </row>
    <row r="21" spans="1:29" ht="28.5">
      <c r="A21" s="378"/>
      <c r="B21" s="1127"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95"/>
      <c r="Q21" s="1348" t="str">
        <f>B21</f>
        <v>基础设施水平</v>
      </c>
      <c r="R21" s="704" t="s">
        <v>14</v>
      </c>
      <c r="S21" s="705">
        <f>F21</f>
        <v>100</v>
      </c>
      <c r="T21" s="704" t="s">
        <v>14</v>
      </c>
      <c r="U21" s="705">
        <f>H21</f>
        <v>100</v>
      </c>
      <c r="V21" s="704" t="s">
        <v>14</v>
      </c>
      <c r="W21" s="705">
        <f>J21</f>
        <v>100</v>
      </c>
      <c r="X21" s="1351"/>
      <c r="Y21" s="379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795"/>
      <c r="Q22" s="1348"/>
      <c r="R22" s="704"/>
      <c r="S22" s="705"/>
      <c r="T22" s="704"/>
      <c r="U22" s="705"/>
      <c r="V22" s="704"/>
      <c r="W22" s="705"/>
      <c r="X22" s="1351"/>
      <c r="Y22" s="3795"/>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95"/>
      <c r="Q23" s="1348" t="str">
        <f>B23</f>
        <v>环境质量</v>
      </c>
      <c r="R23" s="704" t="s">
        <v>14</v>
      </c>
      <c r="S23" s="705">
        <f>F23</f>
        <v>100</v>
      </c>
      <c r="T23" s="704" t="s">
        <v>14</v>
      </c>
      <c r="U23" s="705">
        <f>H23</f>
        <v>100</v>
      </c>
      <c r="V23" s="704" t="s">
        <v>14</v>
      </c>
      <c r="W23" s="705">
        <f>J23</f>
        <v>100</v>
      </c>
      <c r="X23" s="1351"/>
      <c r="Y23" s="3795"/>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795"/>
      <c r="Q24" s="1348"/>
      <c r="R24" s="704"/>
      <c r="S24" s="705"/>
      <c r="T24" s="704"/>
      <c r="U24" s="705"/>
      <c r="V24" s="704"/>
      <c r="W24" s="705"/>
      <c r="X24" s="1351"/>
      <c r="Y24" s="3795"/>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95"/>
      <c r="Q25" s="1348">
        <f>B25</f>
        <v>111</v>
      </c>
      <c r="R25" s="704" t="s">
        <v>14</v>
      </c>
      <c r="S25" s="705">
        <f>F25</f>
        <v>100</v>
      </c>
      <c r="T25" s="704" t="s">
        <v>14</v>
      </c>
      <c r="U25" s="705">
        <f>H25</f>
        <v>100</v>
      </c>
      <c r="V25" s="704" t="s">
        <v>14</v>
      </c>
      <c r="W25" s="705">
        <f>J25</f>
        <v>100</v>
      </c>
      <c r="X25" s="1351"/>
      <c r="Y25" s="3795"/>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95"/>
      <c r="Q26" s="1348">
        <f t="shared" ref="Q26:Q40" si="11">B26</f>
        <v>111</v>
      </c>
      <c r="R26" s="704" t="s">
        <v>14</v>
      </c>
      <c r="S26" s="705">
        <f>F26</f>
        <v>100</v>
      </c>
      <c r="T26" s="704" t="s">
        <v>14</v>
      </c>
      <c r="U26" s="705">
        <f>H26</f>
        <v>100</v>
      </c>
      <c r="V26" s="704" t="s">
        <v>14</v>
      </c>
      <c r="W26" s="705">
        <f>J26</f>
        <v>100</v>
      </c>
      <c r="X26" s="1351"/>
      <c r="Y26" s="3795"/>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95"/>
      <c r="Q27" s="1339">
        <f t="shared" si="11"/>
        <v>111</v>
      </c>
      <c r="R27" s="700" t="s">
        <v>14</v>
      </c>
      <c r="S27" s="701">
        <f>F27</f>
        <v>100</v>
      </c>
      <c r="T27" s="700" t="s">
        <v>14</v>
      </c>
      <c r="U27" s="701">
        <f>H27</f>
        <v>100</v>
      </c>
      <c r="V27" s="700" t="s">
        <v>14</v>
      </c>
      <c r="W27" s="701">
        <f>J27</f>
        <v>100</v>
      </c>
      <c r="X27" s="702"/>
      <c r="Y27" s="3795"/>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95"/>
      <c r="Q28" s="1348">
        <f t="shared" si="11"/>
        <v>111</v>
      </c>
      <c r="R28" s="704" t="s">
        <v>14</v>
      </c>
      <c r="S28" s="705">
        <f t="shared" ref="S28:S40" si="12">F28</f>
        <v>100</v>
      </c>
      <c r="T28" s="704" t="s">
        <v>14</v>
      </c>
      <c r="U28" s="705">
        <f t="shared" ref="U28:U40" si="13">H28</f>
        <v>100</v>
      </c>
      <c r="V28" s="704" t="s">
        <v>14</v>
      </c>
      <c r="W28" s="705">
        <f t="shared" ref="W28:W40" si="14">J28</f>
        <v>100</v>
      </c>
      <c r="X28" s="1351"/>
      <c r="Y28" s="3795"/>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18" t="s">
        <v>1696</v>
      </c>
      <c r="Q29" s="1348" t="str">
        <f t="shared" si="11"/>
        <v>建筑类型</v>
      </c>
      <c r="R29" s="704" t="s">
        <v>14</v>
      </c>
      <c r="S29" s="705">
        <f t="shared" si="12"/>
        <v>100</v>
      </c>
      <c r="T29" s="704" t="s">
        <v>14</v>
      </c>
      <c r="U29" s="705">
        <f t="shared" si="13"/>
        <v>100</v>
      </c>
      <c r="V29" s="704" t="s">
        <v>14</v>
      </c>
      <c r="W29" s="705">
        <f t="shared" si="14"/>
        <v>100</v>
      </c>
      <c r="X29" s="1351"/>
      <c r="Y29" s="3799" t="s">
        <v>1696</v>
      </c>
      <c r="Z29" s="1352" t="str">
        <f t="shared" si="15"/>
        <v>建筑类型</v>
      </c>
      <c r="AA29" s="1349">
        <f t="shared" si="3"/>
        <v>1</v>
      </c>
      <c r="AB29" s="1349">
        <f t="shared" si="4"/>
        <v>1</v>
      </c>
      <c r="AC29" s="1349">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7"/>
      <c r="M30" s="920"/>
      <c r="N30" s="920"/>
      <c r="O30" s="921"/>
      <c r="P30" s="3799"/>
      <c r="Q30" s="706" t="str">
        <f t="shared" si="11"/>
        <v>项目建筑规模</v>
      </c>
      <c r="R30" s="707" t="s">
        <v>14</v>
      </c>
      <c r="S30" s="708" t="e">
        <f t="shared" si="12"/>
        <v>#N/A</v>
      </c>
      <c r="T30" s="707" t="s">
        <v>14</v>
      </c>
      <c r="U30" s="708" t="e">
        <f t="shared" si="13"/>
        <v>#N/A</v>
      </c>
      <c r="V30" s="707" t="s">
        <v>14</v>
      </c>
      <c r="W30" s="708" t="e">
        <f t="shared" si="14"/>
        <v>#N/A</v>
      </c>
      <c r="X30" s="709"/>
      <c r="Y30" s="3799"/>
      <c r="Z30" s="710"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799"/>
      <c r="Q31" s="1348" t="str">
        <f t="shared" si="11"/>
        <v>建筑结构</v>
      </c>
      <c r="R31" s="704" t="s">
        <v>14</v>
      </c>
      <c r="S31" s="705">
        <f t="shared" si="12"/>
        <v>100</v>
      </c>
      <c r="T31" s="704" t="s">
        <v>14</v>
      </c>
      <c r="U31" s="705">
        <f t="shared" si="13"/>
        <v>100</v>
      </c>
      <c r="V31" s="704" t="s">
        <v>14</v>
      </c>
      <c r="W31" s="705">
        <f t="shared" si="14"/>
        <v>100</v>
      </c>
      <c r="X31" s="1351"/>
      <c r="Y31" s="3799"/>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799"/>
      <c r="Q32" s="1348" t="str">
        <f t="shared" si="11"/>
        <v>公共部分装修</v>
      </c>
      <c r="R32" s="704" t="s">
        <v>14</v>
      </c>
      <c r="S32" s="705">
        <f t="shared" si="12"/>
        <v>100</v>
      </c>
      <c r="T32" s="704" t="s">
        <v>14</v>
      </c>
      <c r="U32" s="705">
        <f t="shared" si="13"/>
        <v>100</v>
      </c>
      <c r="V32" s="704" t="s">
        <v>14</v>
      </c>
      <c r="W32" s="705">
        <f t="shared" si="14"/>
        <v>100</v>
      </c>
      <c r="X32" s="1351"/>
      <c r="Y32" s="3799"/>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799"/>
      <c r="Q33" s="1348" t="str">
        <f t="shared" si="11"/>
        <v>成新度</v>
      </c>
      <c r="R33" s="704" t="s">
        <v>14</v>
      </c>
      <c r="S33" s="705" t="e">
        <f t="shared" si="12"/>
        <v>#N/A</v>
      </c>
      <c r="T33" s="704" t="s">
        <v>14</v>
      </c>
      <c r="U33" s="705" t="e">
        <f t="shared" si="13"/>
        <v>#N/A</v>
      </c>
      <c r="V33" s="704" t="s">
        <v>14</v>
      </c>
      <c r="W33" s="705" t="e">
        <f t="shared" si="14"/>
        <v>#N/A</v>
      </c>
      <c r="X33" s="1351"/>
      <c r="Y33" s="3799"/>
      <c r="Z33" s="1352" t="str">
        <f t="shared" si="15"/>
        <v>成新度</v>
      </c>
      <c r="AA33" s="1349" t="e">
        <f t="shared" si="3"/>
        <v>#N/A</v>
      </c>
      <c r="AB33" s="1349" t="e">
        <f t="shared" si="4"/>
        <v>#N/A</v>
      </c>
      <c r="AC33" s="1349"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799"/>
      <c r="Q34" s="1339" t="str">
        <f t="shared" si="11"/>
        <v>物业管理</v>
      </c>
      <c r="R34" s="700" t="s">
        <v>14</v>
      </c>
      <c r="S34" s="701">
        <f t="shared" si="12"/>
        <v>100</v>
      </c>
      <c r="T34" s="700" t="s">
        <v>14</v>
      </c>
      <c r="U34" s="701">
        <f t="shared" si="13"/>
        <v>100</v>
      </c>
      <c r="V34" s="700" t="s">
        <v>14</v>
      </c>
      <c r="W34" s="701">
        <f t="shared" si="14"/>
        <v>100</v>
      </c>
      <c r="X34" s="702"/>
      <c r="Y34" s="379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799" t="s">
        <v>1696</v>
      </c>
      <c r="Q35" s="1348" t="str">
        <f t="shared" si="11"/>
        <v>市政基础设施</v>
      </c>
      <c r="R35" s="704" t="s">
        <v>14</v>
      </c>
      <c r="S35" s="705">
        <f t="shared" si="12"/>
        <v>100</v>
      </c>
      <c r="T35" s="704" t="s">
        <v>14</v>
      </c>
      <c r="U35" s="705">
        <f t="shared" si="13"/>
        <v>100</v>
      </c>
      <c r="V35" s="704" t="s">
        <v>14</v>
      </c>
      <c r="W35" s="705">
        <f t="shared" si="14"/>
        <v>100</v>
      </c>
      <c r="X35" s="1351"/>
      <c r="Y35" s="3799"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799"/>
      <c r="Q36" s="1348" t="str">
        <f t="shared" si="11"/>
        <v>内部装修</v>
      </c>
      <c r="R36" s="704" t="s">
        <v>14</v>
      </c>
      <c r="S36" s="705">
        <f t="shared" si="12"/>
        <v>100</v>
      </c>
      <c r="T36" s="704" t="s">
        <v>14</v>
      </c>
      <c r="U36" s="705">
        <f t="shared" si="13"/>
        <v>100</v>
      </c>
      <c r="V36" s="704" t="s">
        <v>14</v>
      </c>
      <c r="W36" s="705">
        <f t="shared" si="14"/>
        <v>100</v>
      </c>
      <c r="X36" s="1351"/>
      <c r="Y36" s="3799"/>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799"/>
      <c r="Q37" s="1348" t="str">
        <f t="shared" si="11"/>
        <v>内部装修状况</v>
      </c>
      <c r="R37" s="704" t="s">
        <v>14</v>
      </c>
      <c r="S37" s="705">
        <f t="shared" si="12"/>
        <v>100</v>
      </c>
      <c r="T37" s="704" t="s">
        <v>14</v>
      </c>
      <c r="U37" s="705">
        <f t="shared" si="13"/>
        <v>100</v>
      </c>
      <c r="V37" s="704" t="s">
        <v>14</v>
      </c>
      <c r="W37" s="705">
        <f t="shared" si="14"/>
        <v>100</v>
      </c>
      <c r="X37" s="1351"/>
      <c r="Y37" s="3799"/>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99"/>
      <c r="Q38" s="706">
        <f t="shared" si="11"/>
        <v>111</v>
      </c>
      <c r="R38" s="707" t="s">
        <v>14</v>
      </c>
      <c r="S38" s="708">
        <f t="shared" si="12"/>
        <v>100</v>
      </c>
      <c r="T38" s="707" t="s">
        <v>14</v>
      </c>
      <c r="U38" s="708">
        <f t="shared" si="13"/>
        <v>100</v>
      </c>
      <c r="V38" s="707" t="s">
        <v>14</v>
      </c>
      <c r="W38" s="708">
        <f t="shared" si="14"/>
        <v>100</v>
      </c>
      <c r="X38" s="709"/>
      <c r="Y38" s="3799"/>
      <c r="Z38" s="710">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99"/>
      <c r="Q39" s="1348">
        <f t="shared" si="11"/>
        <v>111</v>
      </c>
      <c r="R39" s="704" t="s">
        <v>14</v>
      </c>
      <c r="S39" s="705">
        <f t="shared" si="12"/>
        <v>100</v>
      </c>
      <c r="T39" s="704" t="s">
        <v>14</v>
      </c>
      <c r="U39" s="705">
        <f t="shared" si="13"/>
        <v>100</v>
      </c>
      <c r="V39" s="704" t="s">
        <v>14</v>
      </c>
      <c r="W39" s="705">
        <f t="shared" si="14"/>
        <v>100</v>
      </c>
      <c r="X39" s="1351"/>
      <c r="Y39" s="3799"/>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00"/>
      <c r="Q40" s="1348">
        <f t="shared" si="11"/>
        <v>111</v>
      </c>
      <c r="R40" s="704" t="s">
        <v>14</v>
      </c>
      <c r="S40" s="705">
        <f t="shared" si="12"/>
        <v>100</v>
      </c>
      <c r="T40" s="704" t="s">
        <v>14</v>
      </c>
      <c r="U40" s="705">
        <f t="shared" si="13"/>
        <v>100</v>
      </c>
      <c r="V40" s="704" t="s">
        <v>14</v>
      </c>
      <c r="W40" s="705">
        <f t="shared" si="14"/>
        <v>100</v>
      </c>
      <c r="X40" s="1351"/>
      <c r="Y40" s="3800"/>
      <c r="Z40" s="1352">
        <f t="shared" si="15"/>
        <v>111</v>
      </c>
      <c r="AA40" s="1349">
        <f t="shared" si="3"/>
        <v>1</v>
      </c>
      <c r="AB40" s="1349">
        <f t="shared" si="4"/>
        <v>1</v>
      </c>
      <c r="AC40" s="1349">
        <f t="shared" si="5"/>
        <v>1</v>
      </c>
    </row>
    <row r="41" spans="1:29" ht="15">
      <c r="A41" s="429" t="s">
        <v>1708</v>
      </c>
      <c r="B41" s="430"/>
      <c r="C41" s="1150" t="s">
        <v>0</v>
      </c>
      <c r="D41" s="1151"/>
      <c r="E41" s="1152"/>
      <c r="F41" s="1153"/>
      <c r="G41" s="1154"/>
      <c r="H41" s="1155"/>
      <c r="I41" s="1152"/>
      <c r="J41" s="1155"/>
      <c r="K41" s="713"/>
      <c r="L41" s="922"/>
      <c r="M41" s="923"/>
      <c r="N41" s="910"/>
      <c r="O41" s="923"/>
      <c r="P41" s="3792" t="str">
        <f>A41</f>
        <v>成交单价（元/平方米）</v>
      </c>
      <c r="Q41" s="3792"/>
      <c r="R41" s="3793">
        <f>E41</f>
        <v>0</v>
      </c>
      <c r="S41" s="3793"/>
      <c r="T41" s="3793">
        <f>G41</f>
        <v>0</v>
      </c>
      <c r="U41" s="3793"/>
      <c r="V41" s="3793">
        <f>I41</f>
        <v>0</v>
      </c>
      <c r="W41" s="3793"/>
      <c r="X41" s="689"/>
      <c r="Y41" s="711"/>
      <c r="Z41" s="689"/>
      <c r="AA41" s="689"/>
      <c r="AB41" s="689"/>
      <c r="AC41" s="689"/>
    </row>
    <row r="42" spans="1:29" ht="15.75" thickBot="1">
      <c r="A42" s="436" t="s">
        <v>1793</v>
      </c>
      <c r="B42" s="437"/>
      <c r="C42" s="1156" t="e">
        <f>R43</f>
        <v>#DIV/0!</v>
      </c>
      <c r="D42" s="2313" t="s">
        <v>2138</v>
      </c>
      <c r="E42" s="1157" t="e">
        <f>R42</f>
        <v>#DIV/0!</v>
      </c>
      <c r="F42" s="2314"/>
      <c r="G42" s="1156" t="e">
        <f>T42</f>
        <v>#DIV/0!</v>
      </c>
      <c r="H42" s="2314"/>
      <c r="I42" s="1157" t="e">
        <f>V42</f>
        <v>#DIV/0!</v>
      </c>
      <c r="J42" s="2314"/>
      <c r="K42" s="2316">
        <f>F42+H42+J42</f>
        <v>0</v>
      </c>
      <c r="L42" s="922"/>
      <c r="M42" s="923"/>
      <c r="N42" s="910"/>
      <c r="O42" s="923"/>
      <c r="P42" s="3792" t="str">
        <f>A42</f>
        <v>比较价值（元/平方米）</v>
      </c>
      <c r="Q42" s="3792"/>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689"/>
      <c r="Y42" s="689"/>
      <c r="Z42" s="689"/>
      <c r="AA42" s="689"/>
      <c r="AB42" s="689"/>
      <c r="AC42" s="689"/>
    </row>
    <row r="43" spans="1:29" ht="15.75" thickBot="1">
      <c r="A43" s="440" t="s">
        <v>1794</v>
      </c>
      <c r="B43" s="441"/>
      <c r="C43" s="1159" t="e">
        <f>R43</f>
        <v>#DIV/0!</v>
      </c>
      <c r="D43" s="1159"/>
      <c r="E43" s="1159"/>
      <c r="F43" s="1159"/>
      <c r="G43" s="1159"/>
      <c r="H43" s="1159"/>
      <c r="I43" s="1159"/>
      <c r="J43" s="1159"/>
      <c r="K43" s="714"/>
      <c r="L43" s="922"/>
      <c r="M43" s="923"/>
      <c r="N43" s="923"/>
      <c r="O43" s="923"/>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1798</v>
      </c>
      <c r="B51" s="689"/>
      <c r="C51" s="694"/>
      <c r="D51" s="694"/>
      <c r="E51" s="694"/>
      <c r="F51" s="695"/>
      <c r="G51" s="695"/>
      <c r="H51" s="694"/>
      <c r="I51" s="694"/>
      <c r="J51" s="694"/>
      <c r="K51" s="937"/>
      <c r="L51" s="938"/>
      <c r="M51" s="936"/>
      <c r="N51" s="936"/>
      <c r="O51" s="936"/>
      <c r="P51" s="451"/>
      <c r="Q51" s="452"/>
    </row>
    <row r="52" spans="1:17" s="456" customFormat="1" ht="15">
      <c r="A52" s="453" t="s">
        <v>1679</v>
      </c>
      <c r="B52" s="454"/>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3340</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4" t="s">
        <v>1769</v>
      </c>
      <c r="B4" s="355"/>
      <c r="C4" s="3775" t="s">
        <v>1770</v>
      </c>
      <c r="D4" s="3776"/>
      <c r="E4" s="3777" t="s">
        <v>1771</v>
      </c>
      <c r="F4" s="3778"/>
      <c r="G4" s="3775" t="s">
        <v>1772</v>
      </c>
      <c r="H4" s="3776"/>
      <c r="I4" s="3775" t="s">
        <v>1773</v>
      </c>
      <c r="J4" s="3776"/>
      <c r="K4" s="558" t="s">
        <v>1774</v>
      </c>
      <c r="L4" s="2711"/>
      <c r="M4" s="2712"/>
      <c r="N4" s="2712"/>
      <c r="O4" s="2712"/>
      <c r="P4" s="3779" t="s">
        <v>1775</v>
      </c>
      <c r="Q4" s="3780"/>
      <c r="R4" s="3762" t="s">
        <v>1771</v>
      </c>
      <c r="S4" s="3763"/>
      <c r="T4" s="3762" t="s">
        <v>1772</v>
      </c>
      <c r="U4" s="3763"/>
      <c r="V4" s="3787" t="s">
        <v>1773</v>
      </c>
      <c r="W4" s="3787"/>
      <c r="X4" s="1351"/>
      <c r="Y4" s="3762" t="s">
        <v>1775</v>
      </c>
      <c r="Z4" s="3763"/>
      <c r="AA4" s="3757" t="s">
        <v>1771</v>
      </c>
      <c r="AB4" s="3758" t="s">
        <v>1772</v>
      </c>
      <c r="AC4" s="3757" t="s">
        <v>1773</v>
      </c>
    </row>
    <row r="5" spans="1:29" ht="15">
      <c r="A5" s="357"/>
      <c r="B5" s="358"/>
      <c r="C5" s="3768" t="s">
        <v>1673</v>
      </c>
      <c r="D5" s="3769"/>
      <c r="E5" s="3766" t="s">
        <v>1674</v>
      </c>
      <c r="F5" s="3767"/>
      <c r="G5" s="3768" t="s">
        <v>1675</v>
      </c>
      <c r="H5" s="3769"/>
      <c r="I5" s="3768" t="s">
        <v>1676</v>
      </c>
      <c r="J5" s="3769"/>
      <c r="K5" s="558"/>
      <c r="L5" s="2711"/>
      <c r="M5" s="2712"/>
      <c r="N5" s="2712"/>
      <c r="O5" s="2712"/>
      <c r="P5" s="3781"/>
      <c r="Q5" s="3782"/>
      <c r="R5" s="3764"/>
      <c r="S5" s="3765"/>
      <c r="T5" s="3764"/>
      <c r="U5" s="3765"/>
      <c r="V5" s="3787"/>
      <c r="W5" s="3787"/>
      <c r="X5" s="1351"/>
      <c r="Y5" s="3764"/>
      <c r="Z5" s="3765"/>
      <c r="AA5" s="3758"/>
      <c r="AB5" s="3758"/>
      <c r="AC5" s="3758"/>
    </row>
    <row r="6" spans="1:29" ht="15.75" thickBot="1">
      <c r="A6" s="359"/>
      <c r="B6" s="360"/>
      <c r="C6" s="3770" t="s">
        <v>1677</v>
      </c>
      <c r="D6" s="3771"/>
      <c r="E6" s="3772" t="s">
        <v>1677</v>
      </c>
      <c r="F6" s="3773"/>
      <c r="G6" s="3770" t="s">
        <v>1677</v>
      </c>
      <c r="H6" s="3771"/>
      <c r="I6" s="3770" t="s">
        <v>1677</v>
      </c>
      <c r="J6" s="3771"/>
      <c r="K6" s="558" t="s">
        <v>1678</v>
      </c>
      <c r="L6" s="2711"/>
      <c r="M6" s="2712"/>
      <c r="N6" s="2712"/>
      <c r="O6" s="2712"/>
      <c r="P6" s="3783"/>
      <c r="Q6" s="3784"/>
      <c r="R6" s="3764"/>
      <c r="S6" s="3765"/>
      <c r="T6" s="3785"/>
      <c r="U6" s="3786"/>
      <c r="V6" s="3787"/>
      <c r="W6" s="3787"/>
      <c r="X6" s="1351"/>
      <c r="Y6" s="3785"/>
      <c r="Z6" s="3786"/>
      <c r="AA6" s="3759"/>
      <c r="AB6" s="3759"/>
      <c r="AC6" s="3759"/>
    </row>
    <row r="7" spans="1:29" s="108" customFormat="1" ht="15.75" thickBot="1">
      <c r="A7" s="361" t="s">
        <v>1679</v>
      </c>
      <c r="B7" s="362"/>
      <c r="C7" s="363">
        <f>'数据-取费表'!B2</f>
        <v>45005</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60" t="s">
        <v>1680</v>
      </c>
      <c r="Q7" s="3788"/>
      <c r="R7" s="700" t="s">
        <v>14</v>
      </c>
      <c r="S7" s="701">
        <f t="shared" ref="S7:S14" si="0">F7</f>
        <v>0</v>
      </c>
      <c r="T7" s="700" t="s">
        <v>14</v>
      </c>
      <c r="U7" s="701">
        <f t="shared" ref="U7:U14" si="1">H7</f>
        <v>0</v>
      </c>
      <c r="V7" s="700" t="s">
        <v>14</v>
      </c>
      <c r="W7" s="701">
        <f t="shared" ref="W7:W14" si="2">J7</f>
        <v>0</v>
      </c>
      <c r="X7" s="702"/>
      <c r="Y7" s="3760" t="s">
        <v>1680</v>
      </c>
      <c r="Z7" s="3761"/>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60" t="s">
        <v>1683</v>
      </c>
      <c r="Q8" s="3761"/>
      <c r="R8" s="700" t="s">
        <v>14</v>
      </c>
      <c r="S8" s="701">
        <f t="shared" si="0"/>
        <v>100</v>
      </c>
      <c r="T8" s="700" t="s">
        <v>14</v>
      </c>
      <c r="U8" s="701">
        <f t="shared" si="1"/>
        <v>100</v>
      </c>
      <c r="V8" s="700" t="s">
        <v>14</v>
      </c>
      <c r="W8" s="701">
        <f t="shared" si="2"/>
        <v>100</v>
      </c>
      <c r="X8" s="702"/>
      <c r="Y8" s="3760" t="s">
        <v>1683</v>
      </c>
      <c r="Z8" s="3761"/>
      <c r="AA8" s="703">
        <f t="shared" ref="AA8:AA36" si="3">D8/F8</f>
        <v>1</v>
      </c>
      <c r="AB8" s="703">
        <f t="shared" ref="AB8:AB36" si="4">D8/H8</f>
        <v>1</v>
      </c>
      <c r="AC8" s="703">
        <f t="shared" ref="AC8:AC36" si="5">D8/J8</f>
        <v>1</v>
      </c>
    </row>
    <row r="9" spans="1:29" s="108" customFormat="1">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3"/>
      <c r="M9" s="2714"/>
      <c r="N9" s="2714"/>
      <c r="O9" s="2714"/>
      <c r="P9" s="3792" t="s">
        <v>1686</v>
      </c>
      <c r="Q9" s="1339"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7" customFormat="1" ht="27">
      <c r="A10" s="588"/>
      <c r="B10" s="589" t="s">
        <v>1688</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792"/>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7"/>
      <c r="M11" s="2712"/>
      <c r="N11" s="2712"/>
      <c r="O11" s="2712"/>
      <c r="P11" s="3792"/>
      <c r="Q11" s="1339">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3"/>
      <c r="M12" s="2714"/>
      <c r="N12" s="2714"/>
      <c r="O12" s="2714"/>
      <c r="P12" s="3792"/>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18"/>
      <c r="M13" s="2712"/>
      <c r="N13" s="2712"/>
      <c r="O13" s="2712"/>
      <c r="P13" s="3792"/>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94" t="s">
        <v>1691</v>
      </c>
      <c r="Q14" s="1348" t="str">
        <f t="shared" si="6"/>
        <v>交通便捷度</v>
      </c>
      <c r="R14" s="704" t="s">
        <v>14</v>
      </c>
      <c r="S14" s="705">
        <f t="shared" si="0"/>
        <v>100</v>
      </c>
      <c r="T14" s="704" t="s">
        <v>14</v>
      </c>
      <c r="U14" s="705">
        <f t="shared" si="1"/>
        <v>100</v>
      </c>
      <c r="V14" s="704" t="s">
        <v>14</v>
      </c>
      <c r="W14" s="705">
        <f t="shared" si="2"/>
        <v>100</v>
      </c>
      <c r="X14" s="1351"/>
      <c r="Y14" s="3794"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95"/>
      <c r="Q15" s="1348"/>
      <c r="R15" s="704"/>
      <c r="S15" s="705"/>
      <c r="T15" s="704"/>
      <c r="U15" s="705"/>
      <c r="V15" s="704"/>
      <c r="W15" s="705"/>
      <c r="X15" s="1351"/>
      <c r="Y15" s="3795"/>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95"/>
      <c r="Q16" s="1348" t="str">
        <f>B16</f>
        <v>公共配套设施</v>
      </c>
      <c r="R16" s="704" t="s">
        <v>14</v>
      </c>
      <c r="S16" s="705">
        <f>F16</f>
        <v>100</v>
      </c>
      <c r="T16" s="704" t="s">
        <v>14</v>
      </c>
      <c r="U16" s="705">
        <f>H16</f>
        <v>100</v>
      </c>
      <c r="V16" s="704" t="s">
        <v>14</v>
      </c>
      <c r="W16" s="705">
        <f>J16</f>
        <v>100</v>
      </c>
      <c r="X16" s="1351"/>
      <c r="Y16" s="3795"/>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95"/>
      <c r="Q17" s="1348"/>
      <c r="R17" s="704"/>
      <c r="S17" s="705"/>
      <c r="T17" s="704"/>
      <c r="U17" s="705"/>
      <c r="V17" s="704"/>
      <c r="W17" s="705"/>
      <c r="X17" s="1351"/>
      <c r="Y17" s="3795"/>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95"/>
      <c r="Q18" s="1348" t="str">
        <f>B18</f>
        <v>基础设施水平</v>
      </c>
      <c r="R18" s="704" t="s">
        <v>14</v>
      </c>
      <c r="S18" s="705">
        <f>F18</f>
        <v>100</v>
      </c>
      <c r="T18" s="704" t="s">
        <v>14</v>
      </c>
      <c r="U18" s="705">
        <f>H18</f>
        <v>100</v>
      </c>
      <c r="V18" s="704" t="s">
        <v>14</v>
      </c>
      <c r="W18" s="705">
        <f>J18</f>
        <v>100</v>
      </c>
      <c r="X18" s="1351"/>
      <c r="Y18" s="3795"/>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795"/>
      <c r="Q19" s="1348"/>
      <c r="R19" s="704"/>
      <c r="S19" s="705"/>
      <c r="T19" s="704"/>
      <c r="U19" s="705"/>
      <c r="V19" s="704"/>
      <c r="W19" s="705"/>
      <c r="X19" s="1351"/>
      <c r="Y19" s="3795"/>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95"/>
      <c r="Q20" s="1348" t="str">
        <f>B20</f>
        <v>自然及人文环境</v>
      </c>
      <c r="R20" s="704" t="s">
        <v>14</v>
      </c>
      <c r="S20" s="705">
        <f>F20</f>
        <v>100</v>
      </c>
      <c r="T20" s="704" t="s">
        <v>14</v>
      </c>
      <c r="U20" s="705">
        <f>H20</f>
        <v>100</v>
      </c>
      <c r="V20" s="704" t="s">
        <v>14</v>
      </c>
      <c r="W20" s="705">
        <f>J20</f>
        <v>100</v>
      </c>
      <c r="X20" s="1351"/>
      <c r="Y20" s="3795"/>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95"/>
      <c r="Q21" s="1348"/>
      <c r="R21" s="704"/>
      <c r="S21" s="705"/>
      <c r="T21" s="704"/>
      <c r="U21" s="705"/>
      <c r="V21" s="704"/>
      <c r="W21" s="705"/>
      <c r="X21" s="1351"/>
      <c r="Y21" s="3795"/>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95"/>
      <c r="Q22" s="1348" t="str">
        <f>B22</f>
        <v>楼层</v>
      </c>
      <c r="R22" s="704" t="s">
        <v>14</v>
      </c>
      <c r="S22" s="705">
        <f>F22</f>
        <v>100</v>
      </c>
      <c r="T22" s="704" t="s">
        <v>14</v>
      </c>
      <c r="U22" s="705">
        <f>H22</f>
        <v>100</v>
      </c>
      <c r="V22" s="704" t="s">
        <v>14</v>
      </c>
      <c r="W22" s="705">
        <f>J22</f>
        <v>100</v>
      </c>
      <c r="X22" s="1351"/>
      <c r="Y22" s="3795"/>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95"/>
      <c r="Q23" s="1348">
        <f>B23</f>
        <v>111</v>
      </c>
      <c r="R23" s="704" t="s">
        <v>14</v>
      </c>
      <c r="S23" s="705">
        <f>F23</f>
        <v>100</v>
      </c>
      <c r="T23" s="704" t="s">
        <v>14</v>
      </c>
      <c r="U23" s="705">
        <f>H23</f>
        <v>100</v>
      </c>
      <c r="V23" s="704" t="s">
        <v>14</v>
      </c>
      <c r="W23" s="705">
        <f>J23</f>
        <v>100</v>
      </c>
      <c r="X23" s="1351"/>
      <c r="Y23" s="3795"/>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95"/>
      <c r="Q24" s="1348">
        <f t="shared" ref="Q24:Q36" si="11">B24</f>
        <v>111</v>
      </c>
      <c r="R24" s="704" t="s">
        <v>14</v>
      </c>
      <c r="S24" s="705">
        <f>F24</f>
        <v>100</v>
      </c>
      <c r="T24" s="704" t="s">
        <v>14</v>
      </c>
      <c r="U24" s="705">
        <f>H24</f>
        <v>100</v>
      </c>
      <c r="V24" s="704" t="s">
        <v>14</v>
      </c>
      <c r="W24" s="705">
        <f>J24</f>
        <v>100</v>
      </c>
      <c r="X24" s="1351"/>
      <c r="Y24" s="3795"/>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95"/>
      <c r="Q25" s="1339">
        <f t="shared" si="11"/>
        <v>111</v>
      </c>
      <c r="R25" s="700" t="s">
        <v>14</v>
      </c>
      <c r="S25" s="701">
        <f>F25</f>
        <v>100</v>
      </c>
      <c r="T25" s="700" t="s">
        <v>14</v>
      </c>
      <c r="U25" s="701">
        <f>H25</f>
        <v>100</v>
      </c>
      <c r="V25" s="700" t="s">
        <v>14</v>
      </c>
      <c r="W25" s="701">
        <f>J25</f>
        <v>100</v>
      </c>
      <c r="X25" s="702"/>
      <c r="Y25" s="3795"/>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18" t="s">
        <v>1696</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99"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99"/>
      <c r="Q27" s="706" t="str">
        <f t="shared" si="11"/>
        <v>项目停车位配比</v>
      </c>
      <c r="R27" s="707" t="s">
        <v>14</v>
      </c>
      <c r="S27" s="708">
        <f t="shared" si="12"/>
        <v>100</v>
      </c>
      <c r="T27" s="707" t="s">
        <v>14</v>
      </c>
      <c r="U27" s="708">
        <f t="shared" si="13"/>
        <v>100</v>
      </c>
      <c r="V27" s="707" t="s">
        <v>14</v>
      </c>
      <c r="W27" s="708">
        <f t="shared" si="14"/>
        <v>100</v>
      </c>
      <c r="X27" s="709"/>
      <c r="Y27" s="3799"/>
      <c r="Z27" s="710"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99"/>
      <c r="Q28" s="1348" t="str">
        <f t="shared" si="11"/>
        <v>公共部分装修</v>
      </c>
      <c r="R28" s="704" t="s">
        <v>14</v>
      </c>
      <c r="S28" s="705">
        <f t="shared" si="12"/>
        <v>100</v>
      </c>
      <c r="T28" s="704" t="s">
        <v>14</v>
      </c>
      <c r="U28" s="705">
        <f t="shared" si="13"/>
        <v>100</v>
      </c>
      <c r="V28" s="704" t="s">
        <v>14</v>
      </c>
      <c r="W28" s="705">
        <f t="shared" si="14"/>
        <v>100</v>
      </c>
      <c r="X28" s="1351"/>
      <c r="Y28" s="3799"/>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99"/>
      <c r="Q29" s="1348" t="str">
        <f t="shared" si="11"/>
        <v>成新率</v>
      </c>
      <c r="R29" s="704" t="s">
        <v>14</v>
      </c>
      <c r="S29" s="705" t="e">
        <f t="shared" si="12"/>
        <v>#N/A</v>
      </c>
      <c r="T29" s="704" t="s">
        <v>14</v>
      </c>
      <c r="U29" s="705" t="e">
        <f t="shared" si="13"/>
        <v>#N/A</v>
      </c>
      <c r="V29" s="704" t="s">
        <v>14</v>
      </c>
      <c r="W29" s="705" t="e">
        <f t="shared" si="14"/>
        <v>#N/A</v>
      </c>
      <c r="X29" s="1351"/>
      <c r="Y29" s="3799"/>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99"/>
      <c r="Q30" s="1348" t="str">
        <f t="shared" si="11"/>
        <v>物业等级</v>
      </c>
      <c r="R30" s="704" t="s">
        <v>14</v>
      </c>
      <c r="S30" s="705">
        <f t="shared" si="12"/>
        <v>100</v>
      </c>
      <c r="T30" s="704" t="s">
        <v>14</v>
      </c>
      <c r="U30" s="705">
        <f t="shared" si="13"/>
        <v>100</v>
      </c>
      <c r="V30" s="704" t="s">
        <v>14</v>
      </c>
      <c r="W30" s="705">
        <f t="shared" si="14"/>
        <v>100</v>
      </c>
      <c r="X30" s="1351"/>
      <c r="Y30" s="3799"/>
      <c r="Z30" s="1352" t="str">
        <f t="shared" si="15"/>
        <v>物业等级</v>
      </c>
      <c r="AA30" s="1349">
        <f t="shared" si="3"/>
        <v>1</v>
      </c>
      <c r="AB30" s="1349">
        <f t="shared" si="4"/>
        <v>1</v>
      </c>
      <c r="AC30" s="1349">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99"/>
      <c r="Q31" s="1339" t="str">
        <f t="shared" si="11"/>
        <v>停车位面积</v>
      </c>
      <c r="R31" s="700" t="s">
        <v>14</v>
      </c>
      <c r="S31" s="701" t="e">
        <f t="shared" si="12"/>
        <v>#N/A</v>
      </c>
      <c r="T31" s="700" t="s">
        <v>14</v>
      </c>
      <c r="U31" s="701" t="e">
        <f t="shared" si="13"/>
        <v>#N/A</v>
      </c>
      <c r="V31" s="700" t="s">
        <v>14</v>
      </c>
      <c r="W31" s="701" t="e">
        <f t="shared" si="14"/>
        <v>#N/A</v>
      </c>
      <c r="X31" s="702"/>
      <c r="Y31" s="379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99" t="s">
        <v>1696</v>
      </c>
      <c r="Q32" s="1348" t="str">
        <f t="shared" si="11"/>
        <v>车位类型</v>
      </c>
      <c r="R32" s="704" t="s">
        <v>14</v>
      </c>
      <c r="S32" s="705">
        <f t="shared" si="12"/>
        <v>100</v>
      </c>
      <c r="T32" s="704" t="s">
        <v>14</v>
      </c>
      <c r="U32" s="705">
        <f t="shared" si="13"/>
        <v>100</v>
      </c>
      <c r="V32" s="704" t="s">
        <v>14</v>
      </c>
      <c r="W32" s="705">
        <f t="shared" si="14"/>
        <v>100</v>
      </c>
      <c r="X32" s="1351"/>
      <c r="Y32" s="3799"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99"/>
      <c r="Q33" s="1348" t="str">
        <f t="shared" si="11"/>
        <v>是否直接入户</v>
      </c>
      <c r="R33" s="704" t="s">
        <v>14</v>
      </c>
      <c r="S33" s="705">
        <f t="shared" si="12"/>
        <v>100</v>
      </c>
      <c r="T33" s="704" t="s">
        <v>14</v>
      </c>
      <c r="U33" s="705">
        <f t="shared" si="13"/>
        <v>100</v>
      </c>
      <c r="V33" s="704" t="s">
        <v>14</v>
      </c>
      <c r="W33" s="705">
        <f t="shared" si="14"/>
        <v>100</v>
      </c>
      <c r="X33" s="1351"/>
      <c r="Y33" s="3799"/>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99"/>
      <c r="Q34" s="1348">
        <f t="shared" si="11"/>
        <v>111</v>
      </c>
      <c r="R34" s="704" t="s">
        <v>14</v>
      </c>
      <c r="S34" s="705">
        <f t="shared" si="12"/>
        <v>100</v>
      </c>
      <c r="T34" s="704" t="s">
        <v>14</v>
      </c>
      <c r="U34" s="705">
        <f t="shared" si="13"/>
        <v>100</v>
      </c>
      <c r="V34" s="704" t="s">
        <v>14</v>
      </c>
      <c r="W34" s="705">
        <f t="shared" si="14"/>
        <v>100</v>
      </c>
      <c r="X34" s="1351"/>
      <c r="Y34" s="3799"/>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99"/>
      <c r="Q35" s="706">
        <f t="shared" si="11"/>
        <v>111</v>
      </c>
      <c r="R35" s="707" t="s">
        <v>14</v>
      </c>
      <c r="S35" s="708">
        <f t="shared" si="12"/>
        <v>100</v>
      </c>
      <c r="T35" s="707" t="s">
        <v>14</v>
      </c>
      <c r="U35" s="708">
        <f t="shared" si="13"/>
        <v>100</v>
      </c>
      <c r="V35" s="707" t="s">
        <v>14</v>
      </c>
      <c r="W35" s="708">
        <f t="shared" si="14"/>
        <v>100</v>
      </c>
      <c r="X35" s="709"/>
      <c r="Y35" s="3799"/>
      <c r="Z35" s="710">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99"/>
      <c r="Q36" s="1348">
        <f t="shared" si="11"/>
        <v>111</v>
      </c>
      <c r="R36" s="704" t="s">
        <v>14</v>
      </c>
      <c r="S36" s="705">
        <f t="shared" si="12"/>
        <v>100</v>
      </c>
      <c r="T36" s="704" t="s">
        <v>14</v>
      </c>
      <c r="U36" s="705">
        <f t="shared" si="13"/>
        <v>100</v>
      </c>
      <c r="V36" s="704" t="s">
        <v>14</v>
      </c>
      <c r="W36" s="705">
        <f t="shared" si="14"/>
        <v>100</v>
      </c>
      <c r="X36" s="1351"/>
      <c r="Y36" s="3799"/>
      <c r="Z36" s="1352">
        <f t="shared" si="15"/>
        <v>111</v>
      </c>
      <c r="AA36" s="1349">
        <f t="shared" si="3"/>
        <v>1</v>
      </c>
      <c r="AB36" s="1349">
        <f t="shared" si="4"/>
        <v>1</v>
      </c>
      <c r="AC36" s="1349">
        <f t="shared" si="5"/>
        <v>1</v>
      </c>
    </row>
    <row r="37" spans="1:29" ht="15">
      <c r="A37" s="429" t="s">
        <v>1844</v>
      </c>
      <c r="B37" s="1969" t="s">
        <v>3360</v>
      </c>
      <c r="C37" s="1150" t="s">
        <v>0</v>
      </c>
      <c r="D37" s="1151"/>
      <c r="E37" s="1152"/>
      <c r="F37" s="1153"/>
      <c r="G37" s="1154"/>
      <c r="H37" s="1155"/>
      <c r="I37" s="1152"/>
      <c r="J37" s="1155"/>
      <c r="K37" s="567"/>
      <c r="L37" s="2720"/>
      <c r="M37" s="2721"/>
      <c r="N37" s="2712"/>
      <c r="O37" s="2721"/>
      <c r="P37" s="3792" t="str">
        <f>A37</f>
        <v>成交单价</v>
      </c>
      <c r="Q37" s="3792"/>
      <c r="R37" s="3793">
        <f>E37</f>
        <v>0</v>
      </c>
      <c r="S37" s="3793"/>
      <c r="T37" s="3793">
        <f>G37</f>
        <v>0</v>
      </c>
      <c r="U37" s="3793"/>
      <c r="V37" s="3793">
        <f>I37</f>
        <v>0</v>
      </c>
      <c r="W37" s="3793"/>
      <c r="X37" s="689"/>
      <c r="Y37" s="711"/>
      <c r="Z37" s="689"/>
      <c r="AA37" s="689"/>
      <c r="AB37" s="689"/>
      <c r="AC37" s="689"/>
    </row>
    <row r="38" spans="1:29" ht="15.75" thickBot="1">
      <c r="A38" s="436" t="s">
        <v>1845</v>
      </c>
      <c r="B38" s="437"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92" t="str">
        <f>A38</f>
        <v>比较价值（元/平方米）</v>
      </c>
      <c r="Q38" s="3792"/>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689"/>
      <c r="Y38" s="689"/>
      <c r="Z38" s="689"/>
      <c r="AA38" s="689"/>
      <c r="AB38" s="689"/>
      <c r="AC38" s="689"/>
    </row>
    <row r="39" spans="1:29" ht="15.75" thickBot="1">
      <c r="A39" s="440" t="s">
        <v>1846</v>
      </c>
      <c r="B39" s="441"/>
      <c r="C39" s="1159" t="e">
        <f>R39</f>
        <v>#DIV/0!</v>
      </c>
      <c r="D39" s="1159"/>
      <c r="E39" s="1159"/>
      <c r="F39" s="1159"/>
      <c r="G39" s="1159"/>
      <c r="H39" s="1159"/>
      <c r="I39" s="1159"/>
      <c r="J39" s="1159"/>
      <c r="K39" s="568"/>
      <c r="L39" s="2720"/>
      <c r="M39" s="2721"/>
      <c r="N39" s="2721"/>
      <c r="O39" s="2721"/>
      <c r="P39" s="3789" t="str">
        <f>A39</f>
        <v>估价对象XX用房的比较价值（楼面单价，元/平方米）</v>
      </c>
      <c r="Q39" s="3790"/>
      <c r="R39" s="3819" t="e">
        <f>IF(F1="售价",ROUND(IF(D38="简单平均",AVERAGE(R38:W38),R38*F38+T38*H38+V38*J38),0),ROUND(IF(D38="简单平均",AVERAGE(R38:V38),R38*F38+T38*H38+V38*J38),1))</f>
        <v>#DIV/0!</v>
      </c>
      <c r="S39" s="3819"/>
      <c r="T39" s="3819"/>
      <c r="U39" s="3819"/>
      <c r="V39" s="3819"/>
      <c r="W39" s="3819"/>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估价对象为北京市房地产，为所有。根据《国有土地使用证》[]，估价对象（分摊）出让国有建设用地使用权面积为13077.01平方米，建筑面积为64978.17平方米。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估价对象为北京市房地产,属开发建设的，该项目尚在开发建设中。根据《国有土地使用证》[]，估价对象（分摊）出让国有建设用地使用权面积为13077.01平方米，规划建筑面积为64978.17平方米。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3341</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4" t="s">
        <v>1769</v>
      </c>
      <c r="B4" s="355"/>
      <c r="C4" s="3775" t="s">
        <v>1770</v>
      </c>
      <c r="D4" s="3776"/>
      <c r="E4" s="3777" t="s">
        <v>1771</v>
      </c>
      <c r="F4" s="3778"/>
      <c r="G4" s="3775" t="s">
        <v>1772</v>
      </c>
      <c r="H4" s="3776"/>
      <c r="I4" s="3775" t="s">
        <v>1773</v>
      </c>
      <c r="J4" s="3776"/>
      <c r="K4" s="558" t="s">
        <v>1774</v>
      </c>
      <c r="L4" s="2711"/>
      <c r="M4" s="2712"/>
      <c r="N4" s="2712"/>
      <c r="O4" s="2712"/>
      <c r="P4" s="3779" t="s">
        <v>1775</v>
      </c>
      <c r="Q4" s="3780"/>
      <c r="R4" s="3762" t="s">
        <v>1771</v>
      </c>
      <c r="S4" s="3763"/>
      <c r="T4" s="3762" t="s">
        <v>1772</v>
      </c>
      <c r="U4" s="3763"/>
      <c r="V4" s="3787" t="s">
        <v>1773</v>
      </c>
      <c r="W4" s="3787"/>
      <c r="X4" s="1351"/>
      <c r="Y4" s="3762" t="s">
        <v>1775</v>
      </c>
      <c r="Z4" s="3763"/>
      <c r="AA4" s="3757" t="s">
        <v>1771</v>
      </c>
      <c r="AB4" s="3758" t="s">
        <v>1772</v>
      </c>
      <c r="AC4" s="3757" t="s">
        <v>1773</v>
      </c>
    </row>
    <row r="5" spans="1:29" ht="15">
      <c r="A5" s="357"/>
      <c r="B5" s="358"/>
      <c r="C5" s="3768" t="s">
        <v>1673</v>
      </c>
      <c r="D5" s="3769"/>
      <c r="E5" s="3766" t="s">
        <v>1674</v>
      </c>
      <c r="F5" s="3767"/>
      <c r="G5" s="3768" t="s">
        <v>1675</v>
      </c>
      <c r="H5" s="3769"/>
      <c r="I5" s="3768" t="s">
        <v>1676</v>
      </c>
      <c r="J5" s="3769"/>
      <c r="K5" s="558"/>
      <c r="L5" s="2711"/>
      <c r="M5" s="2712"/>
      <c r="N5" s="2712"/>
      <c r="O5" s="2712"/>
      <c r="P5" s="3781"/>
      <c r="Q5" s="3782"/>
      <c r="R5" s="3764"/>
      <c r="S5" s="3765"/>
      <c r="T5" s="3764"/>
      <c r="U5" s="3765"/>
      <c r="V5" s="3787"/>
      <c r="W5" s="3787"/>
      <c r="X5" s="1351"/>
      <c r="Y5" s="3764"/>
      <c r="Z5" s="3765"/>
      <c r="AA5" s="3758"/>
      <c r="AB5" s="3758"/>
      <c r="AC5" s="3758"/>
    </row>
    <row r="6" spans="1:29" ht="15.75" thickBot="1">
      <c r="A6" s="359"/>
      <c r="B6" s="360"/>
      <c r="C6" s="3770" t="s">
        <v>1677</v>
      </c>
      <c r="D6" s="3771"/>
      <c r="E6" s="3772" t="s">
        <v>1677</v>
      </c>
      <c r="F6" s="3773"/>
      <c r="G6" s="3770" t="s">
        <v>1677</v>
      </c>
      <c r="H6" s="3771"/>
      <c r="I6" s="3770" t="s">
        <v>1677</v>
      </c>
      <c r="J6" s="3771"/>
      <c r="K6" s="558" t="s">
        <v>1678</v>
      </c>
      <c r="L6" s="2711"/>
      <c r="M6" s="2712"/>
      <c r="N6" s="2712"/>
      <c r="O6" s="2712"/>
      <c r="P6" s="3783"/>
      <c r="Q6" s="3784"/>
      <c r="R6" s="3764"/>
      <c r="S6" s="3765"/>
      <c r="T6" s="3785"/>
      <c r="U6" s="3786"/>
      <c r="V6" s="3787"/>
      <c r="W6" s="3787"/>
      <c r="X6" s="1351"/>
      <c r="Y6" s="3785"/>
      <c r="Z6" s="3786"/>
      <c r="AA6" s="3759"/>
      <c r="AB6" s="3759"/>
      <c r="AC6" s="3759"/>
    </row>
    <row r="7" spans="1:29" s="108" customFormat="1" ht="15.75" thickBot="1">
      <c r="A7" s="361" t="s">
        <v>1679</v>
      </c>
      <c r="B7" s="362"/>
      <c r="C7" s="363">
        <f>'数据-取费表'!B2</f>
        <v>45005</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60" t="s">
        <v>1680</v>
      </c>
      <c r="Q7" s="3788"/>
      <c r="R7" s="700" t="s">
        <v>14</v>
      </c>
      <c r="S7" s="701">
        <f t="shared" ref="S7:S14" si="0">F7</f>
        <v>0</v>
      </c>
      <c r="T7" s="700" t="s">
        <v>14</v>
      </c>
      <c r="U7" s="701">
        <f t="shared" ref="U7:U14" si="1">H7</f>
        <v>0</v>
      </c>
      <c r="V7" s="700" t="s">
        <v>14</v>
      </c>
      <c r="W7" s="701">
        <f t="shared" ref="W7:W14" si="2">J7</f>
        <v>0</v>
      </c>
      <c r="X7" s="702"/>
      <c r="Y7" s="3760" t="s">
        <v>1680</v>
      </c>
      <c r="Z7" s="3761"/>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60" t="s">
        <v>1683</v>
      </c>
      <c r="Q8" s="3761"/>
      <c r="R8" s="700" t="s">
        <v>14</v>
      </c>
      <c r="S8" s="701">
        <f t="shared" si="0"/>
        <v>100</v>
      </c>
      <c r="T8" s="700" t="s">
        <v>14</v>
      </c>
      <c r="U8" s="701">
        <f t="shared" si="1"/>
        <v>100</v>
      </c>
      <c r="V8" s="700" t="s">
        <v>14</v>
      </c>
      <c r="W8" s="701">
        <f t="shared" si="2"/>
        <v>100</v>
      </c>
      <c r="X8" s="702"/>
      <c r="Y8" s="3760" t="s">
        <v>1683</v>
      </c>
      <c r="Z8" s="3761"/>
      <c r="AA8" s="703">
        <f t="shared" ref="AA8:AA34" si="3">D8/F8</f>
        <v>1</v>
      </c>
      <c r="AB8" s="703">
        <f t="shared" ref="AB8:AB34" si="4">D8/H8</f>
        <v>1</v>
      </c>
      <c r="AC8" s="703">
        <f t="shared" ref="AC8:AC34" si="5">D8/J8</f>
        <v>1</v>
      </c>
    </row>
    <row r="9" spans="1:29" s="108" customFormat="1">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3"/>
      <c r="M9" s="2714"/>
      <c r="N9" s="2714"/>
      <c r="O9" s="2768"/>
      <c r="P9" s="3792" t="s">
        <v>1686</v>
      </c>
      <c r="Q9" s="1339"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7" customFormat="1" ht="27">
      <c r="A10" s="373"/>
      <c r="B10" s="374" t="s">
        <v>1688</v>
      </c>
      <c r="C10" s="3430"/>
      <c r="D10" s="127">
        <v>100</v>
      </c>
      <c r="E10" s="3430"/>
      <c r="F10" s="375">
        <f>SUMIF(53:53,E10,54:54)-SUMIF(53:53,C10,54:54)+100</f>
        <v>100</v>
      </c>
      <c r="G10" s="3430"/>
      <c r="H10" s="127">
        <f>SUMIF(53:53,G10,54:54)-SUMIF(53:53,C10,54:54)+100</f>
        <v>100</v>
      </c>
      <c r="I10" s="3430"/>
      <c r="J10" s="127">
        <f>SUMIF(53:53,I10,54:54)-SUMIF(53:53,C10,54:54)+100</f>
        <v>100</v>
      </c>
      <c r="K10" s="559"/>
      <c r="L10" s="2715"/>
      <c r="M10" s="2716"/>
      <c r="N10" s="2716"/>
      <c r="O10" s="2769"/>
      <c r="P10" s="3792"/>
      <c r="Q10" s="1339"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8"/>
      <c r="B11" s="1889">
        <v>111</v>
      </c>
      <c r="C11" s="382"/>
      <c r="D11" s="127">
        <v>100</v>
      </c>
      <c r="E11" s="419"/>
      <c r="F11" s="375">
        <f>SUMIF(55:55,E11,56:56)-SUMIF(55:55,C11,56:56)+100</f>
        <v>100</v>
      </c>
      <c r="G11" s="419"/>
      <c r="H11" s="127">
        <f>SUMIF(55:55,G11,56:56)-SUMIF(55:55,C11,56:56)+100</f>
        <v>100</v>
      </c>
      <c r="I11" s="419"/>
      <c r="J11" s="127">
        <f>SUMIF(55:55,I11,56:56)-SUMIF(55:55,C11,56:56)+100</f>
        <v>100</v>
      </c>
      <c r="K11" s="561"/>
      <c r="L11" s="2717"/>
      <c r="M11" s="2712"/>
      <c r="N11" s="2712"/>
      <c r="O11" s="2770"/>
      <c r="P11" s="3792"/>
      <c r="Q11" s="1339">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381"/>
      <c r="B12" s="1889">
        <v>111</v>
      </c>
      <c r="C12" s="382"/>
      <c r="D12" s="383">
        <v>100</v>
      </c>
      <c r="E12" s="419"/>
      <c r="F12" s="375">
        <f>SUMIF(57:57,E12,58:58)-SUMIF(57:57,C12,58:58)+100</f>
        <v>100</v>
      </c>
      <c r="G12" s="419"/>
      <c r="H12" s="127">
        <f>SUMIF(57:57,G12,58:58)-SUMIF(57:57,C12,58:58)+100</f>
        <v>100</v>
      </c>
      <c r="I12" s="419"/>
      <c r="J12" s="127">
        <f>SUMIF(57:57,I12,58:58)-SUMIF(57:57,C12,58:58)+100</f>
        <v>100</v>
      </c>
      <c r="K12" s="561"/>
      <c r="L12" s="2713"/>
      <c r="M12" s="2714"/>
      <c r="N12" s="2714"/>
      <c r="O12" s="2768"/>
      <c r="P12" s="3792"/>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92"/>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94" t="s">
        <v>1691</v>
      </c>
      <c r="Q14" s="1348" t="str">
        <f t="shared" si="6"/>
        <v>交通便捷度</v>
      </c>
      <c r="R14" s="704" t="s">
        <v>14</v>
      </c>
      <c r="S14" s="705">
        <f t="shared" si="0"/>
        <v>100</v>
      </c>
      <c r="T14" s="704" t="s">
        <v>14</v>
      </c>
      <c r="U14" s="705">
        <f t="shared" si="1"/>
        <v>100</v>
      </c>
      <c r="V14" s="704" t="s">
        <v>14</v>
      </c>
      <c r="W14" s="705">
        <f t="shared" si="2"/>
        <v>100</v>
      </c>
      <c r="X14" s="1351"/>
      <c r="Y14" s="3794"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95"/>
      <c r="Q15" s="1348"/>
      <c r="R15" s="704"/>
      <c r="S15" s="705"/>
      <c r="T15" s="704"/>
      <c r="U15" s="705"/>
      <c r="V15" s="704"/>
      <c r="W15" s="705"/>
      <c r="X15" s="1351"/>
      <c r="Y15" s="3795"/>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95"/>
      <c r="Q16" s="1348" t="str">
        <f>B16</f>
        <v>公共配套设施</v>
      </c>
      <c r="R16" s="704" t="s">
        <v>14</v>
      </c>
      <c r="S16" s="705">
        <f>F16</f>
        <v>100</v>
      </c>
      <c r="T16" s="704" t="s">
        <v>14</v>
      </c>
      <c r="U16" s="705">
        <f>H16</f>
        <v>100</v>
      </c>
      <c r="V16" s="704" t="s">
        <v>14</v>
      </c>
      <c r="W16" s="705">
        <f>J16</f>
        <v>100</v>
      </c>
      <c r="X16" s="1351"/>
      <c r="Y16" s="3795"/>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95"/>
      <c r="Q17" s="1348"/>
      <c r="R17" s="704"/>
      <c r="S17" s="705"/>
      <c r="T17" s="704"/>
      <c r="U17" s="705"/>
      <c r="V17" s="704"/>
      <c r="W17" s="705"/>
      <c r="X17" s="1351"/>
      <c r="Y17" s="3795"/>
      <c r="Z17" s="1352"/>
      <c r="AA17" s="1349">
        <v>1</v>
      </c>
      <c r="AB17" s="1349">
        <v>1</v>
      </c>
      <c r="AC17" s="1349">
        <v>1</v>
      </c>
    </row>
    <row r="18" spans="1:29" ht="28.5">
      <c r="A18" s="378"/>
      <c r="B18" s="1127"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95"/>
      <c r="Q18" s="1348" t="str">
        <f>B18</f>
        <v>基础设施水平</v>
      </c>
      <c r="R18" s="704" t="s">
        <v>14</v>
      </c>
      <c r="S18" s="705">
        <f>F18</f>
        <v>100</v>
      </c>
      <c r="T18" s="704" t="s">
        <v>14</v>
      </c>
      <c r="U18" s="705">
        <f>H18</f>
        <v>100</v>
      </c>
      <c r="V18" s="704" t="s">
        <v>14</v>
      </c>
      <c r="W18" s="705">
        <f>J18</f>
        <v>100</v>
      </c>
      <c r="X18" s="1351"/>
      <c r="Y18" s="3795"/>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795"/>
      <c r="Q19" s="1348"/>
      <c r="R19" s="704"/>
      <c r="S19" s="705"/>
      <c r="T19" s="704"/>
      <c r="U19" s="705"/>
      <c r="V19" s="704"/>
      <c r="W19" s="705"/>
      <c r="X19" s="1351"/>
      <c r="Y19" s="3795"/>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95"/>
      <c r="Q20" s="1348" t="str">
        <f>B20</f>
        <v>自然及人文环境</v>
      </c>
      <c r="R20" s="704" t="s">
        <v>14</v>
      </c>
      <c r="S20" s="705">
        <f>F20</f>
        <v>100</v>
      </c>
      <c r="T20" s="704" t="s">
        <v>14</v>
      </c>
      <c r="U20" s="705">
        <f>H20</f>
        <v>100</v>
      </c>
      <c r="V20" s="704" t="s">
        <v>14</v>
      </c>
      <c r="W20" s="705">
        <f>J20</f>
        <v>100</v>
      </c>
      <c r="X20" s="1351"/>
      <c r="Y20" s="3795"/>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95"/>
      <c r="Q21" s="1348"/>
      <c r="R21" s="704"/>
      <c r="S21" s="705"/>
      <c r="T21" s="704"/>
      <c r="U21" s="705"/>
      <c r="V21" s="704"/>
      <c r="W21" s="705"/>
      <c r="X21" s="1351"/>
      <c r="Y21" s="3795"/>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95"/>
      <c r="Q22" s="1348" t="str">
        <f>B22</f>
        <v>楼层</v>
      </c>
      <c r="R22" s="704" t="s">
        <v>14</v>
      </c>
      <c r="S22" s="705">
        <f>F22</f>
        <v>100</v>
      </c>
      <c r="T22" s="704" t="s">
        <v>14</v>
      </c>
      <c r="U22" s="705">
        <f>H22</f>
        <v>100</v>
      </c>
      <c r="V22" s="704" t="s">
        <v>14</v>
      </c>
      <c r="W22" s="705">
        <f>J22</f>
        <v>100</v>
      </c>
      <c r="X22" s="1351"/>
      <c r="Y22" s="3795"/>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95"/>
      <c r="Q23" s="1348">
        <f>B23</f>
        <v>111</v>
      </c>
      <c r="R23" s="704" t="s">
        <v>14</v>
      </c>
      <c r="S23" s="705">
        <f>F23</f>
        <v>100</v>
      </c>
      <c r="T23" s="704" t="s">
        <v>14</v>
      </c>
      <c r="U23" s="705">
        <f>H23</f>
        <v>100</v>
      </c>
      <c r="V23" s="704" t="s">
        <v>14</v>
      </c>
      <c r="W23" s="705">
        <f>J23</f>
        <v>100</v>
      </c>
      <c r="X23" s="1351"/>
      <c r="Y23" s="3795"/>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95"/>
      <c r="Q24" s="1348">
        <f t="shared" ref="Q24:Q34" si="11">B24</f>
        <v>111</v>
      </c>
      <c r="R24" s="704" t="s">
        <v>14</v>
      </c>
      <c r="S24" s="705">
        <f>F24</f>
        <v>100</v>
      </c>
      <c r="T24" s="704" t="s">
        <v>14</v>
      </c>
      <c r="U24" s="705">
        <f>H24</f>
        <v>100</v>
      </c>
      <c r="V24" s="704" t="s">
        <v>14</v>
      </c>
      <c r="W24" s="705">
        <f>J24</f>
        <v>100</v>
      </c>
      <c r="X24" s="1351"/>
      <c r="Y24" s="3795"/>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95"/>
      <c r="Q25" s="1339">
        <f t="shared" si="11"/>
        <v>111</v>
      </c>
      <c r="R25" s="700" t="s">
        <v>14</v>
      </c>
      <c r="S25" s="701">
        <f>F25</f>
        <v>100</v>
      </c>
      <c r="T25" s="700" t="s">
        <v>14</v>
      </c>
      <c r="U25" s="701">
        <f>H25</f>
        <v>100</v>
      </c>
      <c r="V25" s="700" t="s">
        <v>14</v>
      </c>
      <c r="W25" s="701">
        <f>J25</f>
        <v>100</v>
      </c>
      <c r="X25" s="702"/>
      <c r="Y25" s="3795"/>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18" t="s">
        <v>1696</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99"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7">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99"/>
      <c r="Q27" s="706" t="str">
        <f t="shared" si="11"/>
        <v>成新率</v>
      </c>
      <c r="R27" s="707" t="s">
        <v>14</v>
      </c>
      <c r="S27" s="708" t="e">
        <f t="shared" si="12"/>
        <v>#N/A</v>
      </c>
      <c r="T27" s="707" t="s">
        <v>14</v>
      </c>
      <c r="U27" s="708" t="e">
        <f t="shared" si="13"/>
        <v>#N/A</v>
      </c>
      <c r="V27" s="707" t="s">
        <v>14</v>
      </c>
      <c r="W27" s="708" t="e">
        <f t="shared" si="14"/>
        <v>#N/A</v>
      </c>
      <c r="X27" s="709"/>
      <c r="Y27" s="3799"/>
      <c r="Z27" s="710"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99"/>
      <c r="Q28" s="1348" t="str">
        <f t="shared" si="11"/>
        <v>物业等级</v>
      </c>
      <c r="R28" s="704" t="s">
        <v>14</v>
      </c>
      <c r="S28" s="705">
        <f t="shared" si="12"/>
        <v>100</v>
      </c>
      <c r="T28" s="704" t="s">
        <v>14</v>
      </c>
      <c r="U28" s="705">
        <f t="shared" si="13"/>
        <v>100</v>
      </c>
      <c r="V28" s="704" t="s">
        <v>14</v>
      </c>
      <c r="W28" s="705">
        <f t="shared" si="14"/>
        <v>100</v>
      </c>
      <c r="X28" s="1351"/>
      <c r="Y28" s="3799"/>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99"/>
      <c r="Q29" s="1348" t="str">
        <f t="shared" si="11"/>
        <v>有无电梯</v>
      </c>
      <c r="R29" s="704" t="s">
        <v>14</v>
      </c>
      <c r="S29" s="705">
        <f t="shared" si="12"/>
        <v>100</v>
      </c>
      <c r="T29" s="704" t="s">
        <v>14</v>
      </c>
      <c r="U29" s="705">
        <f t="shared" si="13"/>
        <v>100</v>
      </c>
      <c r="V29" s="704" t="s">
        <v>14</v>
      </c>
      <c r="W29" s="705">
        <f t="shared" si="14"/>
        <v>100</v>
      </c>
      <c r="X29" s="1351"/>
      <c r="Y29" s="3799"/>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99"/>
      <c r="Q30" s="1348" t="str">
        <f t="shared" si="11"/>
        <v>建筑面积</v>
      </c>
      <c r="R30" s="704" t="s">
        <v>14</v>
      </c>
      <c r="S30" s="705" t="e">
        <f t="shared" si="12"/>
        <v>#N/A</v>
      </c>
      <c r="T30" s="704" t="s">
        <v>14</v>
      </c>
      <c r="U30" s="705" t="e">
        <f t="shared" si="13"/>
        <v>#N/A</v>
      </c>
      <c r="V30" s="704" t="s">
        <v>14</v>
      </c>
      <c r="W30" s="705" t="e">
        <f t="shared" si="14"/>
        <v>#N/A</v>
      </c>
      <c r="X30" s="1351"/>
      <c r="Y30" s="3799"/>
      <c r="Z30" s="1352" t="str">
        <f t="shared" si="15"/>
        <v>建筑面积</v>
      </c>
      <c r="AA30" s="1349" t="e">
        <f t="shared" si="3"/>
        <v>#N/A</v>
      </c>
      <c r="AB30" s="1349" t="e">
        <f t="shared" si="4"/>
        <v>#N/A</v>
      </c>
      <c r="AC30" s="1349" t="e">
        <f t="shared" si="5"/>
        <v>#N/A</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99"/>
      <c r="Q31" s="1339" t="str">
        <f t="shared" si="11"/>
        <v>是否封闭</v>
      </c>
      <c r="R31" s="700" t="s">
        <v>14</v>
      </c>
      <c r="S31" s="701">
        <f t="shared" si="12"/>
        <v>100</v>
      </c>
      <c r="T31" s="700" t="s">
        <v>14</v>
      </c>
      <c r="U31" s="701">
        <f t="shared" si="13"/>
        <v>100</v>
      </c>
      <c r="V31" s="700" t="s">
        <v>14</v>
      </c>
      <c r="W31" s="701">
        <f t="shared" si="14"/>
        <v>100</v>
      </c>
      <c r="X31" s="702"/>
      <c r="Y31" s="3799"/>
      <c r="Z31" s="52" t="str">
        <f t="shared" si="15"/>
        <v>是否封闭</v>
      </c>
      <c r="AA31" s="703">
        <f t="shared" si="3"/>
        <v>1</v>
      </c>
      <c r="AB31" s="703">
        <f t="shared" si="4"/>
        <v>1</v>
      </c>
      <c r="AC31" s="703">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99" t="s">
        <v>1696</v>
      </c>
      <c r="Q32" s="1348">
        <f t="shared" si="11"/>
        <v>111</v>
      </c>
      <c r="R32" s="704" t="s">
        <v>14</v>
      </c>
      <c r="S32" s="705">
        <f t="shared" si="12"/>
        <v>100</v>
      </c>
      <c r="T32" s="704" t="s">
        <v>14</v>
      </c>
      <c r="U32" s="705">
        <f t="shared" si="13"/>
        <v>100</v>
      </c>
      <c r="V32" s="704" t="s">
        <v>14</v>
      </c>
      <c r="W32" s="705">
        <f t="shared" si="14"/>
        <v>100</v>
      </c>
      <c r="X32" s="1351"/>
      <c r="Y32" s="3799"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99"/>
      <c r="Q33" s="1348">
        <f t="shared" si="11"/>
        <v>111</v>
      </c>
      <c r="R33" s="704" t="s">
        <v>14</v>
      </c>
      <c r="S33" s="705">
        <f t="shared" si="12"/>
        <v>100</v>
      </c>
      <c r="T33" s="704" t="s">
        <v>14</v>
      </c>
      <c r="U33" s="705">
        <f t="shared" si="13"/>
        <v>100</v>
      </c>
      <c r="V33" s="704" t="s">
        <v>14</v>
      </c>
      <c r="W33" s="705">
        <f t="shared" si="14"/>
        <v>100</v>
      </c>
      <c r="X33" s="1351"/>
      <c r="Y33" s="3799"/>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99"/>
      <c r="Q34" s="1348">
        <f t="shared" si="11"/>
        <v>111</v>
      </c>
      <c r="R34" s="704" t="s">
        <v>14</v>
      </c>
      <c r="S34" s="705">
        <f t="shared" si="12"/>
        <v>100</v>
      </c>
      <c r="T34" s="704" t="s">
        <v>14</v>
      </c>
      <c r="U34" s="705">
        <f t="shared" si="13"/>
        <v>100</v>
      </c>
      <c r="V34" s="704" t="s">
        <v>14</v>
      </c>
      <c r="W34" s="705">
        <f t="shared" si="14"/>
        <v>100</v>
      </c>
      <c r="X34" s="1351"/>
      <c r="Y34" s="3799"/>
      <c r="Z34" s="1352">
        <f t="shared" si="15"/>
        <v>111</v>
      </c>
      <c r="AA34" s="1349">
        <f t="shared" si="3"/>
        <v>1</v>
      </c>
      <c r="AB34" s="1349">
        <f t="shared" si="4"/>
        <v>1</v>
      </c>
      <c r="AC34" s="1349">
        <f t="shared" si="5"/>
        <v>1</v>
      </c>
    </row>
    <row r="35" spans="1:30" ht="15">
      <c r="A35" s="429" t="s">
        <v>1708</v>
      </c>
      <c r="B35" s="430"/>
      <c r="C35" s="1150" t="s">
        <v>0</v>
      </c>
      <c r="D35" s="1151"/>
      <c r="E35" s="1152"/>
      <c r="F35" s="1153"/>
      <c r="G35" s="1154"/>
      <c r="H35" s="1155"/>
      <c r="I35" s="1152"/>
      <c r="J35" s="1155"/>
      <c r="K35" s="713"/>
      <c r="L35" s="2720"/>
      <c r="M35" s="2721"/>
      <c r="N35" s="2712"/>
      <c r="O35" s="2721"/>
      <c r="P35" s="3792" t="str">
        <f>A35</f>
        <v>成交单价（元/平方米）</v>
      </c>
      <c r="Q35" s="3792"/>
      <c r="R35" s="3793">
        <f>E35</f>
        <v>0</v>
      </c>
      <c r="S35" s="3793"/>
      <c r="T35" s="3793">
        <f>G35</f>
        <v>0</v>
      </c>
      <c r="U35" s="3793"/>
      <c r="V35" s="3793">
        <f>I35</f>
        <v>0</v>
      </c>
      <c r="W35" s="3793"/>
      <c r="X35" s="689"/>
      <c r="Y35" s="711"/>
      <c r="Z35" s="689"/>
      <c r="AA35" s="689"/>
      <c r="AB35" s="689"/>
      <c r="AC35" s="689"/>
    </row>
    <row r="36" spans="1:30" ht="15.75" thickBot="1">
      <c r="A36" s="436" t="s">
        <v>1793</v>
      </c>
      <c r="B36" s="437"/>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92" t="str">
        <f>A36</f>
        <v>比较价值（元/平方米）</v>
      </c>
      <c r="Q36" s="3792"/>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689"/>
      <c r="Y36" s="689"/>
      <c r="Z36" s="689"/>
      <c r="AA36" s="689"/>
      <c r="AB36" s="689"/>
      <c r="AC36" s="689"/>
    </row>
    <row r="37" spans="1:30" ht="15.75" thickBot="1">
      <c r="A37" s="440" t="s">
        <v>1794</v>
      </c>
      <c r="B37" s="441"/>
      <c r="C37" s="1159" t="e">
        <f>R37</f>
        <v>#DIV/0!</v>
      </c>
      <c r="D37" s="1159"/>
      <c r="E37" s="1159"/>
      <c r="F37" s="1159"/>
      <c r="G37" s="1159"/>
      <c r="H37" s="1159"/>
      <c r="I37" s="1159"/>
      <c r="J37" s="1159"/>
      <c r="K37" s="714"/>
      <c r="L37" s="2720"/>
      <c r="M37" s="2721"/>
      <c r="N37" s="2721"/>
      <c r="O37" s="2721"/>
      <c r="P37" s="3789" t="str">
        <f>A37</f>
        <v>估价对象XX用房的比较价值（楼面单价，元/平方米）</v>
      </c>
      <c r="Q37" s="3790"/>
      <c r="R37" s="3819" t="e">
        <f>IF(F1="售价",ROUND(IF(D36="简单平均",AVERAGE(R36:W36),R36*F36+T36*H36+V36*J36),0),ROUND(IF(D36="简单平均",AVERAGE(R36:V36),R36*F36+T36*H36+V36*J36),1))</f>
        <v>#DIV/0!</v>
      </c>
      <c r="S37" s="3819"/>
      <c r="T37" s="3819"/>
      <c r="U37" s="3819"/>
      <c r="V37" s="3819"/>
      <c r="W37" s="3819"/>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4" t="s">
        <v>1769</v>
      </c>
      <c r="B4" s="355"/>
      <c r="C4" s="3775" t="s">
        <v>1770</v>
      </c>
      <c r="D4" s="3776"/>
      <c r="E4" s="3777" t="s">
        <v>1771</v>
      </c>
      <c r="F4" s="3778"/>
      <c r="G4" s="3775" t="s">
        <v>1772</v>
      </c>
      <c r="H4" s="3776"/>
      <c r="I4" s="3775" t="s">
        <v>1773</v>
      </c>
      <c r="J4" s="3776"/>
      <c r="K4" s="558" t="s">
        <v>1774</v>
      </c>
      <c r="L4" s="2711"/>
      <c r="M4" s="2712"/>
      <c r="N4" s="2712"/>
      <c r="O4" s="2712"/>
      <c r="P4" s="3779" t="s">
        <v>1775</v>
      </c>
      <c r="Q4" s="3780"/>
      <c r="R4" s="3762" t="s">
        <v>1771</v>
      </c>
      <c r="S4" s="3763"/>
      <c r="T4" s="3762" t="s">
        <v>1772</v>
      </c>
      <c r="U4" s="3763"/>
      <c r="V4" s="3787" t="s">
        <v>1773</v>
      </c>
      <c r="W4" s="3787"/>
      <c r="X4" s="1351"/>
      <c r="Y4" s="3762" t="s">
        <v>1775</v>
      </c>
      <c r="Z4" s="3763"/>
      <c r="AA4" s="3757" t="s">
        <v>1771</v>
      </c>
      <c r="AB4" s="3758" t="s">
        <v>1772</v>
      </c>
      <c r="AC4" s="3757" t="s">
        <v>1773</v>
      </c>
    </row>
    <row r="5" spans="1:30" ht="15">
      <c r="A5" s="357"/>
      <c r="B5" s="358"/>
      <c r="C5" s="3768" t="s">
        <v>1673</v>
      </c>
      <c r="D5" s="3769"/>
      <c r="E5" s="3766" t="s">
        <v>1674</v>
      </c>
      <c r="F5" s="3767"/>
      <c r="G5" s="3768" t="s">
        <v>1675</v>
      </c>
      <c r="H5" s="3769"/>
      <c r="I5" s="3768" t="s">
        <v>1676</v>
      </c>
      <c r="J5" s="3769"/>
      <c r="K5" s="558"/>
      <c r="L5" s="2711"/>
      <c r="M5" s="2712"/>
      <c r="N5" s="2712"/>
      <c r="O5" s="2712"/>
      <c r="P5" s="3781"/>
      <c r="Q5" s="3782"/>
      <c r="R5" s="3764"/>
      <c r="S5" s="3765"/>
      <c r="T5" s="3764"/>
      <c r="U5" s="3765"/>
      <c r="V5" s="3787"/>
      <c r="W5" s="3787"/>
      <c r="X5" s="1351"/>
      <c r="Y5" s="3764"/>
      <c r="Z5" s="3765"/>
      <c r="AA5" s="3758"/>
      <c r="AB5" s="3758"/>
      <c r="AC5" s="3758"/>
    </row>
    <row r="6" spans="1:30" ht="15.75" thickBot="1">
      <c r="A6" s="359"/>
      <c r="B6" s="360"/>
      <c r="C6" s="3770" t="s">
        <v>1677</v>
      </c>
      <c r="D6" s="3771"/>
      <c r="E6" s="3772" t="s">
        <v>1677</v>
      </c>
      <c r="F6" s="3773"/>
      <c r="G6" s="3770" t="s">
        <v>1677</v>
      </c>
      <c r="H6" s="3771"/>
      <c r="I6" s="3770" t="s">
        <v>1677</v>
      </c>
      <c r="J6" s="3771"/>
      <c r="K6" s="558" t="s">
        <v>1678</v>
      </c>
      <c r="L6" s="2711"/>
      <c r="M6" s="2712"/>
      <c r="N6" s="2712"/>
      <c r="O6" s="2712"/>
      <c r="P6" s="3783"/>
      <c r="Q6" s="3784"/>
      <c r="R6" s="3764"/>
      <c r="S6" s="3765"/>
      <c r="T6" s="3785"/>
      <c r="U6" s="3786"/>
      <c r="V6" s="3787"/>
      <c r="W6" s="3787"/>
      <c r="X6" s="1351"/>
      <c r="Y6" s="3785"/>
      <c r="Z6" s="3786"/>
      <c r="AA6" s="3759"/>
      <c r="AB6" s="3759"/>
      <c r="AC6" s="3759"/>
    </row>
    <row r="7" spans="1:30" s="108" customFormat="1" ht="15.75" thickBot="1">
      <c r="A7" s="361" t="s">
        <v>1679</v>
      </c>
      <c r="B7" s="362"/>
      <c r="C7" s="363">
        <f>'数据-取费表'!B2</f>
        <v>45005</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60" t="s">
        <v>1680</v>
      </c>
      <c r="Q7" s="3788"/>
      <c r="R7" s="700" t="s">
        <v>14</v>
      </c>
      <c r="S7" s="701">
        <f t="shared" ref="S7:S15" si="0">F7</f>
        <v>0</v>
      </c>
      <c r="T7" s="700" t="s">
        <v>14</v>
      </c>
      <c r="U7" s="701">
        <f t="shared" ref="U7:U15" si="1">H7</f>
        <v>0</v>
      </c>
      <c r="V7" s="700" t="s">
        <v>14</v>
      </c>
      <c r="W7" s="701">
        <f t="shared" ref="W7:W15" si="2">J7</f>
        <v>0</v>
      </c>
      <c r="X7" s="702"/>
      <c r="Y7" s="3760" t="s">
        <v>1680</v>
      </c>
      <c r="Z7" s="3761"/>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60" t="s">
        <v>1683</v>
      </c>
      <c r="Q8" s="3761"/>
      <c r="R8" s="700" t="s">
        <v>14</v>
      </c>
      <c r="S8" s="701">
        <f t="shared" si="0"/>
        <v>0</v>
      </c>
      <c r="T8" s="700" t="s">
        <v>14</v>
      </c>
      <c r="U8" s="701">
        <f t="shared" si="1"/>
        <v>0</v>
      </c>
      <c r="V8" s="700" t="s">
        <v>14</v>
      </c>
      <c r="W8" s="701">
        <f t="shared" si="2"/>
        <v>0</v>
      </c>
      <c r="X8" s="702"/>
      <c r="Y8" s="3760" t="s">
        <v>1683</v>
      </c>
      <c r="Z8" s="3761"/>
      <c r="AA8" s="703" t="e">
        <f t="shared" ref="AA8:AA45" si="3">D8/F8</f>
        <v>#DIV/0!</v>
      </c>
      <c r="AB8" s="703" t="e">
        <f t="shared" ref="AB8:AB45" si="4">D8/H8</f>
        <v>#DIV/0!</v>
      </c>
      <c r="AC8" s="703" t="e">
        <f t="shared" ref="AC8:AC45" si="5">D8/J8</f>
        <v>#DIV/0!</v>
      </c>
    </row>
    <row r="9" spans="1:30" s="108" customFormat="1">
      <c r="A9" s="368" t="s">
        <v>1684</v>
      </c>
      <c r="B9" s="63" t="s">
        <v>1685</v>
      </c>
      <c r="C9" s="1973"/>
      <c r="D9" s="126">
        <v>100</v>
      </c>
      <c r="E9" s="1973"/>
      <c r="F9" s="126">
        <f>SUMIF(74:74,E9,75:75)-SUMIF(74:74,C9,75:75)+100</f>
        <v>100</v>
      </c>
      <c r="G9" s="1973"/>
      <c r="H9" s="126">
        <f>SUMIF(74:74,G9,75:75)-SUMIF(74:74,C9,75:75)+100</f>
        <v>100</v>
      </c>
      <c r="I9" s="1973"/>
      <c r="J9" s="126">
        <f>SUMIF(74:74,I9,75:75)-SUMIF(74:74,C9,75:75)+100</f>
        <v>100</v>
      </c>
      <c r="K9" s="559"/>
      <c r="L9" s="2713"/>
      <c r="M9" s="2714"/>
      <c r="N9" s="2714"/>
      <c r="O9" s="2768"/>
      <c r="P9" s="3792"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30" s="377" customFormat="1" ht="27">
      <c r="A10" s="373"/>
      <c r="B10" s="374" t="s">
        <v>1688</v>
      </c>
      <c r="C10" s="382"/>
      <c r="D10" s="127">
        <v>100</v>
      </c>
      <c r="E10" s="415"/>
      <c r="F10" s="127">
        <f>ROUND(100/'数据-取费表'!G16,0)</f>
        <v>124</v>
      </c>
      <c r="G10" s="413"/>
      <c r="H10" s="127">
        <f>ROUND(100/'数据-取费表'!G16,0)</f>
        <v>124</v>
      </c>
      <c r="I10" s="413"/>
      <c r="J10" s="127">
        <f>ROUND(100/'数据-取费表'!G16,0)</f>
        <v>124</v>
      </c>
      <c r="K10" s="619"/>
      <c r="L10" s="2715"/>
      <c r="M10" s="2716"/>
      <c r="N10" s="2716"/>
      <c r="O10" s="2769"/>
      <c r="P10" s="3792"/>
      <c r="Q10" s="1339" t="str">
        <f t="shared" si="6"/>
        <v>土地使用年限（年）</v>
      </c>
      <c r="R10" s="700" t="s">
        <v>14</v>
      </c>
      <c r="S10" s="701">
        <f t="shared" si="0"/>
        <v>124</v>
      </c>
      <c r="T10" s="700" t="s">
        <v>14</v>
      </c>
      <c r="U10" s="701">
        <f t="shared" si="1"/>
        <v>124</v>
      </c>
      <c r="V10" s="700" t="s">
        <v>14</v>
      </c>
      <c r="W10" s="701">
        <f t="shared" si="2"/>
        <v>124</v>
      </c>
      <c r="X10" s="702"/>
      <c r="Y10" s="3709"/>
      <c r="Z10" s="52" t="str">
        <f t="shared" si="7"/>
        <v>土地使用年限（年）</v>
      </c>
      <c r="AA10" s="703">
        <f t="shared" si="3"/>
        <v>0.80645161290322576</v>
      </c>
      <c r="AB10" s="703">
        <f t="shared" si="4"/>
        <v>0.80645161290322576</v>
      </c>
      <c r="AC10" s="703">
        <f t="shared" si="5"/>
        <v>0.80645161290322576</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7"/>
      <c r="M11" s="2712"/>
      <c r="N11" s="2712"/>
      <c r="O11" s="2770"/>
      <c r="P11" s="3792"/>
      <c r="Q11" s="1339"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30" s="108" customFormat="1" ht="15">
      <c r="A12" s="381"/>
      <c r="B12" s="1889" t="s">
        <v>1870</v>
      </c>
      <c r="C12" s="382"/>
      <c r="D12" s="383">
        <v>100</v>
      </c>
      <c r="E12" s="415"/>
      <c r="F12" s="127">
        <f>SUMIF(81:81,E12,82:82)-SUMIF(81:81,C12,82:82)+100</f>
        <v>100</v>
      </c>
      <c r="G12" s="413"/>
      <c r="H12" s="127">
        <f>SUMIF(81:81,G12,82:82)-SUMIF(81:81,C12,82:82)+100</f>
        <v>100</v>
      </c>
      <c r="I12" s="415"/>
      <c r="J12" s="127">
        <f>SUMIF(81:81,I12,82:82)-SUMIF(81:81,C12,82:82)+100</f>
        <v>100</v>
      </c>
      <c r="K12" s="619"/>
      <c r="L12" s="2713"/>
      <c r="M12" s="2714"/>
      <c r="N12" s="2714"/>
      <c r="O12" s="2768"/>
      <c r="P12" s="3792"/>
      <c r="Q12" s="1339" t="str">
        <f t="shared" si="6"/>
        <v>配建</v>
      </c>
      <c r="R12" s="700" t="s">
        <v>14</v>
      </c>
      <c r="S12" s="701">
        <f t="shared" si="0"/>
        <v>100</v>
      </c>
      <c r="T12" s="700" t="s">
        <v>14</v>
      </c>
      <c r="U12" s="701">
        <f t="shared" si="1"/>
        <v>100</v>
      </c>
      <c r="V12" s="700" t="s">
        <v>14</v>
      </c>
      <c r="W12" s="701">
        <f t="shared" si="2"/>
        <v>100</v>
      </c>
      <c r="X12" s="702"/>
      <c r="Y12" s="3709"/>
      <c r="Z12" s="52" t="str">
        <f t="shared" si="7"/>
        <v>配建</v>
      </c>
      <c r="AA12" s="703">
        <f>D12/F12</f>
        <v>1</v>
      </c>
      <c r="AB12" s="703">
        <f>D12/H12</f>
        <v>1</v>
      </c>
      <c r="AC12" s="703">
        <f>D12/J12</f>
        <v>1</v>
      </c>
    </row>
    <row r="13" spans="1:30" ht="15">
      <c r="A13" s="378"/>
      <c r="B13" s="1889">
        <v>111</v>
      </c>
      <c r="C13" s="384"/>
      <c r="D13" s="385">
        <v>100</v>
      </c>
      <c r="E13" s="497"/>
      <c r="F13" s="127">
        <f>SUMIF(83:83,E13,84:84)-SUMIF(83:83,C13,84:84)+100</f>
        <v>100</v>
      </c>
      <c r="G13" s="621"/>
      <c r="H13" s="385">
        <f>SUMIF(83:83,G13,84:84)-SUMIF(83:83,C13,84:84)+100</f>
        <v>100</v>
      </c>
      <c r="I13" s="621"/>
      <c r="J13" s="385">
        <f>SUMIF(83:83,I13,84:84)-SUMIF(83:83,C13,84:84)+100</f>
        <v>100</v>
      </c>
      <c r="K13" s="619"/>
      <c r="L13" s="2718"/>
      <c r="M13" s="2712"/>
      <c r="N13" s="2712"/>
      <c r="O13" s="2770"/>
      <c r="P13" s="3792"/>
      <c r="Q13" s="1339">
        <f t="shared" si="6"/>
        <v>111</v>
      </c>
      <c r="R13" s="700" t="s">
        <v>14</v>
      </c>
      <c r="S13" s="701">
        <f t="shared" si="0"/>
        <v>100</v>
      </c>
      <c r="T13" s="700" t="s">
        <v>14</v>
      </c>
      <c r="U13" s="701">
        <f t="shared" si="1"/>
        <v>100</v>
      </c>
      <c r="V13" s="700" t="s">
        <v>14</v>
      </c>
      <c r="W13" s="701">
        <f t="shared" si="2"/>
        <v>100</v>
      </c>
      <c r="X13" s="702"/>
      <c r="Y13" s="3709"/>
      <c r="Z13" s="52">
        <f t="shared" si="7"/>
        <v>111</v>
      </c>
      <c r="AA13" s="703">
        <f>D13/F13</f>
        <v>1</v>
      </c>
      <c r="AB13" s="703">
        <f>D13/H13</f>
        <v>1</v>
      </c>
      <c r="AC13" s="703">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92"/>
      <c r="Q14" s="1339">
        <f t="shared" si="6"/>
        <v>111</v>
      </c>
      <c r="R14" s="700" t="s">
        <v>14</v>
      </c>
      <c r="S14" s="701">
        <f t="shared" si="0"/>
        <v>100</v>
      </c>
      <c r="T14" s="700" t="s">
        <v>14</v>
      </c>
      <c r="U14" s="701">
        <f t="shared" si="1"/>
        <v>100</v>
      </c>
      <c r="V14" s="700" t="s">
        <v>14</v>
      </c>
      <c r="W14" s="701">
        <f t="shared" si="2"/>
        <v>100</v>
      </c>
      <c r="X14" s="702"/>
      <c r="Y14" s="3709"/>
      <c r="Z14" s="52">
        <f t="shared" si="7"/>
        <v>111</v>
      </c>
      <c r="AA14" s="703">
        <f>D14/F14</f>
        <v>1</v>
      </c>
      <c r="AB14" s="703">
        <f>D14/H14</f>
        <v>1</v>
      </c>
      <c r="AC14" s="703">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94" t="s">
        <v>1691</v>
      </c>
      <c r="Q15" s="1348" t="str">
        <f t="shared" si="6"/>
        <v>居住社区成熟度</v>
      </c>
      <c r="R15" s="704" t="s">
        <v>14</v>
      </c>
      <c r="S15" s="705">
        <f t="shared" si="0"/>
        <v>100</v>
      </c>
      <c r="T15" s="704" t="s">
        <v>14</v>
      </c>
      <c r="U15" s="705">
        <f t="shared" si="1"/>
        <v>100</v>
      </c>
      <c r="V15" s="704" t="s">
        <v>14</v>
      </c>
      <c r="W15" s="705">
        <f t="shared" si="2"/>
        <v>100</v>
      </c>
      <c r="X15" s="1351"/>
      <c r="Y15" s="3794"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95"/>
      <c r="Q16" s="1348"/>
      <c r="R16" s="704"/>
      <c r="S16" s="705"/>
      <c r="T16" s="704"/>
      <c r="U16" s="705"/>
      <c r="V16" s="704"/>
      <c r="W16" s="705"/>
      <c r="X16" s="1351"/>
      <c r="Y16" s="3795"/>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95"/>
      <c r="Q17" s="1348" t="str">
        <f>B17</f>
        <v>商业繁华度</v>
      </c>
      <c r="R17" s="704" t="s">
        <v>14</v>
      </c>
      <c r="S17" s="705">
        <f>F17</f>
        <v>100</v>
      </c>
      <c r="T17" s="704" t="s">
        <v>14</v>
      </c>
      <c r="U17" s="705">
        <f>H17</f>
        <v>100</v>
      </c>
      <c r="V17" s="704" t="s">
        <v>14</v>
      </c>
      <c r="W17" s="705">
        <f>J17</f>
        <v>100</v>
      </c>
      <c r="X17" s="1351"/>
      <c r="Y17" s="3795"/>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95"/>
      <c r="Q18" s="1348"/>
      <c r="R18" s="704"/>
      <c r="S18" s="705"/>
      <c r="T18" s="704"/>
      <c r="U18" s="705"/>
      <c r="V18" s="704"/>
      <c r="W18" s="705"/>
      <c r="X18" s="1351"/>
      <c r="Y18" s="3795"/>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95"/>
      <c r="Q19" s="1348" t="str">
        <f>B19</f>
        <v>办公集聚程度</v>
      </c>
      <c r="R19" s="704" t="s">
        <v>14</v>
      </c>
      <c r="S19" s="705">
        <f>F19</f>
        <v>100</v>
      </c>
      <c r="T19" s="704" t="s">
        <v>14</v>
      </c>
      <c r="U19" s="705">
        <f>H19</f>
        <v>100</v>
      </c>
      <c r="V19" s="704" t="s">
        <v>14</v>
      </c>
      <c r="W19" s="705">
        <f>J19</f>
        <v>100</v>
      </c>
      <c r="X19" s="1351"/>
      <c r="Y19" s="3795"/>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95"/>
      <c r="Q20" s="1348"/>
      <c r="R20" s="704"/>
      <c r="S20" s="705"/>
      <c r="T20" s="704"/>
      <c r="U20" s="705"/>
      <c r="V20" s="704"/>
      <c r="W20" s="705"/>
      <c r="X20" s="1351"/>
      <c r="Y20" s="3795"/>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95"/>
      <c r="Q21" s="1348" t="str">
        <f>B21</f>
        <v>交通便捷度</v>
      </c>
      <c r="R21" s="704" t="s">
        <v>14</v>
      </c>
      <c r="S21" s="705">
        <f>F21</f>
        <v>100</v>
      </c>
      <c r="T21" s="704" t="s">
        <v>14</v>
      </c>
      <c r="U21" s="705">
        <f>H21</f>
        <v>100</v>
      </c>
      <c r="V21" s="704" t="s">
        <v>14</v>
      </c>
      <c r="W21" s="705">
        <f>J21</f>
        <v>100</v>
      </c>
      <c r="X21" s="1351"/>
      <c r="Y21" s="3795"/>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795"/>
      <c r="Q22" s="1348"/>
      <c r="R22" s="704"/>
      <c r="S22" s="705"/>
      <c r="T22" s="704"/>
      <c r="U22" s="705"/>
      <c r="V22" s="704"/>
      <c r="W22" s="705"/>
      <c r="X22" s="1351"/>
      <c r="Y22" s="3795"/>
      <c r="Z22" s="1352"/>
      <c r="AA22" s="1349">
        <v>1</v>
      </c>
      <c r="AB22" s="1349">
        <v>1</v>
      </c>
      <c r="AC22" s="1349">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95"/>
      <c r="Q23" s="1348" t="str">
        <f t="shared" ref="Q23:Q37" si="8">B23</f>
        <v>区域土地利用方向</v>
      </c>
      <c r="R23" s="704" t="s">
        <v>14</v>
      </c>
      <c r="S23" s="705">
        <f>F23</f>
        <v>100</v>
      </c>
      <c r="T23" s="704" t="s">
        <v>14</v>
      </c>
      <c r="U23" s="705">
        <f>H23</f>
        <v>100</v>
      </c>
      <c r="V23" s="704" t="s">
        <v>14</v>
      </c>
      <c r="W23" s="705">
        <f>J23</f>
        <v>100</v>
      </c>
      <c r="X23" s="1351"/>
      <c r="Y23" s="3795"/>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795"/>
      <c r="Q24" s="1348"/>
      <c r="R24" s="704"/>
      <c r="S24" s="705"/>
      <c r="T24" s="704"/>
      <c r="U24" s="705"/>
      <c r="V24" s="704"/>
      <c r="W24" s="705"/>
      <c r="X24" s="1351"/>
      <c r="Y24" s="3795"/>
      <c r="Z24" s="1352"/>
      <c r="AA24" s="1349"/>
      <c r="AB24" s="1349"/>
      <c r="AC24" s="1349"/>
    </row>
    <row r="25" spans="1:29" ht="57">
      <c r="A25" s="357"/>
      <c r="B25" s="1127"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95"/>
      <c r="Q25" s="1348" t="str">
        <f t="shared" si="8"/>
        <v>自然及人文环境状况</v>
      </c>
      <c r="R25" s="704" t="s">
        <v>14</v>
      </c>
      <c r="S25" s="705">
        <f>F25</f>
        <v>100</v>
      </c>
      <c r="T25" s="704" t="s">
        <v>14</v>
      </c>
      <c r="U25" s="705">
        <f>H25</f>
        <v>100</v>
      </c>
      <c r="V25" s="704" t="s">
        <v>14</v>
      </c>
      <c r="W25" s="705">
        <f>J25</f>
        <v>100</v>
      </c>
      <c r="X25" s="1351"/>
      <c r="Y25" s="3795"/>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95"/>
      <c r="Q26" s="1348"/>
      <c r="R26" s="704"/>
      <c r="S26" s="705"/>
      <c r="T26" s="704"/>
      <c r="U26" s="705"/>
      <c r="V26" s="704"/>
      <c r="W26" s="705"/>
      <c r="X26" s="1351"/>
      <c r="Y26" s="3795"/>
      <c r="Z26" s="1352"/>
      <c r="AA26" s="1349">
        <v>1</v>
      </c>
      <c r="AB26" s="1349">
        <v>1</v>
      </c>
      <c r="AC26" s="1349">
        <v>1</v>
      </c>
    </row>
    <row r="27" spans="1:29" s="108" customFormat="1" ht="42.75">
      <c r="A27" s="596"/>
      <c r="B27" s="1127"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95"/>
      <c r="Q27" s="1339" t="str">
        <f t="shared" si="8"/>
        <v>公共配套设施</v>
      </c>
      <c r="R27" s="700" t="s">
        <v>14</v>
      </c>
      <c r="S27" s="701">
        <f>F27</f>
        <v>100</v>
      </c>
      <c r="T27" s="700" t="s">
        <v>14</v>
      </c>
      <c r="U27" s="701">
        <f>H27</f>
        <v>100</v>
      </c>
      <c r="V27" s="700" t="s">
        <v>14</v>
      </c>
      <c r="W27" s="701">
        <f>J27</f>
        <v>100</v>
      </c>
      <c r="X27" s="702"/>
      <c r="Y27" s="3795"/>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95"/>
      <c r="Q28" s="1339"/>
      <c r="R28" s="700"/>
      <c r="S28" s="701"/>
      <c r="T28" s="700"/>
      <c r="U28" s="701"/>
      <c r="V28" s="700"/>
      <c r="W28" s="701"/>
      <c r="X28" s="702"/>
      <c r="Y28" s="3795"/>
      <c r="Z28" s="52"/>
      <c r="AA28" s="1349">
        <v>1</v>
      </c>
      <c r="AB28" s="1349">
        <v>1</v>
      </c>
      <c r="AC28" s="1349">
        <v>1</v>
      </c>
    </row>
    <row r="29" spans="1:29" s="108" customFormat="1" ht="28.5">
      <c r="A29" s="596"/>
      <c r="B29" s="1127"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95"/>
      <c r="Q29" s="1339" t="str">
        <f t="shared" ref="Q29" si="9">B29</f>
        <v>基础设施水平</v>
      </c>
      <c r="R29" s="700" t="s">
        <v>14</v>
      </c>
      <c r="S29" s="701">
        <f>F29</f>
        <v>100</v>
      </c>
      <c r="T29" s="700" t="s">
        <v>14</v>
      </c>
      <c r="U29" s="701">
        <f>H29</f>
        <v>100</v>
      </c>
      <c r="V29" s="700" t="s">
        <v>14</v>
      </c>
      <c r="W29" s="701">
        <f>J29</f>
        <v>100</v>
      </c>
      <c r="X29" s="702"/>
      <c r="Y29" s="3795"/>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95"/>
      <c r="Q30" s="1339"/>
      <c r="R30" s="700"/>
      <c r="S30" s="701"/>
      <c r="T30" s="700"/>
      <c r="U30" s="701"/>
      <c r="V30" s="700"/>
      <c r="W30" s="701"/>
      <c r="X30" s="702"/>
      <c r="Y30" s="3795"/>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95"/>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95"/>
      <c r="Z31" s="1352" t="str">
        <f t="shared" ref="Z31:Z45" si="13">Q31</f>
        <v>临街状况</v>
      </c>
      <c r="AA31" s="1349">
        <f t="shared" si="3"/>
        <v>1</v>
      </c>
      <c r="AB31" s="1349">
        <f t="shared" si="4"/>
        <v>1</v>
      </c>
      <c r="AC31" s="1349">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95"/>
      <c r="Q32" s="1348" t="str">
        <f t="shared" si="8"/>
        <v>毗邻道路的类型与等级</v>
      </c>
      <c r="R32" s="704" t="s">
        <v>14</v>
      </c>
      <c r="S32" s="705">
        <f t="shared" si="10"/>
        <v>100</v>
      </c>
      <c r="T32" s="704" t="s">
        <v>14</v>
      </c>
      <c r="U32" s="705">
        <f t="shared" si="11"/>
        <v>100</v>
      </c>
      <c r="V32" s="704" t="s">
        <v>14</v>
      </c>
      <c r="W32" s="705">
        <f t="shared" si="12"/>
        <v>100</v>
      </c>
      <c r="X32" s="1351"/>
      <c r="Y32" s="3795"/>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95"/>
      <c r="Q33" s="1348"/>
      <c r="R33" s="704"/>
      <c r="S33" s="705"/>
      <c r="T33" s="704"/>
      <c r="U33" s="705"/>
      <c r="V33" s="704"/>
      <c r="W33" s="705"/>
      <c r="X33" s="1351"/>
      <c r="Y33" s="3795"/>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95"/>
      <c r="Q34" s="1348" t="str">
        <f t="shared" si="8"/>
        <v>土地级别</v>
      </c>
      <c r="R34" s="704" t="s">
        <v>14</v>
      </c>
      <c r="S34" s="705">
        <f t="shared" si="10"/>
        <v>100</v>
      </c>
      <c r="T34" s="704" t="s">
        <v>14</v>
      </c>
      <c r="U34" s="705">
        <f t="shared" si="11"/>
        <v>100</v>
      </c>
      <c r="V34" s="704" t="s">
        <v>14</v>
      </c>
      <c r="W34" s="705">
        <f t="shared" si="12"/>
        <v>100</v>
      </c>
      <c r="X34" s="1351"/>
      <c r="Y34" s="3795"/>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95"/>
      <c r="Q35" s="1348">
        <f t="shared" si="8"/>
        <v>111</v>
      </c>
      <c r="R35" s="704" t="s">
        <v>14</v>
      </c>
      <c r="S35" s="705">
        <f t="shared" si="10"/>
        <v>100</v>
      </c>
      <c r="T35" s="704" t="s">
        <v>14</v>
      </c>
      <c r="U35" s="705">
        <f t="shared" si="11"/>
        <v>100</v>
      </c>
      <c r="V35" s="704" t="s">
        <v>14</v>
      </c>
      <c r="W35" s="705">
        <f t="shared" si="12"/>
        <v>100</v>
      </c>
      <c r="X35" s="1351"/>
      <c r="Y35" s="3795"/>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18" t="s">
        <v>1696</v>
      </c>
      <c r="Q36" s="1348">
        <f t="shared" si="8"/>
        <v>111</v>
      </c>
      <c r="R36" s="704" t="s">
        <v>14</v>
      </c>
      <c r="S36" s="705">
        <f t="shared" si="10"/>
        <v>100</v>
      </c>
      <c r="T36" s="704" t="s">
        <v>14</v>
      </c>
      <c r="U36" s="705">
        <f t="shared" si="11"/>
        <v>100</v>
      </c>
      <c r="V36" s="704" t="s">
        <v>14</v>
      </c>
      <c r="W36" s="705">
        <f t="shared" si="12"/>
        <v>100</v>
      </c>
      <c r="X36" s="1351"/>
      <c r="Y36" s="3799" t="s">
        <v>1696</v>
      </c>
      <c r="Z36" s="1352">
        <f t="shared" si="13"/>
        <v>111</v>
      </c>
      <c r="AA36" s="1349">
        <f t="shared" si="3"/>
        <v>1</v>
      </c>
      <c r="AB36" s="1349">
        <f t="shared" si="4"/>
        <v>1</v>
      </c>
      <c r="AC36" s="1349">
        <f t="shared" si="5"/>
        <v>1</v>
      </c>
    </row>
    <row r="37" spans="1:29" s="421" customFormat="1" ht="15.75" thickBot="1">
      <c r="A37" s="623"/>
      <c r="B37" s="1131">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99"/>
      <c r="Q37" s="1348">
        <f t="shared" si="8"/>
        <v>111</v>
      </c>
      <c r="R37" s="707" t="s">
        <v>14</v>
      </c>
      <c r="S37" s="708">
        <f t="shared" si="10"/>
        <v>100</v>
      </c>
      <c r="T37" s="707" t="s">
        <v>14</v>
      </c>
      <c r="U37" s="708">
        <f t="shared" si="11"/>
        <v>100</v>
      </c>
      <c r="V37" s="707" t="s">
        <v>14</v>
      </c>
      <c r="W37" s="708">
        <f t="shared" si="12"/>
        <v>100</v>
      </c>
      <c r="X37" s="709"/>
      <c r="Y37" s="3799"/>
      <c r="Z37" s="710">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99"/>
      <c r="Q38" s="1348" t="str">
        <f>B38</f>
        <v>宗地面积</v>
      </c>
      <c r="R38" s="704" t="s">
        <v>14</v>
      </c>
      <c r="S38" s="705" t="e">
        <f t="shared" si="10"/>
        <v>#N/A</v>
      </c>
      <c r="T38" s="704" t="s">
        <v>14</v>
      </c>
      <c r="U38" s="705" t="e">
        <f t="shared" si="11"/>
        <v>#N/A</v>
      </c>
      <c r="V38" s="704" t="s">
        <v>14</v>
      </c>
      <c r="W38" s="705" t="e">
        <f t="shared" si="12"/>
        <v>#N/A</v>
      </c>
      <c r="X38" s="1351"/>
      <c r="Y38" s="3799"/>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99"/>
      <c r="Q39" s="1348" t="str">
        <f t="shared" ref="Q39:Q45" si="14">B39</f>
        <v>宗地形状</v>
      </c>
      <c r="R39" s="704" t="s">
        <v>14</v>
      </c>
      <c r="S39" s="705">
        <f t="shared" si="10"/>
        <v>100</v>
      </c>
      <c r="T39" s="704" t="s">
        <v>14</v>
      </c>
      <c r="U39" s="705">
        <f t="shared" si="11"/>
        <v>100</v>
      </c>
      <c r="V39" s="704" t="s">
        <v>14</v>
      </c>
      <c r="W39" s="705">
        <f t="shared" si="12"/>
        <v>100</v>
      </c>
      <c r="X39" s="1351"/>
      <c r="Y39" s="3799"/>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99"/>
      <c r="Q40" s="1348" t="str">
        <f t="shared" si="14"/>
        <v>临街宽度及深度</v>
      </c>
      <c r="R40" s="704" t="s">
        <v>14</v>
      </c>
      <c r="S40" s="705">
        <f t="shared" si="10"/>
        <v>100</v>
      </c>
      <c r="T40" s="704" t="s">
        <v>14</v>
      </c>
      <c r="U40" s="705">
        <f t="shared" si="11"/>
        <v>100</v>
      </c>
      <c r="V40" s="704" t="s">
        <v>14</v>
      </c>
      <c r="W40" s="705">
        <f t="shared" si="12"/>
        <v>100</v>
      </c>
      <c r="X40" s="1351"/>
      <c r="Y40" s="3799"/>
      <c r="Z40" s="1352" t="str">
        <f t="shared" si="13"/>
        <v>临街宽度及深度</v>
      </c>
      <c r="AA40" s="1349">
        <f t="shared" si="3"/>
        <v>1</v>
      </c>
      <c r="AB40" s="1349">
        <f t="shared" si="4"/>
        <v>1</v>
      </c>
      <c r="AC40" s="1349">
        <f t="shared" si="5"/>
        <v>1</v>
      </c>
    </row>
    <row r="41" spans="1:29" s="108" customFormat="1" ht="15">
      <c r="A41" s="423"/>
      <c r="B41" s="374" t="s">
        <v>1877</v>
      </c>
      <c r="C41" s="1976"/>
      <c r="D41" s="127">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99"/>
      <c r="Q41" s="1348" t="str">
        <f t="shared" si="14"/>
        <v>宗地开发程度</v>
      </c>
      <c r="R41" s="700" t="s">
        <v>14</v>
      </c>
      <c r="S41" s="701">
        <f t="shared" si="10"/>
        <v>100</v>
      </c>
      <c r="T41" s="700" t="s">
        <v>14</v>
      </c>
      <c r="U41" s="701">
        <f t="shared" si="11"/>
        <v>100</v>
      </c>
      <c r="V41" s="700" t="s">
        <v>14</v>
      </c>
      <c r="W41" s="701">
        <f t="shared" si="12"/>
        <v>100</v>
      </c>
      <c r="X41" s="702"/>
      <c r="Y41" s="3799"/>
      <c r="Z41" s="52" t="str">
        <f t="shared" si="13"/>
        <v>宗地开发程度</v>
      </c>
      <c r="AA41" s="703">
        <f t="shared" si="3"/>
        <v>1</v>
      </c>
      <c r="AB41" s="703">
        <f t="shared" si="4"/>
        <v>1</v>
      </c>
      <c r="AC41" s="703">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99" t="s">
        <v>1696</v>
      </c>
      <c r="Q42" s="1348" t="str">
        <f t="shared" si="14"/>
        <v>工程地质条件</v>
      </c>
      <c r="R42" s="704" t="s">
        <v>14</v>
      </c>
      <c r="S42" s="705">
        <f t="shared" si="10"/>
        <v>100</v>
      </c>
      <c r="T42" s="704" t="s">
        <v>14</v>
      </c>
      <c r="U42" s="705">
        <f t="shared" si="11"/>
        <v>100</v>
      </c>
      <c r="V42" s="704" t="s">
        <v>14</v>
      </c>
      <c r="W42" s="705">
        <f t="shared" si="12"/>
        <v>100</v>
      </c>
      <c r="X42" s="1351"/>
      <c r="Y42" s="3799" t="s">
        <v>1696</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99"/>
      <c r="Q43" s="1348">
        <f t="shared" si="14"/>
        <v>111</v>
      </c>
      <c r="R43" s="704" t="s">
        <v>14</v>
      </c>
      <c r="S43" s="705">
        <f t="shared" si="10"/>
        <v>100</v>
      </c>
      <c r="T43" s="704" t="s">
        <v>14</v>
      </c>
      <c r="U43" s="705">
        <f t="shared" si="11"/>
        <v>100</v>
      </c>
      <c r="V43" s="704" t="s">
        <v>14</v>
      </c>
      <c r="W43" s="705">
        <f t="shared" si="12"/>
        <v>100</v>
      </c>
      <c r="X43" s="1351"/>
      <c r="Y43" s="3799"/>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99"/>
      <c r="Q44" s="1348">
        <f t="shared" si="14"/>
        <v>111</v>
      </c>
      <c r="R44" s="704" t="s">
        <v>14</v>
      </c>
      <c r="S44" s="705">
        <f t="shared" si="10"/>
        <v>100</v>
      </c>
      <c r="T44" s="704" t="s">
        <v>14</v>
      </c>
      <c r="U44" s="705">
        <f t="shared" si="11"/>
        <v>100</v>
      </c>
      <c r="V44" s="704" t="s">
        <v>14</v>
      </c>
      <c r="W44" s="705">
        <f t="shared" si="12"/>
        <v>100</v>
      </c>
      <c r="X44" s="1351"/>
      <c r="Y44" s="3799"/>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99"/>
      <c r="Q45" s="1348">
        <f t="shared" si="14"/>
        <v>111</v>
      </c>
      <c r="R45" s="707" t="s">
        <v>14</v>
      </c>
      <c r="S45" s="708">
        <f t="shared" si="10"/>
        <v>100</v>
      </c>
      <c r="T45" s="707" t="s">
        <v>14</v>
      </c>
      <c r="U45" s="708">
        <f t="shared" si="11"/>
        <v>100</v>
      </c>
      <c r="V45" s="707" t="s">
        <v>14</v>
      </c>
      <c r="W45" s="708">
        <f t="shared" si="12"/>
        <v>100</v>
      </c>
      <c r="X45" s="709"/>
      <c r="Y45" s="3799"/>
      <c r="Z45" s="710">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3"/>
      <c r="L46" s="2720"/>
      <c r="M46" s="2721"/>
      <c r="N46" s="2712"/>
      <c r="O46" s="2721"/>
      <c r="P46" s="3792" t="str">
        <f>A46</f>
        <v>成交单价</v>
      </c>
      <c r="Q46" s="3792"/>
      <c r="R46" s="3787">
        <f>E46</f>
        <v>0</v>
      </c>
      <c r="S46" s="3787"/>
      <c r="T46" s="3787">
        <f>G46</f>
        <v>0</v>
      </c>
      <c r="U46" s="3787"/>
      <c r="V46" s="3787">
        <f>I46</f>
        <v>0</v>
      </c>
      <c r="W46" s="3787"/>
      <c r="X46" s="689"/>
      <c r="Y46" s="711"/>
      <c r="Z46" s="689"/>
      <c r="AA46" s="689"/>
      <c r="AB46" s="689"/>
      <c r="AC46" s="689"/>
    </row>
    <row r="47" spans="1:29" ht="15.75" thickBot="1">
      <c r="A47" s="436" t="s">
        <v>1793</v>
      </c>
      <c r="B47" s="630"/>
      <c r="C47" s="439" t="e">
        <f>R48</f>
        <v>#DIV/0!</v>
      </c>
      <c r="D47" s="2313" t="s">
        <v>2138</v>
      </c>
      <c r="E47" s="439" t="e">
        <f>R47</f>
        <v>#DIV/0!</v>
      </c>
      <c r="F47" s="2314"/>
      <c r="G47" s="438" t="e">
        <f>T47</f>
        <v>#DIV/0!</v>
      </c>
      <c r="H47" s="2314"/>
      <c r="I47" s="439" t="e">
        <f>V47</f>
        <v>#DIV/0!</v>
      </c>
      <c r="J47" s="2314"/>
      <c r="K47" s="2316">
        <f>F47+H47+J47</f>
        <v>0</v>
      </c>
      <c r="L47" s="2720"/>
      <c r="M47" s="2721"/>
      <c r="N47" s="2721"/>
      <c r="O47" s="2721"/>
      <c r="P47" s="3792" t="str">
        <f>A47</f>
        <v>比较价值（元/平方米）</v>
      </c>
      <c r="Q47" s="3792"/>
      <c r="R47" s="3820" t="e">
        <f>ROUND(PRODUCT(R46,AA7:AA45),0)</f>
        <v>#DIV/0!</v>
      </c>
      <c r="S47" s="3820"/>
      <c r="T47" s="3820" t="e">
        <f>ROUND(PRODUCT(T46,AB7:AB45),0)</f>
        <v>#DIV/0!</v>
      </c>
      <c r="U47" s="3820"/>
      <c r="V47" s="3820" t="e">
        <f>ROUND(PRODUCT(V46,AC7:AC45),0)</f>
        <v>#DIV/0!</v>
      </c>
      <c r="W47" s="382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0"/>
      <c r="M48" s="2721"/>
      <c r="N48" s="2721"/>
      <c r="O48" s="2721"/>
      <c r="P48" s="3789" t="str">
        <f>A48</f>
        <v>估价对象XX用房的比较价值（楼面单价，元/平方米）</v>
      </c>
      <c r="Q48" s="3790"/>
      <c r="R48" s="3821" t="e">
        <f>ROUND(IF(D47="简单平均",AVERAGE(R47:W47),R47*F47+T47*H47+V47*J47),0)</f>
        <v>#DIV/0!</v>
      </c>
      <c r="S48" s="3821"/>
      <c r="T48" s="3821"/>
      <c r="U48" s="3821"/>
      <c r="V48" s="3821"/>
      <c r="W48" s="3821"/>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6" t="s">
        <v>1886</v>
      </c>
      <c r="G55" s="3775" t="s">
        <v>1887</v>
      </c>
      <c r="H55" s="382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0">
        <v>1</v>
      </c>
      <c r="E56" s="637">
        <f>'数据-汇总表'!E8+'数据-汇总表'!E9</f>
        <v>50193.57</v>
      </c>
      <c r="F56" s="882" t="e">
        <f t="shared" ref="F56:F64" si="15">ROUND(B56*E56/10000,0)</f>
        <v>#DIV/0!</v>
      </c>
      <c r="G56" s="3774"/>
      <c r="H56" s="379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1">
        <f t="shared" ref="C57:C64" si="16">IF($C$55="北京市系数",I57,J57)</f>
        <v>0.6</v>
      </c>
      <c r="D57" s="941">
        <v>0.25</v>
      </c>
      <c r="E57" s="641"/>
      <c r="F57" s="882" t="e">
        <f t="shared" si="15"/>
        <v>#DIV/0!</v>
      </c>
      <c r="G57" s="3002" t="s">
        <v>1892</v>
      </c>
      <c r="H57" s="883" t="str">
        <f>项目基本情况!B37</f>
        <v>四级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1">
        <f t="shared" si="16"/>
        <v>0.3</v>
      </c>
      <c r="D58" s="941">
        <v>0.25</v>
      </c>
      <c r="E58" s="641"/>
      <c r="F58" s="882" t="e">
        <f t="shared" si="15"/>
        <v>#DIV/0!</v>
      </c>
      <c r="G58" s="3003"/>
      <c r="H58" s="883" t="str">
        <f>项目基本情况!B37</f>
        <v>四级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1">
        <f t="shared" si="16"/>
        <v>0.25</v>
      </c>
      <c r="D59" s="941">
        <v>0.25</v>
      </c>
      <c r="E59" s="641"/>
      <c r="F59" s="882" t="e">
        <f t="shared" si="15"/>
        <v>#DIV/0!</v>
      </c>
      <c r="G59" s="3003"/>
      <c r="H59" s="883" t="str">
        <f>项目基本情况!B37</f>
        <v>四级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1">
        <f t="shared" si="16"/>
        <v>0</v>
      </c>
      <c r="D60" s="941">
        <v>0.25</v>
      </c>
      <c r="E60" s="216">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1">
        <f t="shared" si="16"/>
        <v>0</v>
      </c>
      <c r="D61" s="941">
        <v>0.25</v>
      </c>
      <c r="E61" s="216">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1">
        <f t="shared" si="16"/>
        <v>0</v>
      </c>
      <c r="D62" s="941">
        <v>0.25</v>
      </c>
      <c r="E62" s="216">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1">
        <f t="shared" si="16"/>
        <v>0.15</v>
      </c>
      <c r="D63" s="941">
        <v>0.25</v>
      </c>
      <c r="E63" s="216">
        <f>'数据-汇总表'!E14</f>
        <v>2580.219999999998</v>
      </c>
      <c r="F63" s="882" t="e">
        <f t="shared" si="15"/>
        <v>#DIV/0!</v>
      </c>
      <c r="G63" s="1983" t="s">
        <v>1892</v>
      </c>
      <c r="H63" s="883" t="str">
        <f>项目基本情况!B37</f>
        <v>四级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1">
        <f t="shared" si="16"/>
        <v>0</v>
      </c>
      <c r="D64" s="941">
        <v>0.25</v>
      </c>
      <c r="E64" s="216">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52773.79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4" t="s">
        <v>1769</v>
      </c>
      <c r="B4" s="355"/>
      <c r="C4" s="3775" t="s">
        <v>1770</v>
      </c>
      <c r="D4" s="3776"/>
      <c r="E4" s="3777" t="s">
        <v>1771</v>
      </c>
      <c r="F4" s="3778"/>
      <c r="G4" s="3775" t="s">
        <v>1772</v>
      </c>
      <c r="H4" s="3776"/>
      <c r="I4" s="3775" t="s">
        <v>1773</v>
      </c>
      <c r="J4" s="3776"/>
      <c r="K4" s="558" t="s">
        <v>1774</v>
      </c>
      <c r="L4" s="2711"/>
      <c r="M4" s="2712"/>
      <c r="N4" s="2712"/>
      <c r="O4" s="2712"/>
      <c r="P4" s="3779" t="s">
        <v>1775</v>
      </c>
      <c r="Q4" s="3780"/>
      <c r="R4" s="3762" t="s">
        <v>1771</v>
      </c>
      <c r="S4" s="3763"/>
      <c r="T4" s="3762" t="s">
        <v>1772</v>
      </c>
      <c r="U4" s="3763"/>
      <c r="V4" s="3787" t="s">
        <v>1773</v>
      </c>
      <c r="W4" s="3787"/>
      <c r="X4" s="1351"/>
      <c r="Y4" s="3762" t="s">
        <v>1775</v>
      </c>
      <c r="Z4" s="3763"/>
      <c r="AA4" s="3757" t="s">
        <v>1771</v>
      </c>
      <c r="AB4" s="3758" t="s">
        <v>1772</v>
      </c>
      <c r="AC4" s="3757" t="s">
        <v>1773</v>
      </c>
    </row>
    <row r="5" spans="1:29" ht="15">
      <c r="A5" s="357"/>
      <c r="B5" s="358"/>
      <c r="C5" s="3768" t="s">
        <v>1673</v>
      </c>
      <c r="D5" s="3769"/>
      <c r="E5" s="3766" t="s">
        <v>1674</v>
      </c>
      <c r="F5" s="3767"/>
      <c r="G5" s="3768" t="s">
        <v>1675</v>
      </c>
      <c r="H5" s="3769"/>
      <c r="I5" s="3768" t="s">
        <v>1676</v>
      </c>
      <c r="J5" s="3769"/>
      <c r="K5" s="558"/>
      <c r="L5" s="2711"/>
      <c r="M5" s="2712"/>
      <c r="N5" s="2712"/>
      <c r="O5" s="2712"/>
      <c r="P5" s="3781"/>
      <c r="Q5" s="3782"/>
      <c r="R5" s="3764"/>
      <c r="S5" s="3765"/>
      <c r="T5" s="3764"/>
      <c r="U5" s="3765"/>
      <c r="V5" s="3787"/>
      <c r="W5" s="3787"/>
      <c r="X5" s="1351"/>
      <c r="Y5" s="3764"/>
      <c r="Z5" s="3765"/>
      <c r="AA5" s="3758"/>
      <c r="AB5" s="3758"/>
      <c r="AC5" s="3758"/>
    </row>
    <row r="6" spans="1:29" ht="15.75" thickBot="1">
      <c r="A6" s="359"/>
      <c r="B6" s="360"/>
      <c r="C6" s="3823" t="s">
        <v>1919</v>
      </c>
      <c r="D6" s="3824"/>
      <c r="E6" s="3825" t="s">
        <v>1919</v>
      </c>
      <c r="F6" s="3826"/>
      <c r="G6" s="3823" t="s">
        <v>1919</v>
      </c>
      <c r="H6" s="3824"/>
      <c r="I6" s="3823" t="s">
        <v>1919</v>
      </c>
      <c r="J6" s="3824"/>
      <c r="K6" s="558" t="s">
        <v>1678</v>
      </c>
      <c r="L6" s="2711"/>
      <c r="M6" s="2712"/>
      <c r="N6" s="2712"/>
      <c r="O6" s="2712"/>
      <c r="P6" s="3783"/>
      <c r="Q6" s="3784"/>
      <c r="R6" s="3764"/>
      <c r="S6" s="3765"/>
      <c r="T6" s="3785"/>
      <c r="U6" s="3786"/>
      <c r="V6" s="3787"/>
      <c r="W6" s="3787"/>
      <c r="X6" s="1351"/>
      <c r="Y6" s="3785"/>
      <c r="Z6" s="3786"/>
      <c r="AA6" s="3759"/>
      <c r="AB6" s="3759"/>
      <c r="AC6" s="3759"/>
    </row>
    <row r="7" spans="1:29" s="108" customFormat="1" ht="15.75" thickBot="1">
      <c r="A7" s="361" t="s">
        <v>1679</v>
      </c>
      <c r="B7" s="362"/>
      <c r="C7" s="363">
        <f>'数据-取费表'!B2</f>
        <v>45005</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60" t="s">
        <v>1680</v>
      </c>
      <c r="Q7" s="3788"/>
      <c r="R7" s="700" t="s">
        <v>14</v>
      </c>
      <c r="S7" s="701">
        <f t="shared" ref="S7:S15" si="0">F7</f>
        <v>0</v>
      </c>
      <c r="T7" s="700" t="s">
        <v>14</v>
      </c>
      <c r="U7" s="701">
        <f t="shared" ref="U7:U15" si="1">H7</f>
        <v>0</v>
      </c>
      <c r="V7" s="700" t="s">
        <v>14</v>
      </c>
      <c r="W7" s="701">
        <f t="shared" ref="W7:W15" si="2">J7</f>
        <v>0</v>
      </c>
      <c r="X7" s="702"/>
      <c r="Y7" s="3760" t="s">
        <v>1680</v>
      </c>
      <c r="Z7" s="3761"/>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60" t="s">
        <v>1683</v>
      </c>
      <c r="Q8" s="3761"/>
      <c r="R8" s="700" t="s">
        <v>14</v>
      </c>
      <c r="S8" s="701">
        <f t="shared" si="0"/>
        <v>0</v>
      </c>
      <c r="T8" s="700" t="s">
        <v>14</v>
      </c>
      <c r="U8" s="701">
        <f t="shared" si="1"/>
        <v>0</v>
      </c>
      <c r="V8" s="700" t="s">
        <v>14</v>
      </c>
      <c r="W8" s="701">
        <f t="shared" si="2"/>
        <v>0</v>
      </c>
      <c r="X8" s="702"/>
      <c r="Y8" s="3760" t="s">
        <v>1683</v>
      </c>
      <c r="Z8" s="3761"/>
      <c r="AA8" s="703" t="e">
        <f t="shared" ref="AA8:AA40" si="3">D8/F8</f>
        <v>#DIV/0!</v>
      </c>
      <c r="AB8" s="703" t="e">
        <f t="shared" ref="AB8:AB40" si="4">D8/H8</f>
        <v>#DIV/0!</v>
      </c>
      <c r="AC8" s="703" t="e">
        <f t="shared" ref="AC8:AC40" si="5">D8/J8</f>
        <v>#DIV/0!</v>
      </c>
    </row>
    <row r="9" spans="1:29" s="108" customFormat="1">
      <c r="A9" s="368" t="s">
        <v>1684</v>
      </c>
      <c r="B9" s="63" t="s">
        <v>1685</v>
      </c>
      <c r="C9" s="1973"/>
      <c r="D9" s="126">
        <v>100</v>
      </c>
      <c r="E9" s="1973"/>
      <c r="F9" s="126">
        <f>SUMIF(70:70,E9,71:71)-SUMIF(70:70,C9,71:71)+100</f>
        <v>100</v>
      </c>
      <c r="G9" s="1973"/>
      <c r="H9" s="126">
        <f>SUMIF(70:70,G9,71:71)-SUMIF(70:70,C9,71:71)+100</f>
        <v>100</v>
      </c>
      <c r="I9" s="1973"/>
      <c r="J9" s="126">
        <f>SUMIF(70:70,I9,71:71)-SUMIF(70:70,C9,71:71)+100</f>
        <v>100</v>
      </c>
      <c r="K9" s="559"/>
      <c r="L9" s="2713"/>
      <c r="M9" s="2714"/>
      <c r="N9" s="2714"/>
      <c r="O9" s="2768"/>
      <c r="P9" s="3792" t="s">
        <v>1686</v>
      </c>
      <c r="Q9" s="1339"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7" customFormat="1" ht="27">
      <c r="A10" s="373"/>
      <c r="B10" s="374" t="s">
        <v>1688</v>
      </c>
      <c r="C10" s="382"/>
      <c r="D10" s="127">
        <v>100</v>
      </c>
      <c r="E10" s="382"/>
      <c r="F10" s="127">
        <f>ROUND(100/'数据-取费表'!G16,0)</f>
        <v>124</v>
      </c>
      <c r="G10" s="382"/>
      <c r="H10" s="127">
        <f>ROUND(100/'数据-取费表'!G16,0)</f>
        <v>124</v>
      </c>
      <c r="I10" s="382"/>
      <c r="J10" s="127">
        <f>ROUND(100/'数据-取费表'!G16,0)</f>
        <v>124</v>
      </c>
      <c r="K10" s="619"/>
      <c r="L10" s="2715"/>
      <c r="M10" s="2716"/>
      <c r="N10" s="2716"/>
      <c r="O10" s="2769"/>
      <c r="P10" s="3792"/>
      <c r="Q10" s="1339" t="str">
        <f t="shared" si="6"/>
        <v>土地使用年限（年）</v>
      </c>
      <c r="R10" s="700" t="s">
        <v>14</v>
      </c>
      <c r="S10" s="701">
        <f t="shared" si="0"/>
        <v>124</v>
      </c>
      <c r="T10" s="700" t="s">
        <v>14</v>
      </c>
      <c r="U10" s="701">
        <f t="shared" si="1"/>
        <v>124</v>
      </c>
      <c r="V10" s="700" t="s">
        <v>14</v>
      </c>
      <c r="W10" s="701">
        <f t="shared" si="2"/>
        <v>124</v>
      </c>
      <c r="X10" s="702"/>
      <c r="Y10" s="3709"/>
      <c r="Z10" s="52" t="str">
        <f t="shared" si="7"/>
        <v>土地使用年限（年）</v>
      </c>
      <c r="AA10" s="703">
        <f t="shared" si="3"/>
        <v>0.80645161290322576</v>
      </c>
      <c r="AB10" s="703">
        <f t="shared" si="4"/>
        <v>0.80645161290322576</v>
      </c>
      <c r="AC10" s="703">
        <f t="shared" si="5"/>
        <v>0.80645161290322576</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17"/>
      <c r="M11" s="2712"/>
      <c r="N11" s="2712"/>
      <c r="O11" s="2770"/>
      <c r="P11" s="3792"/>
      <c r="Q11" s="1339"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1"/>
      <c r="B12" s="1889">
        <v>111</v>
      </c>
      <c r="C12" s="382"/>
      <c r="D12" s="383">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792"/>
      <c r="Q12" s="1339">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8"/>
      <c r="B13" s="1889">
        <v>111</v>
      </c>
      <c r="C13" s="384"/>
      <c r="D13" s="385">
        <v>100</v>
      </c>
      <c r="E13" s="497"/>
      <c r="F13" s="127">
        <f>SUMIF(79:79,E13,80:80)-SUMIF(79:79,C13,80:80)+100</f>
        <v>100</v>
      </c>
      <c r="G13" s="621"/>
      <c r="H13" s="385">
        <f>SUMIF(79:79,G13,80:80)-SUMIF(79:79,C13,80:80)+100</f>
        <v>100</v>
      </c>
      <c r="I13" s="497"/>
      <c r="J13" s="385">
        <f>SUMIF(79:79,I13,80:80)-SUMIF(79:79,C13,80:80)+100</f>
        <v>100</v>
      </c>
      <c r="K13" s="619"/>
      <c r="L13" s="2718"/>
      <c r="M13" s="2712"/>
      <c r="N13" s="2712"/>
      <c r="O13" s="2770"/>
      <c r="P13" s="3792"/>
      <c r="Q13" s="1339">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92"/>
      <c r="Q14" s="1339">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94" t="s">
        <v>1691</v>
      </c>
      <c r="Q15" s="1348" t="str">
        <f t="shared" si="6"/>
        <v>产业集聚程度</v>
      </c>
      <c r="R15" s="704" t="s">
        <v>14</v>
      </c>
      <c r="S15" s="705">
        <f t="shared" si="0"/>
        <v>100</v>
      </c>
      <c r="T15" s="704" t="s">
        <v>14</v>
      </c>
      <c r="U15" s="705">
        <f t="shared" si="1"/>
        <v>100</v>
      </c>
      <c r="V15" s="704" t="s">
        <v>14</v>
      </c>
      <c r="W15" s="705">
        <f t="shared" si="2"/>
        <v>100</v>
      </c>
      <c r="X15" s="1351"/>
      <c r="Y15" s="3794"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95"/>
      <c r="Q16" s="1348"/>
      <c r="R16" s="704"/>
      <c r="S16" s="705"/>
      <c r="T16" s="704"/>
      <c r="U16" s="705"/>
      <c r="V16" s="704"/>
      <c r="W16" s="705"/>
      <c r="X16" s="1351"/>
      <c r="Y16" s="3795"/>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95"/>
      <c r="Q17" s="1348" t="str">
        <f>B17</f>
        <v>交通便捷度</v>
      </c>
      <c r="R17" s="704" t="s">
        <v>14</v>
      </c>
      <c r="S17" s="705">
        <f>F17</f>
        <v>100</v>
      </c>
      <c r="T17" s="704" t="s">
        <v>14</v>
      </c>
      <c r="U17" s="705">
        <f>H17</f>
        <v>100</v>
      </c>
      <c r="V17" s="704" t="s">
        <v>14</v>
      </c>
      <c r="W17" s="705">
        <f>J17</f>
        <v>100</v>
      </c>
      <c r="X17" s="1351"/>
      <c r="Y17" s="3795"/>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95"/>
      <c r="Q18" s="1348"/>
      <c r="R18" s="704"/>
      <c r="S18" s="705"/>
      <c r="T18" s="704"/>
      <c r="U18" s="705"/>
      <c r="V18" s="704"/>
      <c r="W18" s="705"/>
      <c r="X18" s="1351"/>
      <c r="Y18" s="3795"/>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95"/>
      <c r="Q19" s="1348" t="str">
        <f t="shared" ref="Q19:Q33" si="8">B19</f>
        <v>区域土地利用方向</v>
      </c>
      <c r="R19" s="704" t="s">
        <v>14</v>
      </c>
      <c r="S19" s="705">
        <f>F19</f>
        <v>100</v>
      </c>
      <c r="T19" s="704" t="s">
        <v>14</v>
      </c>
      <c r="U19" s="705">
        <f>H19</f>
        <v>100</v>
      </c>
      <c r="V19" s="704" t="s">
        <v>14</v>
      </c>
      <c r="W19" s="705">
        <f>J19</f>
        <v>100</v>
      </c>
      <c r="X19" s="1351"/>
      <c r="Y19" s="3795"/>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795"/>
      <c r="Q20" s="1348"/>
      <c r="R20" s="704"/>
      <c r="S20" s="705"/>
      <c r="T20" s="704"/>
      <c r="U20" s="705"/>
      <c r="V20" s="704"/>
      <c r="W20" s="705"/>
      <c r="X20" s="1351"/>
      <c r="Y20" s="3795"/>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95"/>
      <c r="Q21" s="1348" t="str">
        <f t="shared" si="8"/>
        <v>环境状况</v>
      </c>
      <c r="R21" s="704" t="s">
        <v>14</v>
      </c>
      <c r="S21" s="705">
        <f>F21</f>
        <v>100</v>
      </c>
      <c r="T21" s="704" t="s">
        <v>14</v>
      </c>
      <c r="U21" s="705">
        <f>H21</f>
        <v>100</v>
      </c>
      <c r="V21" s="704" t="s">
        <v>14</v>
      </c>
      <c r="W21" s="705">
        <f>J21</f>
        <v>100</v>
      </c>
      <c r="X21" s="1351"/>
      <c r="Y21" s="3795"/>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95"/>
      <c r="Q22" s="1348"/>
      <c r="R22" s="704"/>
      <c r="S22" s="705"/>
      <c r="T22" s="704"/>
      <c r="U22" s="705"/>
      <c r="V22" s="704"/>
      <c r="W22" s="705"/>
      <c r="X22" s="1351"/>
      <c r="Y22" s="3795"/>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95"/>
      <c r="Q23" s="1339" t="str">
        <f t="shared" si="8"/>
        <v>公共配套设施</v>
      </c>
      <c r="R23" s="700" t="s">
        <v>14</v>
      </c>
      <c r="S23" s="701">
        <f>F23</f>
        <v>100</v>
      </c>
      <c r="T23" s="700" t="s">
        <v>14</v>
      </c>
      <c r="U23" s="701">
        <f>H23</f>
        <v>100</v>
      </c>
      <c r="V23" s="700" t="s">
        <v>14</v>
      </c>
      <c r="W23" s="701">
        <f>J23</f>
        <v>100</v>
      </c>
      <c r="X23" s="702"/>
      <c r="Y23" s="3795"/>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95"/>
      <c r="Q24" s="1339"/>
      <c r="R24" s="700"/>
      <c r="S24" s="701"/>
      <c r="T24" s="700"/>
      <c r="U24" s="701"/>
      <c r="V24" s="700"/>
      <c r="W24" s="701"/>
      <c r="X24" s="702"/>
      <c r="Y24" s="3795"/>
      <c r="Z24" s="52"/>
      <c r="AA24" s="703">
        <v>1</v>
      </c>
      <c r="AB24" s="703">
        <v>1</v>
      </c>
      <c r="AC24" s="703">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95"/>
      <c r="Q25" s="1339" t="str">
        <f t="shared" ref="Q25" si="9">B25</f>
        <v>基础设施水平</v>
      </c>
      <c r="R25" s="700" t="s">
        <v>14</v>
      </c>
      <c r="S25" s="701">
        <f>F25</f>
        <v>100</v>
      </c>
      <c r="T25" s="700" t="s">
        <v>14</v>
      </c>
      <c r="U25" s="701">
        <f>H25</f>
        <v>100</v>
      </c>
      <c r="V25" s="700" t="s">
        <v>14</v>
      </c>
      <c r="W25" s="701">
        <f>J25</f>
        <v>100</v>
      </c>
      <c r="X25" s="702"/>
      <c r="Y25" s="3795"/>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95"/>
      <c r="Q26" s="1339"/>
      <c r="R26" s="700"/>
      <c r="S26" s="701"/>
      <c r="T26" s="700"/>
      <c r="U26" s="701"/>
      <c r="V26" s="700"/>
      <c r="W26" s="701"/>
      <c r="X26" s="702"/>
      <c r="Y26" s="379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95"/>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95"/>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95"/>
      <c r="Q28" s="1348" t="str">
        <f t="shared" si="8"/>
        <v>毗邻道路的类型与等级</v>
      </c>
      <c r="R28" s="704" t="s">
        <v>14</v>
      </c>
      <c r="S28" s="705">
        <f t="shared" si="10"/>
        <v>100</v>
      </c>
      <c r="T28" s="704" t="s">
        <v>14</v>
      </c>
      <c r="U28" s="705">
        <f t="shared" si="11"/>
        <v>100</v>
      </c>
      <c r="V28" s="704" t="s">
        <v>14</v>
      </c>
      <c r="W28" s="705">
        <f t="shared" si="12"/>
        <v>100</v>
      </c>
      <c r="X28" s="1351"/>
      <c r="Y28" s="3795"/>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95"/>
      <c r="Q29" s="1348"/>
      <c r="R29" s="704"/>
      <c r="S29" s="705"/>
      <c r="T29" s="704"/>
      <c r="U29" s="705"/>
      <c r="V29" s="704"/>
      <c r="W29" s="705"/>
      <c r="X29" s="1351"/>
      <c r="Y29" s="3795"/>
      <c r="Z29" s="1352"/>
      <c r="AA29" s="1349">
        <v>1</v>
      </c>
      <c r="AB29" s="1349">
        <v>1</v>
      </c>
      <c r="AC29" s="1349">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95"/>
      <c r="Q30" s="1348" t="str">
        <f t="shared" si="8"/>
        <v>土地级别</v>
      </c>
      <c r="R30" s="704" t="s">
        <v>14</v>
      </c>
      <c r="S30" s="705">
        <f t="shared" si="10"/>
        <v>100</v>
      </c>
      <c r="T30" s="704" t="s">
        <v>14</v>
      </c>
      <c r="U30" s="705">
        <f t="shared" si="11"/>
        <v>100</v>
      </c>
      <c r="V30" s="704" t="s">
        <v>14</v>
      </c>
      <c r="W30" s="705">
        <f t="shared" si="12"/>
        <v>100</v>
      </c>
      <c r="X30" s="1351"/>
      <c r="Y30" s="3795"/>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95"/>
      <c r="Q31" s="1348">
        <f t="shared" si="8"/>
        <v>111</v>
      </c>
      <c r="R31" s="704" t="s">
        <v>14</v>
      </c>
      <c r="S31" s="705">
        <f t="shared" si="10"/>
        <v>100</v>
      </c>
      <c r="T31" s="704" t="s">
        <v>14</v>
      </c>
      <c r="U31" s="705">
        <f t="shared" si="11"/>
        <v>100</v>
      </c>
      <c r="V31" s="704" t="s">
        <v>14</v>
      </c>
      <c r="W31" s="705">
        <f t="shared" si="12"/>
        <v>100</v>
      </c>
      <c r="X31" s="1351"/>
      <c r="Y31" s="3795"/>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18" t="s">
        <v>1696</v>
      </c>
      <c r="Q32" s="1348">
        <f t="shared" si="8"/>
        <v>111</v>
      </c>
      <c r="R32" s="704" t="s">
        <v>14</v>
      </c>
      <c r="S32" s="705">
        <f t="shared" si="10"/>
        <v>100</v>
      </c>
      <c r="T32" s="704" t="s">
        <v>14</v>
      </c>
      <c r="U32" s="705">
        <f t="shared" si="11"/>
        <v>100</v>
      </c>
      <c r="V32" s="704" t="s">
        <v>14</v>
      </c>
      <c r="W32" s="705">
        <f t="shared" si="12"/>
        <v>100</v>
      </c>
      <c r="X32" s="1351"/>
      <c r="Y32" s="3799" t="s">
        <v>1696</v>
      </c>
      <c r="Z32" s="1352">
        <f t="shared" si="13"/>
        <v>111</v>
      </c>
      <c r="AA32" s="1349">
        <f t="shared" si="3"/>
        <v>1</v>
      </c>
      <c r="AB32" s="1349">
        <f t="shared" si="4"/>
        <v>1</v>
      </c>
      <c r="AC32" s="1349">
        <f t="shared" si="5"/>
        <v>1</v>
      </c>
    </row>
    <row r="33" spans="1:31" s="421" customFormat="1" ht="15.75" thickBot="1">
      <c r="A33" s="623"/>
      <c r="B33" s="1989">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99"/>
      <c r="Q33" s="1348">
        <f t="shared" si="8"/>
        <v>111</v>
      </c>
      <c r="R33" s="707" t="s">
        <v>14</v>
      </c>
      <c r="S33" s="708">
        <f t="shared" si="10"/>
        <v>100</v>
      </c>
      <c r="T33" s="707" t="s">
        <v>14</v>
      </c>
      <c r="U33" s="708">
        <f t="shared" si="11"/>
        <v>100</v>
      </c>
      <c r="V33" s="707" t="s">
        <v>14</v>
      </c>
      <c r="W33" s="708">
        <f t="shared" si="12"/>
        <v>100</v>
      </c>
      <c r="X33" s="709"/>
      <c r="Y33" s="3799"/>
      <c r="Z33" s="710">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99"/>
      <c r="Q34" s="1348" t="str">
        <f>B34</f>
        <v>宗地面积</v>
      </c>
      <c r="R34" s="704" t="s">
        <v>14</v>
      </c>
      <c r="S34" s="705" t="e">
        <f t="shared" si="10"/>
        <v>#N/A</v>
      </c>
      <c r="T34" s="704" t="s">
        <v>14</v>
      </c>
      <c r="U34" s="705" t="e">
        <f t="shared" si="11"/>
        <v>#N/A</v>
      </c>
      <c r="V34" s="704" t="s">
        <v>14</v>
      </c>
      <c r="W34" s="705" t="e">
        <f t="shared" si="12"/>
        <v>#N/A</v>
      </c>
      <c r="X34" s="1351"/>
      <c r="Y34" s="3799"/>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99"/>
      <c r="Q35" s="1348" t="str">
        <f t="shared" ref="Q35:Q40" si="14">B35</f>
        <v>宗地形状</v>
      </c>
      <c r="R35" s="704" t="s">
        <v>14</v>
      </c>
      <c r="S35" s="705">
        <f t="shared" si="10"/>
        <v>100</v>
      </c>
      <c r="T35" s="704" t="s">
        <v>14</v>
      </c>
      <c r="U35" s="705">
        <f t="shared" si="11"/>
        <v>100</v>
      </c>
      <c r="V35" s="704" t="s">
        <v>14</v>
      </c>
      <c r="W35" s="705">
        <f t="shared" si="12"/>
        <v>100</v>
      </c>
      <c r="X35" s="1351"/>
      <c r="Y35" s="3799"/>
      <c r="Z35" s="1352" t="str">
        <f t="shared" si="13"/>
        <v>宗地形状</v>
      </c>
      <c r="AA35" s="1349">
        <f t="shared" si="3"/>
        <v>1</v>
      </c>
      <c r="AB35" s="1349">
        <f t="shared" si="4"/>
        <v>1</v>
      </c>
      <c r="AC35" s="1349">
        <f t="shared" si="5"/>
        <v>1</v>
      </c>
    </row>
    <row r="36" spans="1:31" s="108" customFormat="1" ht="15">
      <c r="A36" s="423"/>
      <c r="B36" s="374" t="s">
        <v>1877</v>
      </c>
      <c r="C36" s="1976"/>
      <c r="D36" s="127">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99"/>
      <c r="Q36" s="1348" t="str">
        <f t="shared" si="14"/>
        <v>宗地开发程度</v>
      </c>
      <c r="R36" s="700" t="s">
        <v>14</v>
      </c>
      <c r="S36" s="701">
        <f t="shared" si="10"/>
        <v>100</v>
      </c>
      <c r="T36" s="700" t="s">
        <v>14</v>
      </c>
      <c r="U36" s="701">
        <f t="shared" si="11"/>
        <v>100</v>
      </c>
      <c r="V36" s="700" t="s">
        <v>14</v>
      </c>
      <c r="W36" s="701">
        <f t="shared" si="12"/>
        <v>100</v>
      </c>
      <c r="X36" s="702"/>
      <c r="Y36" s="3799"/>
      <c r="Z36" s="52" t="str">
        <f t="shared" si="13"/>
        <v>宗地开发程度</v>
      </c>
      <c r="AA36" s="703">
        <f t="shared" si="3"/>
        <v>1</v>
      </c>
      <c r="AB36" s="703">
        <f t="shared" si="4"/>
        <v>1</v>
      </c>
      <c r="AC36" s="703">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99" t="s">
        <v>1696</v>
      </c>
      <c r="Q37" s="1348" t="str">
        <f t="shared" si="14"/>
        <v>工程地质条件</v>
      </c>
      <c r="R37" s="704" t="s">
        <v>14</v>
      </c>
      <c r="S37" s="705">
        <f t="shared" si="10"/>
        <v>100</v>
      </c>
      <c r="T37" s="704" t="s">
        <v>14</v>
      </c>
      <c r="U37" s="705">
        <f t="shared" si="11"/>
        <v>100</v>
      </c>
      <c r="V37" s="704" t="s">
        <v>14</v>
      </c>
      <c r="W37" s="705">
        <f t="shared" si="12"/>
        <v>100</v>
      </c>
      <c r="X37" s="1351"/>
      <c r="Y37" s="3799" t="s">
        <v>1696</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99"/>
      <c r="Q38" s="1348">
        <f t="shared" si="14"/>
        <v>111</v>
      </c>
      <c r="R38" s="704" t="s">
        <v>14</v>
      </c>
      <c r="S38" s="705">
        <f t="shared" si="10"/>
        <v>100</v>
      </c>
      <c r="T38" s="704" t="s">
        <v>14</v>
      </c>
      <c r="U38" s="705">
        <f t="shared" si="11"/>
        <v>100</v>
      </c>
      <c r="V38" s="704" t="s">
        <v>14</v>
      </c>
      <c r="W38" s="705">
        <f t="shared" si="12"/>
        <v>100</v>
      </c>
      <c r="X38" s="1351"/>
      <c r="Y38" s="3799"/>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99"/>
      <c r="Q39" s="1348">
        <f t="shared" si="14"/>
        <v>111</v>
      </c>
      <c r="R39" s="704" t="s">
        <v>14</v>
      </c>
      <c r="S39" s="705">
        <f t="shared" si="10"/>
        <v>100</v>
      </c>
      <c r="T39" s="704" t="s">
        <v>14</v>
      </c>
      <c r="U39" s="705">
        <f t="shared" si="11"/>
        <v>100</v>
      </c>
      <c r="V39" s="704" t="s">
        <v>14</v>
      </c>
      <c r="W39" s="705">
        <f t="shared" si="12"/>
        <v>100</v>
      </c>
      <c r="X39" s="1351"/>
      <c r="Y39" s="3799"/>
      <c r="Z39" s="1352">
        <f t="shared" si="13"/>
        <v>111</v>
      </c>
      <c r="AA39" s="1349">
        <f t="shared" si="3"/>
        <v>1</v>
      </c>
      <c r="AB39" s="1349">
        <f t="shared" si="4"/>
        <v>1</v>
      </c>
      <c r="AC39" s="1349">
        <f t="shared" si="5"/>
        <v>1</v>
      </c>
    </row>
    <row r="40" spans="1:31" s="421" customFormat="1" ht="15.75" thickBot="1">
      <c r="A40" s="418"/>
      <c r="B40" s="1130">
        <v>111</v>
      </c>
      <c r="C40" s="1977"/>
      <c r="D40" s="128">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99"/>
      <c r="Q40" s="1348">
        <f t="shared" si="14"/>
        <v>111</v>
      </c>
      <c r="R40" s="707" t="s">
        <v>14</v>
      </c>
      <c r="S40" s="708">
        <f t="shared" si="10"/>
        <v>100</v>
      </c>
      <c r="T40" s="707" t="s">
        <v>14</v>
      </c>
      <c r="U40" s="708">
        <f t="shared" si="11"/>
        <v>100</v>
      </c>
      <c r="V40" s="707" t="s">
        <v>14</v>
      </c>
      <c r="W40" s="708">
        <f t="shared" si="12"/>
        <v>100</v>
      </c>
      <c r="X40" s="709"/>
      <c r="Y40" s="3799"/>
      <c r="Z40" s="710">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3"/>
      <c r="L41" s="2720"/>
      <c r="M41" s="2712"/>
      <c r="N41" s="2712"/>
      <c r="O41" s="2721"/>
      <c r="P41" s="3792" t="str">
        <f>A41</f>
        <v>成交单价</v>
      </c>
      <c r="Q41" s="3792"/>
      <c r="R41" s="3787">
        <f>E41</f>
        <v>0</v>
      </c>
      <c r="S41" s="3787"/>
      <c r="T41" s="3787">
        <f>G41</f>
        <v>0</v>
      </c>
      <c r="U41" s="3787"/>
      <c r="V41" s="3787">
        <f>I41</f>
        <v>0</v>
      </c>
      <c r="W41" s="3787"/>
      <c r="X41" s="689"/>
      <c r="Y41" s="711"/>
      <c r="Z41" s="689"/>
      <c r="AA41" s="689"/>
      <c r="AB41" s="689"/>
      <c r="AC41" s="689"/>
    </row>
    <row r="42" spans="1:31" ht="15.75" thickBot="1">
      <c r="A42" s="436" t="s">
        <v>1793</v>
      </c>
      <c r="B42" s="630"/>
      <c r="C42" s="439" t="e">
        <f>R43</f>
        <v>#DIV/0!</v>
      </c>
      <c r="D42" s="2313" t="s">
        <v>2138</v>
      </c>
      <c r="E42" s="439" t="e">
        <f>R42</f>
        <v>#DIV/0!</v>
      </c>
      <c r="F42" s="2314"/>
      <c r="G42" s="438" t="e">
        <f>T42</f>
        <v>#DIV/0!</v>
      </c>
      <c r="H42" s="2314"/>
      <c r="I42" s="439" t="e">
        <f>V42</f>
        <v>#DIV/0!</v>
      </c>
      <c r="J42" s="2314"/>
      <c r="K42" s="2316">
        <f>F42+H42+J42</f>
        <v>0</v>
      </c>
      <c r="L42" s="2720"/>
      <c r="M42" s="2712"/>
      <c r="N42" s="2712"/>
      <c r="O42" s="2721"/>
      <c r="P42" s="3792" t="str">
        <f>A42</f>
        <v>比较价值（元/平方米）</v>
      </c>
      <c r="Q42" s="3792"/>
      <c r="R42" s="3820" t="e">
        <f>ROUND(PRODUCT(R41,AA7:AA40),0)</f>
        <v>#DIV/0!</v>
      </c>
      <c r="S42" s="3820"/>
      <c r="T42" s="3820" t="e">
        <f>ROUND(PRODUCT(T41,AB7:AB40),0)</f>
        <v>#DIV/0!</v>
      </c>
      <c r="U42" s="3820"/>
      <c r="V42" s="3820" t="e">
        <f>ROUND(PRODUCT(V41,AC7:AC40),0)</f>
        <v>#DIV/0!</v>
      </c>
      <c r="W42" s="382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0"/>
      <c r="M43" s="2712"/>
      <c r="N43" s="2712"/>
      <c r="O43" s="2721"/>
      <c r="P43" s="3789" t="str">
        <f>A43</f>
        <v>估价对象XX用房的比较价值（楼面单价，元/平方米）</v>
      </c>
      <c r="Q43" s="3790"/>
      <c r="R43" s="3821" t="e">
        <f>ROUND(IF(D42="简单平均",AVERAGE(R42:W42),R42*F42+T42*H42+V42*J42),0)</f>
        <v>#DIV/0!</v>
      </c>
      <c r="S43" s="3821"/>
      <c r="T43" s="3821"/>
      <c r="U43" s="3821"/>
      <c r="V43" s="3821"/>
      <c r="W43" s="3821"/>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75" t="s">
        <v>1887</v>
      </c>
      <c r="H50" s="3822"/>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0">
        <v>1</v>
      </c>
      <c r="E51" s="637">
        <f>'数据-汇总表'!E8+'数据-汇总表'!E9</f>
        <v>50193.57</v>
      </c>
      <c r="F51" s="638" t="e">
        <f t="shared" ref="F51:F60" si="15">ROUND(B51*E51/10000,0)</f>
        <v>#DIV/0!</v>
      </c>
      <c r="G51" s="3774"/>
      <c r="H51" s="379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1">
        <f t="shared" ref="C52:C60" si="16">IF($C$50="北京市系数",I52,J52)</f>
        <v>0.6</v>
      </c>
      <c r="D52" s="941">
        <v>0.25</v>
      </c>
      <c r="E52" s="641"/>
      <c r="F52" s="638" t="e">
        <f t="shared" si="15"/>
        <v>#DIV/0!</v>
      </c>
      <c r="G52" s="3002" t="s">
        <v>1892</v>
      </c>
      <c r="H52" s="883" t="str">
        <f>项目基本情况!B37</f>
        <v>四级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1">
        <f t="shared" si="16"/>
        <v>0.3</v>
      </c>
      <c r="D53" s="941">
        <v>0.25</v>
      </c>
      <c r="E53" s="641"/>
      <c r="F53" s="638" t="e">
        <f t="shared" si="15"/>
        <v>#DIV/0!</v>
      </c>
      <c r="G53" s="3003"/>
      <c r="H53" s="883" t="str">
        <f>项目基本情况!B37</f>
        <v>四级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1">
        <f t="shared" si="16"/>
        <v>0.25</v>
      </c>
      <c r="D54" s="941">
        <v>0.25</v>
      </c>
      <c r="E54" s="641"/>
      <c r="F54" s="638" t="e">
        <f t="shared" si="15"/>
        <v>#DIV/0!</v>
      </c>
      <c r="G54" s="3003"/>
      <c r="H54" s="883" t="str">
        <f>项目基本情况!B37</f>
        <v>四级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1">
        <f t="shared" si="16"/>
        <v>0</v>
      </c>
      <c r="D56" s="941">
        <v>0.25</v>
      </c>
      <c r="E56" s="216">
        <f>'数据-汇总表'!E11</f>
        <v>0</v>
      </c>
      <c r="F56" s="638"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1">
        <f t="shared" si="16"/>
        <v>0</v>
      </c>
      <c r="D57" s="941">
        <v>0.25</v>
      </c>
      <c r="E57" s="216">
        <f>'数据-汇总表'!E12</f>
        <v>0</v>
      </c>
      <c r="F57" s="638"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1">
        <f t="shared" si="16"/>
        <v>0</v>
      </c>
      <c r="D58" s="941">
        <v>0.25</v>
      </c>
      <c r="E58" s="216">
        <f>'数据-汇总表'!E13</f>
        <v>0</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1">
        <f t="shared" si="16"/>
        <v>0.15</v>
      </c>
      <c r="D59" s="941">
        <v>0.25</v>
      </c>
      <c r="E59" s="216">
        <f>'数据-汇总表'!E14</f>
        <v>2580.219999999998</v>
      </c>
      <c r="F59" s="638" t="e">
        <f t="shared" si="15"/>
        <v>#DIV/0!</v>
      </c>
      <c r="G59" s="1983" t="s">
        <v>1892</v>
      </c>
      <c r="H59" s="883" t="str">
        <f>项目基本情况!B37</f>
        <v>四级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1">
        <f t="shared" si="16"/>
        <v>0</v>
      </c>
      <c r="D60" s="941">
        <v>0.25</v>
      </c>
      <c r="E60" s="216">
        <f>'数据-汇总表'!E15</f>
        <v>0</v>
      </c>
      <c r="F60" s="638"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13077.01</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6" priority="18" stopIfTrue="1" operator="containsText" text="超过">
      <formula>NOT(ISERROR(SEARCH("超过",F46)))</formula>
    </cfRule>
  </conditionalFormatting>
  <conditionalFormatting sqref="J48">
    <cfRule type="containsText" dxfId="55" priority="17" stopIfTrue="1" operator="containsText" text="超过">
      <formula>NOT(ISERROR(SEARCH("超过",J48)))</formula>
    </cfRule>
  </conditionalFormatting>
  <conditionalFormatting sqref="H48">
    <cfRule type="containsText" dxfId="54" priority="16" stopIfTrue="1" operator="containsText" text="超过">
      <formula>NOT(ISERROR(SEARCH("超过",H48)))</formula>
    </cfRule>
  </conditionalFormatting>
  <conditionalFormatting sqref="F48">
    <cfRule type="containsText" dxfId="53" priority="15" stopIfTrue="1" operator="containsText" text="超过">
      <formula>NOT(ISERROR(SEARCH("超过",F48)))</formula>
    </cfRule>
  </conditionalFormatting>
  <conditionalFormatting sqref="F47 H47 J47">
    <cfRule type="containsText" dxfId="52" priority="14" stopIfTrue="1" operator="containsText" text="超过">
      <formula>NOT(ISERROR(SEARCH("超过",F47)))</formula>
    </cfRule>
  </conditionalFormatting>
  <conditionalFormatting sqref="E46">
    <cfRule type="expression" dxfId="51" priority="13" stopIfTrue="1">
      <formula>$F$46="超过30%"</formula>
    </cfRule>
  </conditionalFormatting>
  <conditionalFormatting sqref="G48">
    <cfRule type="expression" dxfId="50" priority="12" stopIfTrue="1">
      <formula>$H$48="超过30%"</formula>
    </cfRule>
  </conditionalFormatting>
  <conditionalFormatting sqref="E48">
    <cfRule type="expression" dxfId="49" priority="10" stopIfTrue="1">
      <formula>$F$48="超过30%"</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E47">
    <cfRule type="expression" dxfId="43" priority="53" stopIfTrue="1">
      <formula>#REF!+$F$47="超过20%"</formula>
    </cfRule>
  </conditionalFormatting>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F7:F40 H7:H40 J7:J40">
    <cfRule type="cellIs" dxfId="3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2083</v>
      </c>
      <c r="C1" s="3830" t="s">
        <v>2084</v>
      </c>
      <c r="D1" s="3831"/>
      <c r="E1" s="3831"/>
      <c r="F1" s="3831"/>
      <c r="G1" s="3831"/>
      <c r="H1" s="3831"/>
      <c r="I1" s="3831"/>
      <c r="J1" s="3831"/>
      <c r="K1" s="3831"/>
      <c r="L1" s="3831"/>
      <c r="M1" s="3831"/>
      <c r="N1" s="3831"/>
      <c r="O1" s="3831"/>
      <c r="P1" s="3831"/>
      <c r="Q1" s="3831"/>
      <c r="R1" s="3831"/>
      <c r="S1" s="3832"/>
      <c r="T1" s="979" t="s">
        <v>2085</v>
      </c>
    </row>
    <row r="2" spans="1:45" s="654" customFormat="1">
      <c r="A2" s="980"/>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2095</v>
      </c>
      <c r="E19" s="1336"/>
      <c r="F19" s="1336"/>
      <c r="G19" s="1336"/>
      <c r="H19" s="1055"/>
      <c r="I19" s="159"/>
      <c r="J19" s="159"/>
      <c r="K19" s="159"/>
      <c r="L19" s="159"/>
      <c r="M19" s="159"/>
      <c r="N19" s="159"/>
      <c r="O19" s="159"/>
      <c r="P19" s="159"/>
      <c r="Q19" s="159"/>
      <c r="R19" s="717"/>
      <c r="S19" s="129"/>
    </row>
    <row r="20" spans="1:45" ht="16.5" thickBot="1">
      <c r="A20" s="661" t="s">
        <v>2096</v>
      </c>
      <c r="B20" s="293"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7"/>
      <c r="S20" s="129"/>
    </row>
    <row r="21" spans="1:45" ht="15.75">
      <c r="A21" s="661" t="s">
        <v>2098</v>
      </c>
      <c r="B21" s="293" t="e">
        <f ca="1">ROUND(B20*10000/B22,0)</f>
        <v>#REF!</v>
      </c>
      <c r="C21" s="159"/>
      <c r="D21" s="159"/>
      <c r="E21" s="159"/>
      <c r="F21" s="159"/>
      <c r="G21" s="159"/>
      <c r="H21" s="159"/>
      <c r="I21" s="159"/>
      <c r="J21" s="159"/>
      <c r="K21" s="159"/>
      <c r="L21" s="159"/>
      <c r="M21" s="159"/>
      <c r="N21" s="159"/>
      <c r="O21" s="159"/>
      <c r="P21" s="159"/>
      <c r="Q21" s="159"/>
      <c r="R21" s="717"/>
      <c r="S21" s="129"/>
    </row>
    <row r="22" spans="1:45">
      <c r="A22" s="315" t="s">
        <v>2099</v>
      </c>
      <c r="B22" s="21">
        <f>SUM(B24:B10000)</f>
        <v>0</v>
      </c>
      <c r="C22" s="3827" t="s">
        <v>27</v>
      </c>
      <c r="D22" s="3828"/>
      <c r="E22" s="3828"/>
      <c r="F22" s="3828"/>
      <c r="G22" s="3828"/>
      <c r="H22" s="3828"/>
      <c r="I22" s="3828"/>
      <c r="J22" s="3828"/>
      <c r="K22" s="3828"/>
      <c r="L22" s="3828"/>
      <c r="M22" s="3828"/>
      <c r="N22" s="3828"/>
      <c r="O22" s="3828"/>
      <c r="P22" s="3828"/>
      <c r="Q22" s="382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23" sqref="L2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673</v>
      </c>
      <c r="C1" s="197"/>
      <c r="D1" s="197"/>
      <c r="E1" s="197"/>
      <c r="F1" s="197"/>
      <c r="G1" s="1122">
        <f>MATCH(B1,'数据-取费表'!A6:A16,0)+5</f>
        <v>6</v>
      </c>
    </row>
    <row r="2" spans="1:9" s="199" customFormat="1" ht="18" customHeight="1">
      <c r="A2" s="200" t="s">
        <v>1462</v>
      </c>
      <c r="B2" s="201">
        <f ca="1">IF(D2="——",C52,C52-E2)</f>
        <v>192260</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30812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104018</v>
      </c>
      <c r="D5" s="210" t="s">
        <v>1469</v>
      </c>
      <c r="E5" s="211" t="s">
        <v>1470</v>
      </c>
      <c r="F5" s="211" t="s">
        <v>1471</v>
      </c>
      <c r="G5" s="212"/>
    </row>
    <row r="6" spans="1:9" s="213" customFormat="1" ht="13.5" customHeight="1">
      <c r="A6" s="774" t="s">
        <v>1472</v>
      </c>
      <c r="B6" s="214" t="s">
        <v>1473</v>
      </c>
      <c r="C6" s="215">
        <f>基准地价修正!B2+'基准地价修正 (2)'!B2</f>
        <v>99728</v>
      </c>
      <c r="D6" s="216"/>
      <c r="E6" s="217"/>
      <c r="F6" s="217"/>
      <c r="G6" s="218"/>
    </row>
    <row r="7" spans="1:9" s="213" customFormat="1" ht="13.5" customHeight="1">
      <c r="A7" s="774" t="s">
        <v>1474</v>
      </c>
      <c r="B7" s="214" t="s">
        <v>1475</v>
      </c>
      <c r="C7" s="219">
        <f>ROUND(C6*F7,0)</f>
        <v>3042</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1248</v>
      </c>
      <c r="D8" s="221"/>
      <c r="E8" s="219"/>
      <c r="F8" s="220"/>
      <c r="G8" s="1852" t="s">
        <v>3543</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3544</v>
      </c>
      <c r="H9" s="1133"/>
      <c r="I9" s="1854" t="s">
        <v>1479</v>
      </c>
    </row>
    <row r="10" spans="1:9" s="213" customFormat="1" ht="13.5" customHeight="1">
      <c r="A10" s="775" t="s">
        <v>356</v>
      </c>
      <c r="B10" s="223" t="s">
        <v>1480</v>
      </c>
      <c r="C10" s="224">
        <f ca="1">ROUND(D10*E10/10000,0)</f>
        <v>1248</v>
      </c>
      <c r="D10" s="841">
        <f ca="1">IF(B1="",'数据-汇总表'!E6,IF(INDIRECT("'数据-取费表'!c"&amp;$G$1)="住宅",INDIRECT("'数据-取费表'!s"&amp;$G$1),INDIRECT("'数据-取费表'!k"&amp;$G$1)+INDIRECT("'数据-取费表'!s"&amp;$G$1)))</f>
        <v>62397.95</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62397.95</v>
      </c>
      <c r="E19" s="210">
        <f>'数据-取费表'!B31</f>
        <v>200</v>
      </c>
      <c r="F19" s="230"/>
      <c r="G19" s="1852" t="s">
        <v>3545</v>
      </c>
    </row>
    <row r="20" spans="1:7" s="213" customFormat="1" ht="13.5" customHeight="1">
      <c r="A20" s="254" t="s">
        <v>1493</v>
      </c>
      <c r="B20" s="209" t="s">
        <v>1494</v>
      </c>
      <c r="C20" s="231">
        <f ca="1">ROUND((C5+C19)*F20,0)</f>
        <v>2080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8899</v>
      </c>
      <c r="D22" s="234">
        <f ca="1">C26</f>
        <v>8.0000000000000004E-4</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8813</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86</v>
      </c>
      <c r="D25" s="237"/>
      <c r="E25" s="240"/>
      <c r="F25" s="238"/>
      <c r="G25" s="241" t="s">
        <v>1510</v>
      </c>
    </row>
    <row r="26" spans="1:7" s="213" customFormat="1">
      <c r="A26" s="776" t="s">
        <v>350</v>
      </c>
      <c r="B26" s="214" t="s">
        <v>1511</v>
      </c>
      <c r="C26" s="237">
        <f ca="1">ROUND(IF('数据-取费表'!B22&lt;=1,F21*F22*'数据-取费表'!B23/2,F21*(POWER((1+F22),'数据-取费表'!B23/2)-1)),4)</f>
        <v>8.0000000000000004E-4</v>
      </c>
      <c r="D26" s="237"/>
      <c r="E26" s="240"/>
      <c r="F26" s="238"/>
      <c r="G26" s="242"/>
    </row>
    <row r="27" spans="1:7" s="213" customFormat="1" ht="24.75">
      <c r="A27" s="254" t="s">
        <v>1512</v>
      </c>
      <c r="B27" s="243" t="s">
        <v>1513</v>
      </c>
      <c r="C27" s="244">
        <f ca="1">C28</f>
        <v>21220</v>
      </c>
      <c r="D27" s="234">
        <f ca="1">C29</f>
        <v>4.0000000000000001E-3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21220</v>
      </c>
      <c r="D28" s="234"/>
      <c r="E28" s="235"/>
      <c r="F28" s="245"/>
      <c r="G28" s="246"/>
    </row>
    <row r="29" spans="1:7" s="213" customFormat="1" ht="13.5" customHeight="1">
      <c r="A29" s="776"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147757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37455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34319</v>
      </c>
      <c r="D34" s="216"/>
      <c r="E34" s="219"/>
      <c r="F34" s="256">
        <f ca="1">IF('数据-取费表'!B24=0,1,IF(B1="",'数据-取费表'!N16,INDIRECT("'数据-取费表'!n"&amp;$G$1)))</f>
        <v>1</v>
      </c>
      <c r="G34" s="218" t="s">
        <v>1526</v>
      </c>
    </row>
    <row r="35" spans="1:7" ht="13.5" customHeight="1">
      <c r="A35" s="776" t="s">
        <v>351</v>
      </c>
      <c r="B35" s="214" t="s">
        <v>1527</v>
      </c>
      <c r="C35" s="219">
        <f ca="1">ROUND(C34*F35,0)</f>
        <v>1373</v>
      </c>
      <c r="D35" s="219"/>
      <c r="E35" s="219"/>
      <c r="F35" s="258">
        <f>'数据-取费表'!B33</f>
        <v>0.04</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0.05</v>
      </c>
      <c r="G36" s="259" t="s">
        <v>1530</v>
      </c>
    </row>
    <row r="37" spans="1:7" s="257" customFormat="1" ht="13.5" customHeight="1">
      <c r="A37" s="776" t="s">
        <v>353</v>
      </c>
      <c r="B37" s="214" t="s">
        <v>1531</v>
      </c>
      <c r="C37" s="248">
        <f ca="1">ROUND(E37*D37*F34/10000,0)</f>
        <v>1248</v>
      </c>
      <c r="D37" s="216">
        <f ca="1">D19</f>
        <v>62397.95</v>
      </c>
      <c r="E37" s="248">
        <f>'数据-取费表'!B35</f>
        <v>200</v>
      </c>
      <c r="F37" s="258"/>
      <c r="G37" s="260" t="s">
        <v>1532</v>
      </c>
    </row>
    <row r="38" spans="1:7" ht="13.5" customHeight="1">
      <c r="A38" s="776" t="s">
        <v>354</v>
      </c>
      <c r="B38" s="214" t="s">
        <v>1533</v>
      </c>
      <c r="C38" s="219">
        <f ca="1">ROUND(C34*F38,0)</f>
        <v>515</v>
      </c>
      <c r="D38" s="219"/>
      <c r="E38" s="219"/>
      <c r="F38" s="258">
        <f>'数据-取费表'!B36</f>
        <v>1.4999999999999999E-2</v>
      </c>
      <c r="G38" s="218" t="s">
        <v>1528</v>
      </c>
    </row>
    <row r="39" spans="1:7" s="213" customFormat="1" ht="13.5" customHeight="1">
      <c r="A39" s="254" t="s">
        <v>1534</v>
      </c>
      <c r="B39" s="209" t="s">
        <v>1535</v>
      </c>
      <c r="C39" s="231">
        <f ca="1">ROUND(C33*F20,0)</f>
        <v>749</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1585</v>
      </c>
      <c r="D41" s="234">
        <f ca="1">C44</f>
        <v>8.0000000000000004E-4</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1554</v>
      </c>
      <c r="D42" s="237"/>
      <c r="E42" s="237"/>
      <c r="F42" s="238"/>
      <c r="G42" s="3730" t="s">
        <v>1544</v>
      </c>
    </row>
    <row r="43" spans="1:7" ht="13.5" customHeight="1">
      <c r="A43" s="776" t="s">
        <v>347</v>
      </c>
      <c r="B43" s="214" t="s">
        <v>1545</v>
      </c>
      <c r="C43" s="237">
        <f ca="1">ROUND(IF('数据-取费表'!B22&lt;=1,C39*F22*'数据-取费表'!B21/2,C39*(POWER((1+F22),'数据-取费表'!B21/2)-1)),0)</f>
        <v>31</v>
      </c>
      <c r="D43" s="237"/>
      <c r="E43" s="237"/>
      <c r="F43" s="238"/>
      <c r="G43" s="3731"/>
    </row>
    <row r="44" spans="1:7" ht="13.5" customHeight="1">
      <c r="A44" s="776" t="s">
        <v>348</v>
      </c>
      <c r="B44" s="214" t="s">
        <v>1546</v>
      </c>
      <c r="C44" s="237">
        <f ca="1">ROUND(IF('数据-取费表'!B22&lt;=1,C40*F22*'数据-取费表'!B21/2,C40*(POWER((1+F22),'数据-取费表'!B21/2)-1)),4)</f>
        <v>8.0000000000000004E-4</v>
      </c>
      <c r="D44" s="237"/>
      <c r="E44" s="237"/>
      <c r="F44" s="238"/>
      <c r="G44" s="3732"/>
    </row>
    <row r="45" spans="1:7" s="213" customFormat="1" ht="13.5" customHeight="1">
      <c r="A45" s="254" t="s">
        <v>1547</v>
      </c>
      <c r="B45" s="243" t="s">
        <v>1513</v>
      </c>
      <c r="C45" s="244">
        <f ca="1">C46</f>
        <v>7641</v>
      </c>
      <c r="D45" s="234">
        <f ca="1">C47</f>
        <v>4.0000000000000001E-3</v>
      </c>
      <c r="E45" s="235" t="s">
        <v>1539</v>
      </c>
      <c r="F45" s="245">
        <f ca="1">F27</f>
        <v>0.2</v>
      </c>
      <c r="G45" s="246" t="s">
        <v>1548</v>
      </c>
    </row>
    <row r="46" spans="1:7" s="213" customFormat="1" ht="13.5" customHeight="1">
      <c r="A46" s="776" t="s">
        <v>346</v>
      </c>
      <c r="B46" s="247" t="s">
        <v>1549</v>
      </c>
      <c r="C46" s="248">
        <f ca="1">ROUND((C33+C39)*F27,0)</f>
        <v>7641</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51448</v>
      </c>
      <c r="D49" s="231"/>
      <c r="E49" s="231"/>
      <c r="F49" s="263"/>
      <c r="G49" s="233" t="s">
        <v>1554</v>
      </c>
    </row>
    <row r="50" spans="1:7" s="257" customFormat="1" ht="24">
      <c r="A50" s="254" t="s">
        <v>1555</v>
      </c>
      <c r="B50" s="209" t="s">
        <v>1556</v>
      </c>
      <c r="C50" s="231"/>
      <c r="D50" s="231"/>
      <c r="E50" s="231"/>
      <c r="F50" s="263">
        <f>IF('数据-取费表'!B24=0,'数据-取费表'!N16,1)</f>
        <v>0.86499999999999999</v>
      </c>
      <c r="G50" s="246" t="s">
        <v>1557</v>
      </c>
    </row>
    <row r="51" spans="1:7" ht="16.5" customHeight="1">
      <c r="A51" s="254" t="s">
        <v>1558</v>
      </c>
      <c r="B51" s="209" t="s">
        <v>1559</v>
      </c>
      <c r="C51" s="231">
        <f ca="1">ROUND(C49*F50,0)</f>
        <v>44503</v>
      </c>
      <c r="D51" s="231"/>
      <c r="E51" s="231"/>
      <c r="F51" s="263"/>
      <c r="G51" s="233" t="s">
        <v>1560</v>
      </c>
    </row>
    <row r="52" spans="1:7" s="207" customFormat="1" ht="16.5" thickBot="1">
      <c r="A52" s="264" t="s">
        <v>1561</v>
      </c>
      <c r="B52" s="265"/>
      <c r="C52" s="266">
        <f ca="1">C31+C51</f>
        <v>192260</v>
      </c>
      <c r="D52" s="265"/>
      <c r="E52" s="265"/>
      <c r="F52" s="265"/>
      <c r="G52" s="267"/>
    </row>
    <row r="55" spans="1:7" ht="15">
      <c r="B55" s="269" t="s">
        <v>1562</v>
      </c>
      <c r="C55" s="270"/>
    </row>
    <row r="56" spans="1:7">
      <c r="B56" s="272" t="s">
        <v>802</v>
      </c>
      <c r="C56" s="274">
        <f ca="1">1-C57</f>
        <v>0.76900000000000002</v>
      </c>
    </row>
    <row r="57" spans="1:7">
      <c r="B57" s="272" t="s">
        <v>803</v>
      </c>
      <c r="C57" s="273">
        <f ca="1">ROUND(C51/C52,3)</f>
        <v>0.23100000000000001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46" sqref="F4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46119.049999999996</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75600</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26178</v>
      </c>
      <c r="U2" s="1209">
        <f>面积汇总表!B7</f>
        <v>6303.4</v>
      </c>
      <c r="V2" s="3357">
        <f>ROUND(T2*U2/10000,0)</f>
        <v>16501</v>
      </c>
      <c r="W2" s="1212"/>
      <c r="X2" s="1212"/>
      <c r="Y2" s="1212"/>
      <c r="Z2" s="1212"/>
      <c r="AA2" s="1212"/>
      <c r="AB2" s="1212"/>
      <c r="AC2" s="1213"/>
      <c r="AD2" s="1214"/>
      <c r="AE2" s="1214"/>
      <c r="AF2" s="1214"/>
      <c r="AG2" s="1214"/>
      <c r="AH2" s="1214"/>
      <c r="AI2" s="1214"/>
      <c r="AJ2" s="1215"/>
    </row>
    <row r="3" spans="1:36" ht="15.75">
      <c r="A3" s="202" t="s">
        <v>1940</v>
      </c>
      <c r="B3" s="203">
        <f>ROUND(B2*10000/D1,0)</f>
        <v>16392</v>
      </c>
      <c r="C3" s="1995" t="s">
        <v>1941</v>
      </c>
      <c r="D3" s="1996" t="s">
        <v>1942</v>
      </c>
      <c r="E3" s="3416" t="s">
        <v>2442</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20633</v>
      </c>
      <c r="U3" s="1209">
        <f>面积汇总表!B8</f>
        <v>6062.4</v>
      </c>
      <c r="V3" s="3357">
        <f t="shared" ref="V3:V16" si="1">ROUND(T3*U3/10000,0)</f>
        <v>12509</v>
      </c>
      <c r="W3" s="1212"/>
      <c r="X3" s="1212"/>
      <c r="Y3" s="1212"/>
      <c r="Z3" s="1212"/>
      <c r="AA3" s="1212"/>
      <c r="AB3" s="1212"/>
      <c r="AC3" s="1213"/>
      <c r="AD3" s="1214"/>
      <c r="AE3" s="1214"/>
      <c r="AF3" s="1214"/>
      <c r="AG3" s="1214"/>
      <c r="AH3" s="1214"/>
      <c r="AI3" s="1214"/>
      <c r="AJ3" s="1215"/>
    </row>
    <row r="4" spans="1:36" ht="15.75">
      <c r="A4" s="3840"/>
      <c r="B4" s="3841"/>
      <c r="C4" s="3841"/>
      <c r="D4" s="3842"/>
      <c r="E4" s="3842"/>
      <c r="F4" s="3842"/>
      <c r="G4" s="3842"/>
      <c r="H4" s="3842"/>
      <c r="I4" s="3842"/>
      <c r="J4" s="3843"/>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17438</v>
      </c>
      <c r="U4" s="1209">
        <f>面积汇总表!B9</f>
        <v>6241.08</v>
      </c>
      <c r="V4" s="3357">
        <f t="shared" si="1"/>
        <v>10883</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15380</v>
      </c>
      <c r="U5" s="1209">
        <f>面积汇总表!B10</f>
        <v>6390.5</v>
      </c>
      <c r="V5" s="3357">
        <f t="shared" si="1"/>
        <v>9829</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14780</v>
      </c>
      <c r="U6" s="1209">
        <f>面积汇总表!B11</f>
        <v>4965.2</v>
      </c>
      <c r="V6" s="3357">
        <f t="shared" si="1"/>
        <v>7339</v>
      </c>
      <c r="W6" s="1212"/>
      <c r="X6" s="1212"/>
      <c r="Y6" s="1212"/>
      <c r="Z6" s="1212"/>
      <c r="AA6" s="1212"/>
      <c r="AB6" s="1212"/>
      <c r="AC6" s="2007"/>
      <c r="AD6" s="2008"/>
      <c r="AE6" s="2008"/>
      <c r="AF6" s="2008"/>
      <c r="AG6" s="2008"/>
      <c r="AH6" s="2008"/>
      <c r="AI6" s="2008"/>
      <c r="AJ6" s="2009"/>
    </row>
    <row r="7" spans="1:36" ht="24.75" thickBot="1">
      <c r="A7" s="3300" t="s">
        <v>3244</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14615</v>
      </c>
      <c r="U7" s="1209">
        <f>面积汇总表!B12</f>
        <v>3952.09</v>
      </c>
      <c r="V7" s="3357">
        <f t="shared" si="1"/>
        <v>5776</v>
      </c>
      <c r="W7" s="1354"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7" t="s">
        <v>1960</v>
      </c>
      <c r="X8" s="383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39"/>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3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4" t="s">
        <v>3261</v>
      </c>
      <c r="B20" s="167" t="s">
        <v>1994</v>
      </c>
      <c r="C20" s="3321">
        <f>ROUND(IF(F21="与级别开发程度一致",0,(G21-E21)/C21),0)</f>
        <v>0</v>
      </c>
      <c r="D20" s="3337" t="s">
        <v>1998</v>
      </c>
      <c r="E20" s="3338"/>
      <c r="F20" s="3850" t="s">
        <v>1995</v>
      </c>
      <c r="G20" s="3851"/>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5"/>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767">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1348">
        <f>IF(E26=G26,F26,IF(G3&lt;10,ROUND(F26+(H26-F26)*(G3-E26)/(G26-E26),4),"——"))</f>
        <v>0.94040000000000001</v>
      </c>
      <c r="E26" s="748">
        <f>ROUNDDOWN(G3,1)</f>
        <v>3.8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1.046</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75600</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3191</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14615</v>
      </c>
      <c r="D33" s="2094">
        <f>U2+U3+U4+U5+U6+U7</f>
        <v>33914.67</v>
      </c>
      <c r="E33" s="769">
        <f>ROUND(C33*D33/10000,0)</f>
        <v>49566</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8"/>
      <c r="B37" s="2109" t="s">
        <v>2036</v>
      </c>
      <c r="C37" s="175">
        <f>ROUND(D5*C22*C23*C24*C28*F37,0)</f>
        <v>10458</v>
      </c>
      <c r="D37" s="2094">
        <f>面积汇总表!B6</f>
        <v>12204.38</v>
      </c>
      <c r="E37" s="171">
        <f>ROUND(C37*D37/10000,0)</f>
        <v>12763</v>
      </c>
      <c r="F37" s="171">
        <f>SUMIF(修正!A57:A68,G2,修正!B57:B68)</f>
        <v>0.6</v>
      </c>
      <c r="G37" s="171">
        <f>ROUND(IF(E2="工业",C37*$M$42,C37*$M$41),0)</f>
        <v>2615</v>
      </c>
      <c r="H37" s="171">
        <f>D37</f>
        <v>12204.38</v>
      </c>
      <c r="I37" s="171">
        <f>ROUND(G37*H37/10000,0)</f>
        <v>3191</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49"/>
      <c r="B38" s="2037" t="s">
        <v>2037</v>
      </c>
      <c r="C38" s="175">
        <f>ROUND(D5*C22*C23*C24*C28*F38,0)</f>
        <v>5229</v>
      </c>
      <c r="D38" s="2094"/>
      <c r="E38" s="171">
        <f t="shared" ref="E38:E42" si="4">ROUND(C38*D38/10000,0)</f>
        <v>0</v>
      </c>
      <c r="F38" s="171">
        <f>SUMIF(修正!A57:A68,G2,修正!C57:C68)</f>
        <v>0.3</v>
      </c>
      <c r="G38" s="171">
        <f>ROUND(IF(E2="工业",C38*$M$42,C38*$M$41),0)</f>
        <v>1307</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49"/>
      <c r="B39" s="2037" t="s">
        <v>3266</v>
      </c>
      <c r="C39" s="175">
        <f>ROUND(D5*C22*C23*C24*C28*F39,0)</f>
        <v>4357</v>
      </c>
      <c r="D39" s="2094"/>
      <c r="E39" s="171">
        <f t="shared" si="4"/>
        <v>0</v>
      </c>
      <c r="F39" s="171">
        <f>SUMIF(修正!A57:A68,G2,修正!D57:D68)</f>
        <v>0.25</v>
      </c>
      <c r="G39" s="171">
        <f>ROUND(IF(E2="工业",C39*$M$42,C39*$M$41),0)</f>
        <v>1089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4357</v>
      </c>
      <c r="D40" s="2094"/>
      <c r="E40" s="171">
        <f t="shared" si="4"/>
        <v>0</v>
      </c>
      <c r="F40" s="175">
        <f>SUMIF(修正!A57:A68,G2,修正!E57:E68)</f>
        <v>0.25</v>
      </c>
      <c r="G40" s="171">
        <f>ROUND(IF(E2="工业",C40*$M$42,C40*$M$41),0)</f>
        <v>1089</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4131</v>
      </c>
      <c r="D41" s="2094"/>
      <c r="E41" s="171">
        <f t="shared" si="4"/>
        <v>0</v>
      </c>
      <c r="F41" s="175">
        <f>SUMIF(修正!A57:A68,G2,修正!F57:F68)</f>
        <v>0.25</v>
      </c>
      <c r="G41" s="171">
        <f>ROUND(IF(E2="工业",C41*$M$42,C41*$M$41),0)</f>
        <v>1033</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2478</v>
      </c>
      <c r="D42" s="2099"/>
      <c r="E42" s="186">
        <f t="shared" si="4"/>
        <v>0</v>
      </c>
      <c r="F42" s="763">
        <f>SUMIF(修正!A57:A68,G2,修正!G57:G68)</f>
        <v>0.15</v>
      </c>
      <c r="G42" s="186">
        <f>ROUND(IF(E2="工业",C42*$M$42,C42*$M$41),0)</f>
        <v>620</v>
      </c>
      <c r="H42" s="186">
        <f t="shared" si="5"/>
        <v>0</v>
      </c>
      <c r="I42" s="186">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1.046</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4.5999999999999999E-2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3541</v>
      </c>
      <c r="D54" s="1061">
        <f t="shared" si="7"/>
        <v>3.3999999999999998E-3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3541</v>
      </c>
      <c r="D58" s="1061">
        <f t="shared" si="7"/>
        <v>2.0999999999999999E-3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3277</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3280</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3281</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3284</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3285</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3286</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6" t="s">
        <v>3301</v>
      </c>
      <c r="B103" s="3846"/>
      <c r="C103" s="3846"/>
      <c r="D103" s="3846"/>
      <c r="E103" s="3846"/>
      <c r="F103" s="3846"/>
      <c r="G103" s="3846"/>
      <c r="H103" s="3846"/>
      <c r="I103" s="3846"/>
      <c r="J103" s="3846"/>
      <c r="K103" s="3386"/>
      <c r="L103" s="3386"/>
      <c r="M103" s="3386"/>
      <c r="N103" s="3386"/>
    </row>
    <row r="104" spans="1:14">
      <c r="A104" s="3847" t="s">
        <v>3302</v>
      </c>
      <c r="B104" s="3847" t="s">
        <v>3303</v>
      </c>
      <c r="C104" s="3387" t="s">
        <v>3304</v>
      </c>
      <c r="D104" s="3388"/>
      <c r="E104" s="3388"/>
      <c r="F104" s="3388"/>
      <c r="G104" s="3388"/>
      <c r="H104" s="3388"/>
      <c r="I104" s="3388"/>
      <c r="J104" s="3389"/>
      <c r="K104" s="3390"/>
      <c r="L104" s="3390"/>
      <c r="M104" s="3390"/>
      <c r="N104" s="3390"/>
    </row>
    <row r="105" spans="1:14">
      <c r="A105" s="3847"/>
      <c r="B105" s="3847"/>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833"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3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3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3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3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34"/>
      <c r="B111" s="3391"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5"/>
      <c r="B112" s="3391">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6" t="s">
        <v>3318</v>
      </c>
      <c r="B113" s="3836"/>
      <c r="C113" s="3836"/>
      <c r="D113" s="3836"/>
      <c r="E113" s="3836"/>
      <c r="F113" s="3836"/>
      <c r="G113" s="3836"/>
      <c r="H113" s="3836"/>
      <c r="I113" s="3836"/>
      <c r="J113" s="383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3321</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3337</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50:H58 H61:H69 H72:H80 H83:H91">
    <cfRule type="cellIs" dxfId="33" priority="2" operator="notEqual">
      <formula>"——"</formula>
    </cfRule>
  </conditionalFormatting>
  <conditionalFormatting sqref="H93:H101">
    <cfRule type="cellIs" dxfId="32"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93:C101 C83:C91 C50:C58">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16278.900000000001</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24128</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20942</v>
      </c>
      <c r="U2" s="1209">
        <f>面积汇总表!C7</f>
        <v>3025.6</v>
      </c>
      <c r="V2" s="3357">
        <f>ROUND(T2*U2/10000,0)</f>
        <v>6336</v>
      </c>
      <c r="W2" s="1212"/>
      <c r="X2" s="1212"/>
      <c r="Y2" s="1212"/>
      <c r="Z2" s="1212"/>
      <c r="AA2" s="1212"/>
      <c r="AB2" s="1212"/>
      <c r="AC2" s="1213"/>
      <c r="AD2" s="1214"/>
      <c r="AE2" s="1214"/>
      <c r="AF2" s="1214"/>
      <c r="AG2" s="1214"/>
      <c r="AH2" s="1214"/>
      <c r="AI2" s="1214"/>
      <c r="AJ2" s="1215"/>
    </row>
    <row r="3" spans="1:36" ht="15.75">
      <c r="A3" s="202" t="s">
        <v>1940</v>
      </c>
      <c r="B3" s="203">
        <f>ROUND(B2*10000/D1,0)</f>
        <v>14822</v>
      </c>
      <c r="C3" s="1995" t="s">
        <v>1941</v>
      </c>
      <c r="D3" s="1996" t="s">
        <v>1942</v>
      </c>
      <c r="E3" s="3416" t="s">
        <v>2450</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16507</v>
      </c>
      <c r="U3" s="1209">
        <f>面积汇总表!C8</f>
        <v>2909.92</v>
      </c>
      <c r="V3" s="3357">
        <f t="shared" ref="V3:V16" si="1">ROUND(T3*U3/10000,0)</f>
        <v>4803</v>
      </c>
      <c r="W3" s="1212"/>
      <c r="X3" s="1212"/>
      <c r="Y3" s="1212"/>
      <c r="Z3" s="1212"/>
      <c r="AA3" s="1212"/>
      <c r="AB3" s="1212"/>
      <c r="AC3" s="1213"/>
      <c r="AD3" s="1214"/>
      <c r="AE3" s="1214"/>
      <c r="AF3" s="1214"/>
      <c r="AG3" s="1214"/>
      <c r="AH3" s="1214"/>
      <c r="AI3" s="1214"/>
      <c r="AJ3" s="1215"/>
    </row>
    <row r="4" spans="1:36" ht="15.75">
      <c r="A4" s="3840"/>
      <c r="B4" s="3841"/>
      <c r="C4" s="3841"/>
      <c r="D4" s="3842"/>
      <c r="E4" s="3842"/>
      <c r="F4" s="3842"/>
      <c r="G4" s="3842"/>
      <c r="H4" s="3842"/>
      <c r="I4" s="3842"/>
      <c r="J4" s="3843"/>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13951</v>
      </c>
      <c r="U4" s="1209">
        <f>面积汇总表!C9</f>
        <v>2995.7000000000003</v>
      </c>
      <c r="V4" s="3357">
        <f t="shared" si="1"/>
        <v>4179</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12304</v>
      </c>
      <c r="U5" s="1209">
        <f>面积汇总表!C10</f>
        <v>3067.42</v>
      </c>
      <c r="V5" s="3357">
        <f t="shared" si="1"/>
        <v>3774</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11824</v>
      </c>
      <c r="U6" s="1209">
        <f>面积汇总表!C11</f>
        <v>2383.2800000000002</v>
      </c>
      <c r="V6" s="3357">
        <f t="shared" si="1"/>
        <v>2818</v>
      </c>
      <c r="W6" s="1212"/>
      <c r="X6" s="1212"/>
      <c r="Y6" s="1212"/>
      <c r="Z6" s="1212"/>
      <c r="AA6" s="1212"/>
      <c r="AB6" s="1212"/>
      <c r="AC6" s="2007"/>
      <c r="AD6" s="2008"/>
      <c r="AE6" s="2008"/>
      <c r="AF6" s="2008"/>
      <c r="AG6" s="2008"/>
      <c r="AH6" s="2008"/>
      <c r="AI6" s="2008"/>
      <c r="AJ6" s="2009"/>
    </row>
    <row r="7" spans="1:36" ht="24.75" thickBot="1">
      <c r="A7" s="3300" t="s">
        <v>3244</v>
      </c>
      <c r="B7" s="3451"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11692</v>
      </c>
      <c r="U7" s="1209">
        <f>面积汇总表!C12</f>
        <v>1896.98</v>
      </c>
      <c r="V7" s="3357">
        <f t="shared" si="1"/>
        <v>2218</v>
      </c>
      <c r="W7" s="3464"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7" t="s">
        <v>1960</v>
      </c>
      <c r="X8" s="383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39"/>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3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55"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56"/>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54"/>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4" t="s">
        <v>3261</v>
      </c>
      <c r="B20" s="167" t="s">
        <v>1994</v>
      </c>
      <c r="C20" s="3321">
        <f>ROUND(IF(F21="与级别开发程度一致",0,(G21-E21)/C21),0)</f>
        <v>0</v>
      </c>
      <c r="D20" s="3337" t="s">
        <v>1998</v>
      </c>
      <c r="E20" s="3338"/>
      <c r="F20" s="3850" t="s">
        <v>1995</v>
      </c>
      <c r="G20" s="3851"/>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5"/>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3460">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3459">
        <f>IF(E26=G26,F26,IF(G3&lt;10,ROUND(F26+(H26-F26)*(G3-E26)/(G26-E26),4),"——"))</f>
        <v>0.94040000000000001</v>
      </c>
      <c r="E26" s="748">
        <f>ROUNDDOWN(G3,1)</f>
        <v>3.8</v>
      </c>
      <c r="F26" s="34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34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1.046</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24128</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11692</v>
      </c>
      <c r="D33" s="2094">
        <f>U2+U3+U4+U5+U6+U7</f>
        <v>16278.900000000001</v>
      </c>
      <c r="E33" s="769">
        <f>ROUND(C33*D33/10000,0)</f>
        <v>19033</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8"/>
      <c r="B37" s="2109" t="s">
        <v>2036</v>
      </c>
      <c r="C37" s="175">
        <f>ROUND(D5*C22*C23*C24*C28*F37,0)</f>
        <v>8366</v>
      </c>
      <c r="D37" s="2094"/>
      <c r="E37" s="171">
        <f>ROUND(C37*D37/10000,0)</f>
        <v>0</v>
      </c>
      <c r="F37" s="171">
        <f>SUMIF(修正!A57:A68,G2,修正!B57:B68)</f>
        <v>0.6</v>
      </c>
      <c r="G37" s="171">
        <f>ROUND(IF(E2="工业",C37*$M$42,C37*$M$41),0)</f>
        <v>2092</v>
      </c>
      <c r="H37" s="171">
        <f>D37</f>
        <v>0</v>
      </c>
      <c r="I37" s="171">
        <f>ROUND(G37*H37/10000,0)</f>
        <v>0</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49"/>
      <c r="B38" s="2037" t="s">
        <v>2037</v>
      </c>
      <c r="C38" s="175">
        <f>ROUND(D5*C22*C23*C24*C28*F38,0)</f>
        <v>4183</v>
      </c>
      <c r="D38" s="2094"/>
      <c r="E38" s="171">
        <f t="shared" ref="E38:E42" si="4">ROUND(C38*D38/10000,0)</f>
        <v>0</v>
      </c>
      <c r="F38" s="171">
        <f>SUMIF(修正!A57:A68,G2,修正!C57:C68)</f>
        <v>0.3</v>
      </c>
      <c r="G38" s="171">
        <f>ROUND(IF(E2="工业",C38*$M$42,C38*$M$41),0)</f>
        <v>1046</v>
      </c>
      <c r="H38" s="171">
        <f t="shared" ref="H38:H42" si="5">D38</f>
        <v>0</v>
      </c>
      <c r="I38" s="171">
        <f t="shared" ref="I38:I42" si="6">ROUND(G38*H38/10000,0)</f>
        <v>0</v>
      </c>
      <c r="J38" s="346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49"/>
      <c r="B39" s="2037" t="s">
        <v>3266</v>
      </c>
      <c r="C39" s="175">
        <f>ROUND(D5*C22*C23*C24*C28*F39,0)</f>
        <v>3486</v>
      </c>
      <c r="D39" s="2094"/>
      <c r="E39" s="171">
        <f t="shared" si="4"/>
        <v>0</v>
      </c>
      <c r="F39" s="171">
        <f>SUMIF(修正!A57:A68,G2,修正!D57:D68)</f>
        <v>0.25</v>
      </c>
      <c r="G39" s="171">
        <f>ROUND(IF(E2="工业",C39*$M$42,C39*$M$41),0)</f>
        <v>872</v>
      </c>
      <c r="H39" s="171">
        <f t="shared" si="5"/>
        <v>0</v>
      </c>
      <c r="I39" s="171">
        <f t="shared" si="6"/>
        <v>0</v>
      </c>
      <c r="J39" s="346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3486</v>
      </c>
      <c r="D40" s="2094"/>
      <c r="E40" s="171">
        <f t="shared" si="4"/>
        <v>0</v>
      </c>
      <c r="F40" s="175">
        <f>SUMIF(修正!A57:A68,G2,修正!E57:E68)</f>
        <v>0.25</v>
      </c>
      <c r="G40" s="171">
        <f>ROUND(IF(E2="工业",C40*$M$42,C40*$M$41),0)</f>
        <v>872</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3305</v>
      </c>
      <c r="D41" s="2094"/>
      <c r="E41" s="171">
        <f t="shared" si="4"/>
        <v>0</v>
      </c>
      <c r="F41" s="175">
        <f>SUMIF(修正!A57:A68,G2,修正!F57:F68)</f>
        <v>0.25</v>
      </c>
      <c r="G41" s="171">
        <f>ROUND(IF(E2="工业",C41*$M$42,C41*$M$41),0)</f>
        <v>826</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1983</v>
      </c>
      <c r="D42" s="2099"/>
      <c r="E42" s="186">
        <f t="shared" si="4"/>
        <v>0</v>
      </c>
      <c r="F42" s="763">
        <f>SUMIF(修正!A57:A68,G2,修正!G57:G68)</f>
        <v>0.15</v>
      </c>
      <c r="G42" s="186">
        <f>ROUND(IF(E2="工业",C42*$M$42,C42*$M$41),0)</f>
        <v>496</v>
      </c>
      <c r="H42" s="186">
        <f t="shared" si="5"/>
        <v>0</v>
      </c>
      <c r="I42" s="186">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1.046</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4.5999999999999999E-2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3541</v>
      </c>
      <c r="D54" s="1061">
        <f t="shared" si="7"/>
        <v>3.3999999999999998E-3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3541</v>
      </c>
      <c r="D58" s="1061">
        <f t="shared" si="7"/>
        <v>2.0999999999999999E-3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3276</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2044</v>
      </c>
      <c r="B92" s="3362"/>
      <c r="C92" s="3362" t="s">
        <v>3287</v>
      </c>
      <c r="D92" s="3362" t="s">
        <v>3288</v>
      </c>
      <c r="E92" s="3344" t="s">
        <v>3289</v>
      </c>
      <c r="F92" s="3377" t="s">
        <v>3290</v>
      </c>
      <c r="G92" s="3362" t="s">
        <v>2085</v>
      </c>
      <c r="H92" s="3384" t="s">
        <v>3294</v>
      </c>
      <c r="I92" s="3362" t="s">
        <v>2051</v>
      </c>
      <c r="J92" s="3385" t="s">
        <v>1721</v>
      </c>
      <c r="K92" s="3385" t="s">
        <v>3297</v>
      </c>
      <c r="L92" s="3385" t="s">
        <v>3298</v>
      </c>
      <c r="M92" s="3385" t="s">
        <v>1724</v>
      </c>
      <c r="N92" s="3385" t="s">
        <v>1725</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2053</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2059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2060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2061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6" t="s">
        <v>3301</v>
      </c>
      <c r="B103" s="3846"/>
      <c r="C103" s="3846"/>
      <c r="D103" s="3846"/>
      <c r="E103" s="3846"/>
      <c r="F103" s="3846"/>
      <c r="G103" s="3846"/>
      <c r="H103" s="3846"/>
      <c r="I103" s="3846"/>
      <c r="J103" s="3846"/>
      <c r="K103" s="3465"/>
      <c r="L103" s="3465"/>
      <c r="M103" s="3465"/>
      <c r="N103" s="3465"/>
    </row>
    <row r="104" spans="1:14">
      <c r="A104" s="3847" t="s">
        <v>3302</v>
      </c>
      <c r="B104" s="3847" t="s">
        <v>3303</v>
      </c>
      <c r="C104" s="3387" t="s">
        <v>3304</v>
      </c>
      <c r="D104" s="3388"/>
      <c r="E104" s="3388"/>
      <c r="F104" s="3388"/>
      <c r="G104" s="3388"/>
      <c r="H104" s="3388"/>
      <c r="I104" s="3388"/>
      <c r="J104" s="3389"/>
      <c r="K104" s="3390"/>
      <c r="L104" s="3390"/>
      <c r="M104" s="3390"/>
      <c r="N104" s="3390"/>
    </row>
    <row r="105" spans="1:14">
      <c r="A105" s="3847"/>
      <c r="B105" s="3847"/>
      <c r="C105" s="3466" t="s">
        <v>1961</v>
      </c>
      <c r="D105" s="3466" t="s">
        <v>3306</v>
      </c>
      <c r="E105" s="3466" t="s">
        <v>3307</v>
      </c>
      <c r="F105" s="3466" t="s">
        <v>3308</v>
      </c>
      <c r="G105" s="3466" t="s">
        <v>1965</v>
      </c>
      <c r="H105" s="3466" t="s">
        <v>1966</v>
      </c>
      <c r="I105" s="3466" t="s">
        <v>3311</v>
      </c>
      <c r="J105" s="3466" t="s">
        <v>3312</v>
      </c>
      <c r="K105" s="3466" t="s">
        <v>3313</v>
      </c>
      <c r="L105" s="3466" t="s">
        <v>1970</v>
      </c>
      <c r="M105" s="3466" t="s">
        <v>3315</v>
      </c>
      <c r="N105" s="3466" t="s">
        <v>3316</v>
      </c>
    </row>
    <row r="106" spans="1:14">
      <c r="A106" s="3833" t="s">
        <v>3317</v>
      </c>
      <c r="B106" s="3466">
        <v>1</v>
      </c>
      <c r="C106" s="3466">
        <v>1.5206</v>
      </c>
      <c r="D106" s="3466">
        <v>1.5206</v>
      </c>
      <c r="E106" s="3466">
        <v>1.5019</v>
      </c>
      <c r="F106" s="3466">
        <v>1.5019</v>
      </c>
      <c r="G106" s="3466">
        <v>1.5019</v>
      </c>
      <c r="H106" s="3466">
        <v>1.5019</v>
      </c>
      <c r="I106" s="3466">
        <v>1.5019</v>
      </c>
      <c r="J106" s="3466">
        <v>1.5418000000000001</v>
      </c>
      <c r="K106" s="3466">
        <v>1.5418000000000001</v>
      </c>
      <c r="L106" s="3466">
        <v>1.5418000000000001</v>
      </c>
      <c r="M106" s="3466">
        <v>1.5418000000000001</v>
      </c>
      <c r="N106" s="3466">
        <v>1.5418000000000001</v>
      </c>
    </row>
    <row r="107" spans="1:14">
      <c r="A107" s="3834"/>
      <c r="B107" s="3466">
        <v>2</v>
      </c>
      <c r="C107" s="3466">
        <v>1.2072000000000001</v>
      </c>
      <c r="D107" s="3466">
        <v>1.2072000000000001</v>
      </c>
      <c r="E107" s="3466">
        <v>1.1838</v>
      </c>
      <c r="F107" s="3466">
        <v>1.1838</v>
      </c>
      <c r="G107" s="3466">
        <v>1.1838</v>
      </c>
      <c r="H107" s="3466">
        <v>1.1838</v>
      </c>
      <c r="I107" s="3466">
        <v>1.1838</v>
      </c>
      <c r="J107" s="3466">
        <v>1.1883999999999999</v>
      </c>
      <c r="K107" s="3466">
        <v>1.1883999999999999</v>
      </c>
      <c r="L107" s="3466">
        <v>1.1883999999999999</v>
      </c>
      <c r="M107" s="3466">
        <v>1.1883999999999999</v>
      </c>
      <c r="N107" s="3466">
        <v>1.1883999999999999</v>
      </c>
    </row>
    <row r="108" spans="1:14">
      <c r="A108" s="3834"/>
      <c r="B108" s="3466">
        <v>3</v>
      </c>
      <c r="C108" s="3466">
        <v>1.0430999999999999</v>
      </c>
      <c r="D108" s="3466">
        <v>1.0430999999999999</v>
      </c>
      <c r="E108" s="3466">
        <v>1.0004999999999999</v>
      </c>
      <c r="F108" s="3466">
        <v>1.0004999999999999</v>
      </c>
      <c r="G108" s="3466">
        <v>1.0004999999999999</v>
      </c>
      <c r="H108" s="3466">
        <v>1.0004999999999999</v>
      </c>
      <c r="I108" s="3466">
        <v>1.0004999999999999</v>
      </c>
      <c r="J108" s="3466">
        <v>0.96940000000000004</v>
      </c>
      <c r="K108" s="3466">
        <v>0.96940000000000004</v>
      </c>
      <c r="L108" s="3466">
        <v>0.96940000000000004</v>
      </c>
      <c r="M108" s="3466">
        <v>0.96940000000000004</v>
      </c>
      <c r="N108" s="3466">
        <v>0.96940000000000004</v>
      </c>
    </row>
    <row r="109" spans="1:14">
      <c r="A109" s="3834"/>
      <c r="B109" s="3466">
        <v>4</v>
      </c>
      <c r="C109" s="3466">
        <v>0.94389999999999996</v>
      </c>
      <c r="D109" s="3466">
        <v>0.94389999999999996</v>
      </c>
      <c r="E109" s="3466">
        <v>0.88239999999999996</v>
      </c>
      <c r="F109" s="3466">
        <v>0.88239999999999996</v>
      </c>
      <c r="G109" s="3466">
        <v>0.88239999999999996</v>
      </c>
      <c r="H109" s="3466">
        <v>0.88239999999999996</v>
      </c>
      <c r="I109" s="3466">
        <v>0.88239999999999996</v>
      </c>
      <c r="J109" s="3466">
        <v>0.82299999999999995</v>
      </c>
      <c r="K109" s="3466">
        <v>0.82299999999999995</v>
      </c>
      <c r="L109" s="3466">
        <v>0.82299999999999995</v>
      </c>
      <c r="M109" s="3466">
        <v>0.82299999999999995</v>
      </c>
      <c r="N109" s="3466">
        <v>0.82299999999999995</v>
      </c>
    </row>
    <row r="110" spans="1:14">
      <c r="A110" s="3834"/>
      <c r="B110" s="3466">
        <v>5</v>
      </c>
      <c r="C110" s="3466">
        <v>0.89959999999999996</v>
      </c>
      <c r="D110" s="3466">
        <v>0.89959999999999996</v>
      </c>
      <c r="E110" s="3466">
        <v>0.84799999999999998</v>
      </c>
      <c r="F110" s="3466">
        <v>0.84799999999999998</v>
      </c>
      <c r="G110" s="3466">
        <v>0.84799999999999998</v>
      </c>
      <c r="H110" s="3466">
        <v>0.84799999999999998</v>
      </c>
      <c r="I110" s="3466">
        <v>0.84799999999999998</v>
      </c>
      <c r="J110" s="3466">
        <v>0.74980000000000002</v>
      </c>
      <c r="K110" s="3466">
        <v>0.74980000000000002</v>
      </c>
      <c r="L110" s="3466">
        <v>0.74980000000000002</v>
      </c>
      <c r="M110" s="3466">
        <v>0.74980000000000002</v>
      </c>
      <c r="N110" s="3466">
        <v>0.74980000000000002</v>
      </c>
    </row>
    <row r="111" spans="1:14">
      <c r="A111" s="3834"/>
      <c r="B111" s="3466"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5"/>
      <c r="B112" s="3466">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6" t="s">
        <v>3318</v>
      </c>
      <c r="B113" s="3836"/>
      <c r="C113" s="3836"/>
      <c r="D113" s="3836"/>
      <c r="E113" s="3836"/>
      <c r="F113" s="3836"/>
      <c r="G113" s="3836"/>
      <c r="H113" s="3836"/>
      <c r="I113" s="3836"/>
      <c r="J113" s="3836"/>
      <c r="K113" s="3463"/>
      <c r="L113" s="3463"/>
      <c r="M113" s="3463"/>
      <c r="N113" s="346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1936</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1990</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1992</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93:C101 C83:C91 C50:C58">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20" sqref="H2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t="s">
        <v>673</v>
      </c>
      <c r="D1" s="1358" t="s">
        <v>43</v>
      </c>
      <c r="E1" s="1359" t="s">
        <v>678</v>
      </c>
      <c r="F1" s="1058">
        <f ca="1">J53</f>
        <v>23.96</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191825</v>
      </c>
      <c r="C2" s="1383" t="s">
        <v>805</v>
      </c>
      <c r="D2" s="1383"/>
      <c r="E2" s="1384"/>
      <c r="F2" s="1385"/>
      <c r="G2" s="2702"/>
      <c r="H2" s="2691"/>
      <c r="I2" s="2691"/>
      <c r="J2" s="2691"/>
      <c r="K2" s="2692"/>
      <c r="L2" s="2691"/>
      <c r="M2" s="2691"/>
    </row>
    <row r="3" spans="1:37" ht="18" customHeight="1" thickBot="1">
      <c r="A3" s="1386" t="s">
        <v>806</v>
      </c>
      <c r="B3" s="1387">
        <f ca="1">IF(ISERROR(B2*10000/F43),0,ROUND(B2*10000/F43,0))</f>
        <v>30742</v>
      </c>
      <c r="C3" s="1383" t="s">
        <v>807</v>
      </c>
      <c r="D3" s="1383"/>
      <c r="E3" s="1384"/>
      <c r="F3" s="1385"/>
      <c r="G3" s="2702"/>
      <c r="H3" s="682"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12314</v>
      </c>
      <c r="D5" s="1360" t="s">
        <v>693</v>
      </c>
      <c r="E5" s="1067"/>
      <c r="F5" s="1068"/>
      <c r="G5" s="1380"/>
      <c r="H5" s="298">
        <v>1</v>
      </c>
      <c r="I5" s="299" t="s">
        <v>692</v>
      </c>
      <c r="J5" s="1066">
        <f ca="1">J6+J10+J12</f>
        <v>0</v>
      </c>
      <c r="K5" s="1360" t="s">
        <v>693</v>
      </c>
      <c r="L5" s="1067"/>
      <c r="M5" s="1068"/>
    </row>
    <row r="6" spans="1:37" ht="18" customHeight="1">
      <c r="A6" s="1065" t="s">
        <v>398</v>
      </c>
      <c r="B6" s="3733" t="s">
        <v>694</v>
      </c>
      <c r="C6" s="1070">
        <f ca="1">ROUND(F6*F8*F7*(1-F9)/10000,0)</f>
        <v>12299</v>
      </c>
      <c r="D6" s="155" t="s">
        <v>2109</v>
      </c>
      <c r="E6" s="301" t="s">
        <v>696</v>
      </c>
      <c r="F6" s="302">
        <f ca="1">INDIRECT("'数据-取费表'!u"&amp;$G$1)</f>
        <v>6</v>
      </c>
      <c r="G6" s="1380"/>
      <c r="H6" s="1065" t="s">
        <v>398</v>
      </c>
      <c r="I6" s="3733" t="s">
        <v>694</v>
      </c>
      <c r="J6" s="300">
        <f ca="1">ROUND(M6*M8*M7*(1-M9)/10000,0)</f>
        <v>0</v>
      </c>
      <c r="K6" s="155" t="s">
        <v>2108</v>
      </c>
      <c r="L6" s="301" t="s">
        <v>696</v>
      </c>
      <c r="M6" s="302">
        <f ca="1">INDIRECT("'数据-取费表'!z"&amp;$G$1)</f>
        <v>0</v>
      </c>
    </row>
    <row r="7" spans="1:37" ht="18" customHeight="1">
      <c r="A7" s="1069"/>
      <c r="B7" s="3734"/>
      <c r="C7" s="1071"/>
      <c r="D7" s="306"/>
      <c r="E7" s="1072" t="s">
        <v>697</v>
      </c>
      <c r="F7" s="302">
        <f ca="1">IF(INDIRECT("'数据-取费表'!ah"&amp;$G$1)="",INDIRECT("'数据-取费表'!k"&amp;$G$1),INDIRECT("'数据-取费表'!ah"&amp;$G$1))</f>
        <v>62397.95</v>
      </c>
      <c r="G7" s="1380"/>
      <c r="H7" s="303"/>
      <c r="I7" s="3734"/>
      <c r="J7" s="305"/>
      <c r="K7" s="306"/>
      <c r="L7" s="301" t="s">
        <v>697</v>
      </c>
      <c r="M7" s="302">
        <f ca="1">F7</f>
        <v>62397.95</v>
      </c>
    </row>
    <row r="8" spans="1:37" ht="18" customHeight="1">
      <c r="A8" s="303"/>
      <c r="B8" s="3734"/>
      <c r="C8" s="305"/>
      <c r="D8" s="306"/>
      <c r="E8" s="301" t="s">
        <v>698</v>
      </c>
      <c r="F8" s="302">
        <f ca="1">INDIRECT("'数据-取费表'!ai"&amp;$G$1)</f>
        <v>365</v>
      </c>
      <c r="G8" s="1380"/>
      <c r="H8" s="303"/>
      <c r="I8" s="3734"/>
      <c r="J8" s="305"/>
      <c r="K8" s="306"/>
      <c r="L8" s="301" t="s">
        <v>698</v>
      </c>
      <c r="M8" s="302">
        <f ca="1">INDIRECT("'数据-取费表'!ai"&amp;$G$1)</f>
        <v>365</v>
      </c>
    </row>
    <row r="9" spans="1:37" ht="18" customHeight="1">
      <c r="A9" s="303"/>
      <c r="B9" s="3735"/>
      <c r="C9" s="305"/>
      <c r="D9" s="306"/>
      <c r="E9" s="301" t="s">
        <v>699</v>
      </c>
      <c r="F9" s="311">
        <f ca="1">INDIRECT("'数据-取费表'!w"&amp;$G$1)</f>
        <v>0.1</v>
      </c>
      <c r="G9" s="1380"/>
      <c r="H9" s="303"/>
      <c r="I9" s="3735"/>
      <c r="J9" s="305"/>
      <c r="K9" s="306"/>
      <c r="L9" s="312" t="s">
        <v>699</v>
      </c>
      <c r="M9" s="313">
        <f ca="1">INDIRECT("'数据-取费表'!ab"&amp;$G$1)</f>
        <v>0</v>
      </c>
    </row>
    <row r="10" spans="1:37" ht="18" customHeight="1">
      <c r="A10" s="1065" t="s">
        <v>402</v>
      </c>
      <c r="B10" s="1361" t="s">
        <v>700</v>
      </c>
      <c r="C10" s="315">
        <f ca="1">ROUND(IF(F10="押一",C6/12*F11,IF(F10="押二",C6/12*2*F11,IF(F10="押三",C6/12*3*F11,C11*F11))),0)</f>
        <v>15</v>
      </c>
      <c r="D10" s="1362" t="s">
        <v>2117</v>
      </c>
      <c r="E10" s="312" t="s">
        <v>701</v>
      </c>
      <c r="F10" s="1112" t="s">
        <v>3554</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44503</v>
      </c>
      <c r="D13" s="1077" t="s">
        <v>705</v>
      </c>
      <c r="E13" s="1077" t="s">
        <v>706</v>
      </c>
      <c r="F13" s="1078">
        <f ca="1">INDIRECT("'数据-取费表'!y"&amp;$G$1)</f>
        <v>0.86499999999999999</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34319</v>
      </c>
      <c r="D14" s="1341" t="s">
        <v>708</v>
      </c>
      <c r="E14" s="1338"/>
      <c r="F14" s="318"/>
      <c r="G14" s="1380"/>
      <c r="H14" s="978" t="s">
        <v>398</v>
      </c>
      <c r="I14" s="301" t="s">
        <v>709</v>
      </c>
      <c r="J14" s="21">
        <f ca="1">C29</f>
        <v>51448</v>
      </c>
      <c r="K14" s="12"/>
      <c r="L14" s="803"/>
      <c r="M14" s="804"/>
    </row>
    <row r="15" spans="1:37" s="1393" customFormat="1" ht="18" customHeight="1" thickBot="1">
      <c r="A15" s="978" t="s">
        <v>399</v>
      </c>
      <c r="B15" s="301" t="s">
        <v>710</v>
      </c>
      <c r="C15" s="21">
        <f ca="1">ROUND(C14*F15,0)</f>
        <v>1373</v>
      </c>
      <c r="D15" s="319" t="s">
        <v>711</v>
      </c>
      <c r="E15" s="319"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772</v>
      </c>
      <c r="K16" s="1083" t="s">
        <v>715</v>
      </c>
      <c r="L16" s="1084"/>
      <c r="M16" s="1068"/>
    </row>
    <row r="17" spans="1:37" s="1393" customFormat="1" ht="18" customHeight="1">
      <c r="A17" s="978" t="s">
        <v>681</v>
      </c>
      <c r="B17" s="301" t="s">
        <v>716</v>
      </c>
      <c r="C17" s="21">
        <f ca="1">ROUND(F17*(F43+INDIRECT("'数据-取费表'!S"&amp;$G$1))/10000,0)</f>
        <v>1248</v>
      </c>
      <c r="D17" s="301" t="s">
        <v>717</v>
      </c>
      <c r="E17" s="301" t="s">
        <v>718</v>
      </c>
      <c r="F17" s="23">
        <f>'数据-取费表'!B35</f>
        <v>200</v>
      </c>
      <c r="G17" s="1392"/>
      <c r="H17" s="978" t="s">
        <v>398</v>
      </c>
      <c r="I17" s="301"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515</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37455</v>
      </c>
      <c r="D19" s="131" t="s">
        <v>726</v>
      </c>
      <c r="E19" s="1356"/>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749</v>
      </c>
      <c r="D20" s="322" t="s">
        <v>729</v>
      </c>
      <c r="E20" s="301" t="s">
        <v>712</v>
      </c>
      <c r="F20" s="321">
        <f>'数据-取费表'!B37</f>
        <v>0.02</v>
      </c>
      <c r="G20" s="1392"/>
      <c r="H20" s="978" t="s">
        <v>680</v>
      </c>
      <c r="I20" s="155" t="s">
        <v>730</v>
      </c>
      <c r="J20" s="22">
        <f ca="1">ROUND(M20*M21/10000,2)</f>
        <v>15.07</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0.02</v>
      </c>
      <c r="G21" s="1392"/>
      <c r="H21" s="325"/>
      <c r="I21" s="310"/>
      <c r="J21" s="26"/>
      <c r="K21" s="326"/>
      <c r="L21" s="301" t="s">
        <v>736</v>
      </c>
      <c r="M21" s="302">
        <f ca="1">INDIRECT("'数据-取费表'!r"&amp;$G$1)</f>
        <v>12557.73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1356"/>
      <c r="F22" s="23"/>
      <c r="G22" s="1380"/>
      <c r="H22" s="978" t="s">
        <v>402</v>
      </c>
      <c r="I22" s="301" t="s">
        <v>738</v>
      </c>
      <c r="J22" s="21">
        <f ca="1">ROUND(J14*M22,2)</f>
        <v>771.72</v>
      </c>
      <c r="K22" s="1340" t="s">
        <v>739</v>
      </c>
      <c r="L22" s="301" t="s">
        <v>712</v>
      </c>
      <c r="M22" s="327">
        <f ca="1">INDIRECT("'数据-取费表'!Ak"&amp;$G$1)</f>
        <v>1.4999999999999999E-2</v>
      </c>
    </row>
    <row r="23" spans="1:37" s="1393" customFormat="1" ht="18" customHeight="1">
      <c r="A23" s="978" t="s">
        <v>397</v>
      </c>
      <c r="B23" s="301" t="s">
        <v>740</v>
      </c>
      <c r="C23" s="21">
        <f ca="1">IF('数据-取费表'!B22&lt;=1,ROUND(C19*F24*F23/2,0)+ROUND(C20*F24*F23/2,0),ROUND(C19*(POWER((1+F24),F23/2)-1),0)+ROUND(C20*(POWER((1+F24),F23/2)-1),0))</f>
        <v>1585</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ROUND(J5*M24,2)</f>
        <v>0</v>
      </c>
      <c r="K24" s="1088" t="s">
        <v>748</v>
      </c>
      <c r="L24" s="1086" t="s">
        <v>744</v>
      </c>
      <c r="M24" s="1082">
        <f ca="1">INDIRECT("'数据-取费表'!Am"&amp;$G$1)</f>
        <v>1.4999999999999999E-2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1" t="s">
        <v>751</v>
      </c>
      <c r="E25" s="1356"/>
      <c r="F25" s="23"/>
      <c r="G25" s="1380"/>
      <c r="H25" s="1075" t="s">
        <v>394</v>
      </c>
      <c r="I25" s="1090" t="s">
        <v>752</v>
      </c>
      <c r="J25" s="309">
        <f ca="1">J5-J16</f>
        <v>-772</v>
      </c>
      <c r="K25" s="1091" t="s">
        <v>753</v>
      </c>
      <c r="L25" s="1092"/>
      <c r="M25" s="1093"/>
    </row>
    <row r="26" spans="1:37">
      <c r="A26" s="978" t="s">
        <v>397</v>
      </c>
      <c r="B26" s="301" t="s">
        <v>754</v>
      </c>
      <c r="C26" s="21">
        <f ca="1">ROUND((C19+C20)*F26,0)</f>
        <v>7641</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4.0000000000000001E-3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51448</v>
      </c>
      <c r="D29" s="1088"/>
      <c r="E29" s="1086"/>
      <c r="F29" s="1089"/>
      <c r="G29" s="1392"/>
      <c r="H29" s="333" t="s">
        <v>396</v>
      </c>
      <c r="I29" s="334" t="s">
        <v>768</v>
      </c>
      <c r="J29" s="335">
        <f ca="1">ROUND(J26/(1+F40)^F41,0)</f>
        <v>0</v>
      </c>
      <c r="K29" s="336" t="s">
        <v>769</v>
      </c>
      <c r="L29" s="337"/>
      <c r="M29" s="338">
        <f ca="1">INDIRECT("'数据-取费表'!k"&amp;$G$1)</f>
        <v>62397.95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2407</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1405.6</v>
      </c>
      <c r="D31" s="1341" t="s">
        <v>720</v>
      </c>
      <c r="E31" s="1340" t="s">
        <v>770</v>
      </c>
      <c r="F31" s="2311">
        <f ca="1">IF(项目基本情况!B11="企业","——",IF(M47="住宅",IF(F6*F7*F8/12/(1+'数据-取费表'!F30)&gt;100000,4%,2.5%),IF(F6*F7*F8/12/(1+'数据-取费表'!F30)&gt;100000,12%,7%)))</f>
        <v>0.12</v>
      </c>
      <c r="G31" s="1380"/>
      <c r="H31" s="2804" t="s">
        <v>2310</v>
      </c>
      <c r="I31" s="1394"/>
      <c r="J31" s="1395"/>
      <c r="K31" s="2471"/>
      <c r="L31" s="2694"/>
      <c r="M31" s="2695"/>
    </row>
    <row r="32" spans="1:37" ht="18" customHeight="1">
      <c r="A32" s="978" t="s">
        <v>397</v>
      </c>
      <c r="B32" s="301" t="s">
        <v>723</v>
      </c>
      <c r="C32" s="21" t="str">
        <f>IF(项目基本情况!B11="自然人","——",ROUND(C6*F32/(1+'数据-取费表'!C42),2))</f>
        <v>——</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IF(项目基本情况!B11="自然人","——",IF(D33="按租金收入计税",ROUND(C6*F33/(1+'数据-取费表'!C42),2),IF(D33="按房产原值计税",ROUND(C29*F33*0.7,2),INDIRECT("'数据-取费表'!Aj"&amp;$G$1))))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IF(项目基本情况!B11="自然人","——",ROUND(F34*F35/10000,2))</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12557.73</v>
      </c>
      <c r="G35" s="1380"/>
      <c r="H35" s="2693"/>
      <c r="I35" s="1394"/>
      <c r="J35" s="1395"/>
      <c r="K35" s="2697"/>
      <c r="L35" s="2696"/>
      <c r="M35" s="2696"/>
    </row>
    <row r="36" spans="1:18" ht="18" customHeight="1">
      <c r="A36" s="1098" t="s">
        <v>402</v>
      </c>
      <c r="B36" s="301" t="s">
        <v>738</v>
      </c>
      <c r="C36" s="21">
        <f ca="1">ROUND(C29*F36,2)</f>
        <v>771.72</v>
      </c>
      <c r="D36" s="1340" t="s">
        <v>771</v>
      </c>
      <c r="E36" s="301" t="s">
        <v>712</v>
      </c>
      <c r="F36" s="327">
        <f ca="1">INDIRECT("'数据-取费表'!Ak"&amp;$G$1)</f>
        <v>1.4999999999999999E-2</v>
      </c>
      <c r="G36" s="1380"/>
      <c r="H36" s="2696"/>
      <c r="I36" s="1394"/>
      <c r="J36" s="1395"/>
      <c r="K36" s="2540"/>
      <c r="L36" s="2696"/>
      <c r="M36" s="2696"/>
    </row>
    <row r="37" spans="1:18" ht="18" customHeight="1">
      <c r="A37" s="978" t="s">
        <v>437</v>
      </c>
      <c r="B37" s="301" t="s">
        <v>742</v>
      </c>
      <c r="C37" s="21">
        <f ca="1">ROUND(C13*F37,2)</f>
        <v>44.5</v>
      </c>
      <c r="D37" s="1340" t="s">
        <v>743</v>
      </c>
      <c r="E37" s="301" t="s">
        <v>744</v>
      </c>
      <c r="F37" s="329">
        <f ca="1">INDIRECT("'数据-取费表'!Al"&amp;$G$1)</f>
        <v>1E-3</v>
      </c>
      <c r="G37" s="1380"/>
      <c r="H37" s="2696"/>
      <c r="I37" s="1394"/>
      <c r="J37" s="1395"/>
      <c r="K37" s="2540"/>
      <c r="L37" s="2696"/>
      <c r="M37" s="2696"/>
    </row>
    <row r="38" spans="1:18" ht="18" customHeight="1" thickBot="1">
      <c r="A38" s="1085" t="s">
        <v>684</v>
      </c>
      <c r="B38" s="1086" t="s">
        <v>728</v>
      </c>
      <c r="C38" s="1087">
        <f ca="1">ROUND(C5*F38,2)</f>
        <v>184.71</v>
      </c>
      <c r="D38" s="1088" t="s">
        <v>748</v>
      </c>
      <c r="E38" s="1086" t="s">
        <v>744</v>
      </c>
      <c r="F38" s="1082">
        <f ca="1">INDIRECT("'数据-取费表'!Am"&amp;$G$1)</f>
        <v>1.4999999999999999E-2</v>
      </c>
      <c r="G38" s="1380"/>
      <c r="H38" s="2696"/>
      <c r="I38" s="1394"/>
      <c r="J38" s="1395"/>
      <c r="K38" s="2700"/>
      <c r="L38" s="2696"/>
      <c r="M38" s="2696"/>
    </row>
    <row r="39" spans="1:18" ht="24.6" customHeight="1" thickTop="1">
      <c r="A39" s="1075" t="s">
        <v>394</v>
      </c>
      <c r="B39" s="1090" t="s">
        <v>772</v>
      </c>
      <c r="C39" s="309">
        <f ca="1">C5-C30</f>
        <v>9907</v>
      </c>
      <c r="D39" s="1091" t="s">
        <v>773</v>
      </c>
      <c r="E39" s="1092"/>
      <c r="F39" s="1093"/>
      <c r="G39" s="1380"/>
      <c r="H39" s="2696"/>
      <c r="I39" s="1394"/>
      <c r="J39" s="1395"/>
      <c r="K39" s="2700"/>
      <c r="L39" s="2696"/>
      <c r="M39" s="2696"/>
    </row>
    <row r="40" spans="1:18" ht="18" customHeight="1">
      <c r="A40" s="298" t="s">
        <v>395</v>
      </c>
      <c r="B40" s="299" t="s">
        <v>774</v>
      </c>
      <c r="C40" s="300">
        <f ca="1">ROUND(C39*(1-((1+F42)/(1+F40))^F41)/(F40-F42),0)</f>
        <v>191825</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23.96</v>
      </c>
      <c r="G41" s="1380"/>
      <c r="H41" s="1187"/>
      <c r="I41" s="1394"/>
      <c r="J41" s="1395"/>
      <c r="K41" s="2540"/>
      <c r="L41" s="1187"/>
      <c r="M41" s="1187"/>
    </row>
    <row r="42" spans="1:18" ht="18" customHeight="1">
      <c r="A42" s="307"/>
      <c r="B42" s="308"/>
      <c r="C42" s="309"/>
      <c r="D42" s="326"/>
      <c r="E42" s="301" t="s">
        <v>766</v>
      </c>
      <c r="F42" s="311">
        <f ca="1">INDIRECT("'数据-取费表'!v"&amp;$G$1)</f>
        <v>0.04</v>
      </c>
      <c r="G42" s="1380"/>
      <c r="H42" s="1187"/>
      <c r="I42" s="1394"/>
      <c r="J42" s="1395"/>
      <c r="K42" s="2540"/>
      <c r="L42" s="1187"/>
      <c r="M42" s="1187"/>
    </row>
    <row r="43" spans="1:18" ht="18" customHeight="1" thickBot="1">
      <c r="A43" s="333" t="s">
        <v>396</v>
      </c>
      <c r="B43" s="334" t="s">
        <v>776</v>
      </c>
      <c r="C43" s="335">
        <f ca="1">ROUND(C40*10000/F43,0)</f>
        <v>30742</v>
      </c>
      <c r="D43" s="336" t="s">
        <v>777</v>
      </c>
      <c r="E43" s="337" t="s">
        <v>778</v>
      </c>
      <c r="F43" s="338">
        <f ca="1">INDIRECT("'数据-取费表'!k"&amp;$G$1)</f>
        <v>62397.95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808</v>
      </c>
      <c r="P45" s="1457"/>
      <c r="Q45" s="1457"/>
      <c r="R45" s="1457"/>
    </row>
    <row r="46" spans="1:18" s="1380" customFormat="1" ht="13.5" thickBot="1">
      <c r="A46" s="1400" t="s">
        <v>809</v>
      </c>
      <c r="C46" s="1401">
        <f ca="1">C68-C40</f>
        <v>-202548</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1"/>
      <c r="I47" s="1410" t="s">
        <v>815</v>
      </c>
      <c r="J47" s="1411" t="s">
        <v>3555</v>
      </c>
      <c r="K47" s="1412" t="s">
        <v>816</v>
      </c>
      <c r="L47" s="1413">
        <f ca="1">INDIRECT("'数据-取费表'!d"&amp;$G$1)</f>
        <v>40</v>
      </c>
      <c r="M47" s="1376" t="str">
        <f>IF(ISNUMBER(FIND("住宅",C1)),"住宅","非住宅")</f>
        <v>非住宅</v>
      </c>
      <c r="O47" s="1414" t="s">
        <v>403</v>
      </c>
      <c r="P47" s="1415" t="s">
        <v>817</v>
      </c>
      <c r="Q47" s="1416">
        <f ca="1">C40+J29</f>
        <v>191825</v>
      </c>
      <c r="R47" s="1416" t="s">
        <v>818</v>
      </c>
    </row>
    <row r="48" spans="1:18" s="1380" customFormat="1" ht="28.5" thickBot="1">
      <c r="A48" s="1106" t="s">
        <v>438</v>
      </c>
      <c r="B48" s="299" t="s">
        <v>692</v>
      </c>
      <c r="C48" s="1355">
        <f ca="1">C49+C53+C55</f>
        <v>0</v>
      </c>
      <c r="D48" s="1108"/>
      <c r="E48" s="1109"/>
      <c r="F48" s="958"/>
      <c r="G48" s="721"/>
      <c r="H48" s="722"/>
      <c r="I48" s="1417" t="s">
        <v>819</v>
      </c>
      <c r="J48" s="1418" t="s">
        <v>3556</v>
      </c>
      <c r="K48" s="1419" t="s">
        <v>820</v>
      </c>
      <c r="L48" s="1420">
        <f ca="1">INDIRECT("'数据-取费表'!f"&amp;$G$1)</f>
        <v>23.96</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2110</v>
      </c>
      <c r="E49" s="1368" t="s">
        <v>780</v>
      </c>
      <c r="F49" s="1056"/>
      <c r="G49" s="1421"/>
      <c r="H49" s="722"/>
      <c r="I49" s="1417" t="s">
        <v>823</v>
      </c>
      <c r="J49" s="1422">
        <v>2012</v>
      </c>
      <c r="K49" s="1419" t="s">
        <v>824</v>
      </c>
      <c r="L49" s="1423"/>
      <c r="O49" s="1424" t="s">
        <v>405</v>
      </c>
      <c r="P49" s="1415" t="s">
        <v>825</v>
      </c>
      <c r="Q49" s="1416">
        <f ca="1">C29</f>
        <v>51448</v>
      </c>
      <c r="R49" s="1416" t="s">
        <v>818</v>
      </c>
    </row>
    <row r="50" spans="1:18" s="1380" customFormat="1" ht="13.5" thickBot="1">
      <c r="A50" s="972"/>
      <c r="B50" s="975"/>
      <c r="C50" s="1114"/>
      <c r="D50" s="949"/>
      <c r="E50" s="1052" t="s">
        <v>697</v>
      </c>
      <c r="F50" s="1053">
        <f ca="1">F7</f>
        <v>62397.95</v>
      </c>
      <c r="H50" s="722"/>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365</v>
      </c>
      <c r="I51" s="1428" t="s">
        <v>829</v>
      </c>
      <c r="J51" s="1429">
        <f>IF(J49="",J50,J49+J50-YEAR('数据-取费表'!B2))</f>
        <v>49</v>
      </c>
      <c r="K51" s="1430" t="s">
        <v>830</v>
      </c>
      <c r="L51" s="1431">
        <f ca="1">ROUND(-PV(INDIRECT("'数据-取费表'!h"&amp;$G$1),J51,(C39-C13*C76),0),0)</f>
        <v>119355</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f>'数据-取费表'!J6+0.5%</f>
        <v>0.08</v>
      </c>
      <c r="K52" s="1433" t="s">
        <v>833</v>
      </c>
      <c r="L52" s="1434"/>
      <c r="O52" s="1424" t="s">
        <v>408</v>
      </c>
      <c r="P52" s="1415" t="s">
        <v>834</v>
      </c>
      <c r="Q52" s="1416">
        <f ca="1">J53</f>
        <v>23.96</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23.96</v>
      </c>
      <c r="K53" s="3736" t="s">
        <v>837</v>
      </c>
      <c r="L53" s="3737"/>
      <c r="O53" s="1414" t="s">
        <v>409</v>
      </c>
      <c r="P53" s="1415" t="s">
        <v>838</v>
      </c>
      <c r="Q53" s="1416">
        <f ca="1">Q47+Q48</f>
        <v>191825</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1">
        <f ca="1">C13</f>
        <v>44503</v>
      </c>
      <c r="D56" s="1443"/>
      <c r="E56" s="1444"/>
      <c r="F56" s="1436"/>
      <c r="I56" s="1445" t="s">
        <v>842</v>
      </c>
      <c r="J56" s="1446" t="s">
        <v>3529</v>
      </c>
      <c r="K56" s="1417" t="s">
        <v>843</v>
      </c>
      <c r="L56" s="1420" t="str">
        <f ca="1">IF(L48&lt;J51,"——",L48-J53)</f>
        <v>——</v>
      </c>
      <c r="O56" s="1414" t="s">
        <v>403</v>
      </c>
      <c r="P56" s="1415" t="s">
        <v>817</v>
      </c>
      <c r="Q56" s="1416">
        <f ca="1">C40+J29</f>
        <v>191825</v>
      </c>
      <c r="R56" s="1416" t="s">
        <v>818</v>
      </c>
    </row>
    <row r="57" spans="1:18" s="1380" customFormat="1" ht="24.75" thickBot="1">
      <c r="A57" s="1447"/>
      <c r="B57" s="946" t="s">
        <v>767</v>
      </c>
      <c r="C57" s="237">
        <f ca="1">C29</f>
        <v>51448</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816</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0">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4">
        <f t="shared" si="0"/>
        <v>12</v>
      </c>
      <c r="I62" s="1458" t="s">
        <v>858</v>
      </c>
      <c r="J62" s="1459" t="s">
        <v>859</v>
      </c>
      <c r="K62" s="1459" t="s">
        <v>860</v>
      </c>
      <c r="L62" s="1459" t="s">
        <v>861</v>
      </c>
      <c r="M62" s="1460" t="s">
        <v>862</v>
      </c>
      <c r="O62" s="1414" t="s">
        <v>409</v>
      </c>
      <c r="P62" s="1415" t="s">
        <v>863</v>
      </c>
      <c r="Q62" s="1416">
        <f ca="1">Q56+Q57</f>
        <v>191825</v>
      </c>
      <c r="R62" s="1416" t="s">
        <v>410</v>
      </c>
    </row>
    <row r="63" spans="1:18" s="1380" customFormat="1" ht="13.5" thickBot="1">
      <c r="A63" s="325"/>
      <c r="B63" s="952"/>
      <c r="C63" s="26"/>
      <c r="D63" s="962"/>
      <c r="E63" s="946" t="s">
        <v>788</v>
      </c>
      <c r="F63" s="302">
        <f t="shared" ca="1" si="0"/>
        <v>12557.73</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771.72</v>
      </c>
      <c r="D64" s="960" t="s">
        <v>791</v>
      </c>
      <c r="E64" s="946" t="s">
        <v>783</v>
      </c>
      <c r="F64" s="327">
        <f t="shared" ca="1" si="0"/>
        <v>1.4999999999999999E-2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44.5</v>
      </c>
      <c r="D65" s="960" t="s">
        <v>743</v>
      </c>
      <c r="E65" s="946" t="s">
        <v>744</v>
      </c>
      <c r="F65" s="329">
        <f t="shared" ca="1" si="0"/>
        <v>1E-3</v>
      </c>
      <c r="I65" s="1458" t="s">
        <v>867</v>
      </c>
      <c r="J65" s="1459">
        <v>40</v>
      </c>
      <c r="K65" s="1459">
        <v>30</v>
      </c>
      <c r="L65" s="1459">
        <v>50</v>
      </c>
      <c r="M65" s="1461">
        <v>0.02</v>
      </c>
      <c r="O65" s="1414" t="s">
        <v>403</v>
      </c>
      <c r="P65" s="1415" t="s">
        <v>868</v>
      </c>
      <c r="Q65" s="1416">
        <f ca="1">C40+J29</f>
        <v>191825</v>
      </c>
      <c r="R65" s="1416" t="s">
        <v>818</v>
      </c>
    </row>
    <row r="66" spans="1:18" s="1380" customFormat="1" ht="16.5" thickBot="1">
      <c r="A66" s="978" t="s">
        <v>793</v>
      </c>
      <c r="B66" s="946" t="s">
        <v>728</v>
      </c>
      <c r="C66" s="21">
        <f ca="1">ROUND(C48*F66,2)</f>
        <v>0</v>
      </c>
      <c r="D66" s="960" t="s">
        <v>794</v>
      </c>
      <c r="E66" s="946" t="s">
        <v>712</v>
      </c>
      <c r="F66" s="311">
        <f t="shared" ca="1" si="0"/>
        <v>1.4999999999999999E-2</v>
      </c>
      <c r="O66" s="1414" t="s">
        <v>404</v>
      </c>
      <c r="P66" s="1415" t="s">
        <v>846</v>
      </c>
      <c r="Q66" s="1416">
        <f ca="1">L60</f>
        <v>0</v>
      </c>
      <c r="R66" s="1416" t="s">
        <v>869</v>
      </c>
    </row>
    <row r="67" spans="1:18" s="1380" customFormat="1" ht="16.5" thickBot="1">
      <c r="A67" s="953" t="s">
        <v>394</v>
      </c>
      <c r="B67" s="963" t="s">
        <v>752</v>
      </c>
      <c r="C67" s="315">
        <f ca="1">C48-C58</f>
        <v>-816</v>
      </c>
      <c r="D67" s="959" t="s">
        <v>753</v>
      </c>
      <c r="E67" s="964"/>
      <c r="F67" s="965"/>
      <c r="O67" s="1424" t="s">
        <v>405</v>
      </c>
      <c r="P67" s="1415" t="s">
        <v>850</v>
      </c>
      <c r="Q67" s="1462">
        <f ca="1">L51</f>
        <v>119355</v>
      </c>
      <c r="R67" s="1416" t="s">
        <v>870</v>
      </c>
    </row>
    <row r="68" spans="1:18" s="1380" customFormat="1" ht="16.5" thickBot="1">
      <c r="A68" s="943" t="s">
        <v>395</v>
      </c>
      <c r="B68" s="944" t="s">
        <v>774</v>
      </c>
      <c r="C68" s="300">
        <f ca="1">ROUND(C67*(1-((1+F70)/(1+F68))^F69)/(F68-F70),0)</f>
        <v>-10723</v>
      </c>
      <c r="D68" s="961" t="s">
        <v>758</v>
      </c>
      <c r="E68" s="946" t="s">
        <v>759</v>
      </c>
      <c r="F68" s="311">
        <f ca="1">F40</f>
        <v>5.5E-2</v>
      </c>
      <c r="O68" s="1424" t="s">
        <v>406</v>
      </c>
      <c r="P68" s="1463" t="s">
        <v>871</v>
      </c>
      <c r="Q68" s="1416">
        <f ca="1">ROUND(Q69-Q70*Q71,0)</f>
        <v>6569</v>
      </c>
      <c r="R68" s="1416" t="s">
        <v>414</v>
      </c>
    </row>
    <row r="69" spans="1:18" s="1380" customFormat="1" ht="13.5" thickBot="1">
      <c r="A69" s="947"/>
      <c r="B69" s="948"/>
      <c r="C69" s="305"/>
      <c r="D69" s="966" t="s">
        <v>762</v>
      </c>
      <c r="E69" s="946" t="s">
        <v>763</v>
      </c>
      <c r="F69" s="332">
        <f ca="1">F41</f>
        <v>23.96</v>
      </c>
      <c r="O69" s="1424" t="s">
        <v>411</v>
      </c>
      <c r="P69" s="1463" t="s">
        <v>872</v>
      </c>
      <c r="Q69" s="1416">
        <f ca="1">C39</f>
        <v>9907</v>
      </c>
      <c r="R69" s="1416" t="s">
        <v>818</v>
      </c>
    </row>
    <row r="70" spans="1:18" s="1380" customFormat="1" ht="13.5" thickBot="1">
      <c r="A70" s="950"/>
      <c r="B70" s="951"/>
      <c r="C70" s="309"/>
      <c r="D70" s="962"/>
      <c r="E70" s="946" t="s">
        <v>766</v>
      </c>
      <c r="F70" s="1050"/>
      <c r="O70" s="1424" t="s">
        <v>412</v>
      </c>
      <c r="P70" s="1463" t="s">
        <v>873</v>
      </c>
      <c r="Q70" s="1416">
        <f ca="1">C13</f>
        <v>44503</v>
      </c>
      <c r="R70" s="1416" t="s">
        <v>818</v>
      </c>
    </row>
    <row r="71" spans="1:18" s="1380" customFormat="1" ht="13.5" thickBot="1">
      <c r="A71" s="967" t="s">
        <v>396</v>
      </c>
      <c r="B71" s="968" t="s">
        <v>776</v>
      </c>
      <c r="C71" s="335">
        <f ca="1">ROUND(C68*10000/F71,0)</f>
        <v>-1718</v>
      </c>
      <c r="D71" s="969" t="s">
        <v>777</v>
      </c>
      <c r="E71" s="970" t="s">
        <v>778</v>
      </c>
      <c r="F71" s="338">
        <f ca="1">F43</f>
        <v>62397.95</v>
      </c>
      <c r="O71" s="1424" t="s">
        <v>413</v>
      </c>
      <c r="P71" s="1463" t="s">
        <v>874</v>
      </c>
      <c r="Q71" s="1427">
        <f ca="1">C76</f>
        <v>7.4999999999999997E-2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3338</v>
      </c>
      <c r="D75" s="1380"/>
      <c r="E75" s="1380"/>
      <c r="F75" s="1380"/>
      <c r="K75" s="1398"/>
      <c r="L75" s="1380"/>
      <c r="O75" s="1414" t="s">
        <v>409</v>
      </c>
      <c r="P75" s="1415" t="s">
        <v>838</v>
      </c>
      <c r="Q75" s="1416">
        <f ca="1">Q65+Q66</f>
        <v>191825</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0.66300000000000003</v>
      </c>
    </row>
    <row r="80" spans="1:18">
      <c r="B80" s="339" t="s">
        <v>800</v>
      </c>
      <c r="C80" s="273">
        <f ca="1">ROUND(C75/C39,3)</f>
        <v>0.33700000000000002</v>
      </c>
    </row>
    <row r="81" spans="2:3">
      <c r="B81" s="269" t="s">
        <v>801</v>
      </c>
      <c r="C81" s="237"/>
    </row>
    <row r="82" spans="2:3">
      <c r="B82" s="272" t="s">
        <v>802</v>
      </c>
      <c r="C82" s="274">
        <f ca="1">1-C83</f>
        <v>0.76800000000000002</v>
      </c>
    </row>
    <row r="83" spans="2:3">
      <c r="B83" s="272" t="s">
        <v>803</v>
      </c>
      <c r="C83" s="273">
        <f ca="1">ROUND(C13/C40,3)</f>
        <v>0.23200000000000001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t="s">
        <v>3532</v>
      </c>
      <c r="D1" s="1743"/>
      <c r="E1" s="1743"/>
      <c r="F1" s="1745" t="s">
        <v>1263</v>
      </c>
      <c r="G1" s="1557" t="s">
        <v>3546</v>
      </c>
      <c r="H1" s="1746" t="str">
        <f>IF(G1="现房","——","估价对象范围")</f>
        <v>——</v>
      </c>
      <c r="I1" s="1747" t="s">
        <v>3547</v>
      </c>
    </row>
    <row r="2" spans="1:12" ht="21.75" customHeight="1" thickBot="1">
      <c r="A2" s="3706" t="str">
        <f>项目基本情况!S2</f>
        <v>北京市房地产</v>
      </c>
      <c r="B2" s="3707"/>
      <c r="C2" s="3707"/>
      <c r="D2" s="3707"/>
      <c r="E2" s="3707"/>
      <c r="F2" s="3707"/>
      <c r="G2" s="3707"/>
      <c r="H2" s="3707"/>
      <c r="I2" s="3708"/>
    </row>
    <row r="3" spans="1:12" ht="12.75">
      <c r="A3" s="3710" t="s">
        <v>1264</v>
      </c>
      <c r="B3" s="3711"/>
      <c r="C3" s="3711"/>
      <c r="D3" s="3711"/>
      <c r="E3" s="3711"/>
      <c r="F3" s="3711"/>
      <c r="G3" s="3711"/>
      <c r="H3" s="3711"/>
      <c r="I3" s="3711"/>
    </row>
    <row r="4" spans="1:12" ht="14.25">
      <c r="A4" s="1750" t="s">
        <v>1265</v>
      </c>
      <c r="B4" s="1751" t="s">
        <v>1266</v>
      </c>
      <c r="C4" s="1752" t="s">
        <v>3559</v>
      </c>
      <c r="D4" s="1752" t="s">
        <v>3551</v>
      </c>
      <c r="E4" s="3712" t="s">
        <v>1267</v>
      </c>
      <c r="F4" s="3713"/>
      <c r="G4" s="3713"/>
      <c r="H4" s="3713"/>
      <c r="I4" s="3714"/>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ustomHeight="1">
      <c r="A5" s="3652" t="s">
        <v>1268</v>
      </c>
      <c r="B5" s="3709">
        <v>25</v>
      </c>
      <c r="C5" s="3698">
        <v>23</v>
      </c>
      <c r="D5" s="3852">
        <v>15</v>
      </c>
      <c r="E5" s="131" t="s">
        <v>1269</v>
      </c>
      <c r="F5" s="1753"/>
      <c r="G5" s="1753"/>
      <c r="H5" s="1753"/>
      <c r="I5" s="1369"/>
    </row>
    <row r="6" spans="1:12" ht="12.75" customHeight="1">
      <c r="A6" s="3652"/>
      <c r="B6" s="3709"/>
      <c r="C6" s="3699"/>
      <c r="D6" s="3852"/>
      <c r="E6" s="131" t="s">
        <v>1270</v>
      </c>
      <c r="F6" s="1753"/>
      <c r="G6" s="1753"/>
      <c r="H6" s="1753"/>
      <c r="I6" s="1369"/>
    </row>
    <row r="7" spans="1:12" ht="12.75" customHeight="1">
      <c r="A7" s="3652"/>
      <c r="B7" s="3709"/>
      <c r="C7" s="3700"/>
      <c r="D7" s="3852"/>
      <c r="E7" s="131" t="s">
        <v>1271</v>
      </c>
      <c r="F7" s="1753"/>
      <c r="G7" s="1753"/>
      <c r="H7" s="1753"/>
      <c r="I7" s="1369"/>
    </row>
    <row r="8" spans="1:12" ht="12.75" customHeight="1">
      <c r="A8" s="3652" t="s">
        <v>1272</v>
      </c>
      <c r="B8" s="3709">
        <v>15</v>
      </c>
      <c r="C8" s="3698">
        <v>13</v>
      </c>
      <c r="D8" s="3852">
        <v>10</v>
      </c>
      <c r="E8" s="131" t="s">
        <v>1273</v>
      </c>
      <c r="F8" s="1753"/>
      <c r="G8" s="1753"/>
      <c r="H8" s="1753"/>
      <c r="I8" s="1369"/>
    </row>
    <row r="9" spans="1:12" ht="12.75" customHeight="1">
      <c r="A9" s="3652"/>
      <c r="B9" s="3709"/>
      <c r="C9" s="3700"/>
      <c r="D9" s="3852"/>
      <c r="E9" s="131" t="s">
        <v>1274</v>
      </c>
      <c r="F9" s="1753"/>
      <c r="G9" s="1753"/>
      <c r="H9" s="1753"/>
      <c r="I9" s="1369"/>
    </row>
    <row r="10" spans="1:12" ht="12.75" customHeight="1">
      <c r="A10" s="3652" t="s">
        <v>1275</v>
      </c>
      <c r="B10" s="3709">
        <v>15</v>
      </c>
      <c r="C10" s="3698">
        <v>13</v>
      </c>
      <c r="D10" s="3852">
        <v>10</v>
      </c>
      <c r="E10" s="131" t="s">
        <v>1276</v>
      </c>
      <c r="F10" s="1753"/>
      <c r="G10" s="1753"/>
      <c r="H10" s="1753"/>
      <c r="I10" s="1369"/>
    </row>
    <row r="11" spans="1:12" ht="12.75" customHeight="1">
      <c r="A11" s="3652"/>
      <c r="B11" s="3709"/>
      <c r="C11" s="3700"/>
      <c r="D11" s="3852"/>
      <c r="E11" s="131" t="s">
        <v>1277</v>
      </c>
      <c r="F11" s="1753"/>
      <c r="G11" s="1753"/>
      <c r="H11" s="1753"/>
      <c r="I11" s="1369"/>
    </row>
    <row r="12" spans="1:12" ht="12.75" customHeight="1">
      <c r="A12" s="3652" t="s">
        <v>1278</v>
      </c>
      <c r="B12" s="3709">
        <v>15</v>
      </c>
      <c r="C12" s="3698">
        <v>13</v>
      </c>
      <c r="D12" s="3852">
        <v>10</v>
      </c>
      <c r="E12" s="131" t="s">
        <v>1279</v>
      </c>
      <c r="F12" s="1753"/>
      <c r="G12" s="1753"/>
      <c r="H12" s="1753"/>
      <c r="I12" s="1369"/>
    </row>
    <row r="13" spans="1:12" ht="12.75" customHeight="1">
      <c r="A13" s="3652"/>
      <c r="B13" s="3709"/>
      <c r="C13" s="3700"/>
      <c r="D13" s="3852"/>
      <c r="E13" s="131" t="s">
        <v>1280</v>
      </c>
      <c r="F13" s="1753"/>
      <c r="G13" s="1753"/>
      <c r="H13" s="1753"/>
      <c r="I13" s="1369"/>
    </row>
    <row r="14" spans="1:12" ht="12.75" customHeight="1">
      <c r="A14" s="3652" t="s">
        <v>1281</v>
      </c>
      <c r="B14" s="3709">
        <v>30</v>
      </c>
      <c r="C14" s="3698">
        <v>28</v>
      </c>
      <c r="D14" s="3852">
        <v>15</v>
      </c>
      <c r="E14" s="131" t="s">
        <v>1282</v>
      </c>
      <c r="F14" s="1753"/>
      <c r="G14" s="1753"/>
      <c r="H14" s="1753"/>
      <c r="I14" s="1369"/>
    </row>
    <row r="15" spans="1:12" ht="12.75" customHeight="1">
      <c r="A15" s="3652"/>
      <c r="B15" s="3709"/>
      <c r="C15" s="3699"/>
      <c r="D15" s="3852"/>
      <c r="E15" s="131" t="s">
        <v>1283</v>
      </c>
      <c r="F15" s="1753"/>
      <c r="G15" s="1753"/>
      <c r="H15" s="1753"/>
      <c r="I15" s="1369"/>
    </row>
    <row r="16" spans="1:12" ht="12.75" customHeight="1">
      <c r="A16" s="3652"/>
      <c r="B16" s="3709"/>
      <c r="C16" s="3700"/>
      <c r="D16" s="3852"/>
      <c r="E16" s="131" t="s">
        <v>1284</v>
      </c>
      <c r="F16" s="1753"/>
      <c r="G16" s="1753"/>
      <c r="H16" s="1753"/>
      <c r="I16" s="1369"/>
    </row>
    <row r="17" spans="1:36" ht="15">
      <c r="A17" s="1754" t="s">
        <v>1285</v>
      </c>
      <c r="B17" s="56"/>
      <c r="C17" s="132">
        <f>SUM(C5:C16)</f>
        <v>90</v>
      </c>
      <c r="D17" s="132">
        <f>SUM(D5:D16)</f>
        <v>60</v>
      </c>
      <c r="E17" s="129"/>
      <c r="F17" s="129"/>
      <c r="G17" s="129"/>
      <c r="H17" s="129"/>
      <c r="I17" s="129"/>
      <c r="K17" s="301"/>
      <c r="L17" s="301" t="s">
        <v>1286</v>
      </c>
      <c r="M17" s="301" t="s">
        <v>1287</v>
      </c>
    </row>
    <row r="18" spans="1:36" ht="31.9" customHeight="1" thickBot="1">
      <c r="A18" s="1755" t="s">
        <v>1288</v>
      </c>
      <c r="B18" s="1756"/>
      <c r="C18" s="133">
        <f>ROUND(C17/SUM(C17:D17),2)</f>
        <v>0.6</v>
      </c>
      <c r="D18" s="133">
        <f>1-C18</f>
        <v>0.4</v>
      </c>
      <c r="E18" s="3728" t="s">
        <v>2131</v>
      </c>
      <c r="F18" s="3729"/>
      <c r="G18" s="3729"/>
      <c r="H18" s="3729"/>
      <c r="I18" s="3729"/>
      <c r="K18" s="301" t="s">
        <v>1289</v>
      </c>
      <c r="L18" s="301">
        <f>IF(C1="",'数据-汇总表'!E3,SUMIF(项目类型,C1,'数据-汇总表'!E17:E26)+SUMIF(项目类型,C1,'数据-汇总表'!I17:I26))</f>
        <v>2580.219999999998</v>
      </c>
      <c r="M18" s="301">
        <f>IF(C1="",'数据-汇总表'!E3,SUMIF(项目类型,C1,'数据-汇总表'!E17:E26))</f>
        <v>2580.219999999998</v>
      </c>
    </row>
    <row r="19" spans="1:36" ht="15">
      <c r="A19" s="1757" t="s">
        <v>1290</v>
      </c>
      <c r="B19" s="1758" t="s">
        <v>1291</v>
      </c>
      <c r="C19" s="134">
        <f ca="1">SUMIF(INDIRECT("'"&amp;C4&amp;"'"&amp;"!A:A"),'结果表 (2)'!B19,INDIRECT("'"&amp;C4&amp;"'"&amp;"!B:B"))</f>
        <v>1935</v>
      </c>
      <c r="D19" s="135">
        <f ca="1">SUMIF(INDIRECT("'"&amp;D4&amp;"'"&amp;"!A:A"),'结果表 (2)'!B19,INDIRECT("'"&amp;D4&amp;"'"&amp;"!B:B"))</f>
        <v>684</v>
      </c>
      <c r="E19" s="1757" t="s">
        <v>1292</v>
      </c>
      <c r="F19" s="1758" t="s">
        <v>1291</v>
      </c>
      <c r="G19" s="136">
        <f ca="1">ROUND(C19*$C$18+D19*$D$18,0)</f>
        <v>1435</v>
      </c>
      <c r="H19" s="1759" t="s">
        <v>1293</v>
      </c>
      <c r="I19" s="129"/>
      <c r="K19" s="301" t="s">
        <v>1294</v>
      </c>
      <c r="L19" s="301">
        <f>IF(C1="",'数据-汇总表'!D3,SUMIF(项目类型,C1,'数据-汇总表'!D17:D26)+SUMIF(项目类型,C1,'数据-汇总表'!H17:H27))</f>
        <v>519.28</v>
      </c>
      <c r="M19" s="301">
        <f>IF(C1="",'数据-汇总表'!D3,SUMIF(项目类型,C1,'数据-汇总表'!D17:D26))</f>
        <v>519.28</v>
      </c>
    </row>
    <row r="20" spans="1:36" ht="15">
      <c r="A20" s="1760"/>
      <c r="B20" s="1022" t="s">
        <v>1295</v>
      </c>
      <c r="C20" s="137">
        <f ca="1">SUMIF(INDIRECT("'"&amp;C4&amp;"'"&amp;"!A:A"),'结果表 (2)'!B20,INDIRECT("'"&amp;C4&amp;"'"&amp;"!B:B"))</f>
        <v>7499</v>
      </c>
      <c r="D20" s="138">
        <f ca="1">SUMIF(INDIRECT("'"&amp;D4&amp;"'"&amp;"!A:A"),'结果表 (2)'!B20,INDIRECT("'"&amp;D4&amp;"'"&amp;"!B:B"))</f>
        <v>2651</v>
      </c>
      <c r="E20" s="1760"/>
      <c r="F20" s="1022" t="s">
        <v>1295</v>
      </c>
      <c r="G20" s="139">
        <f ca="1">ROUND(C20*$C$18+D20*$D$18,0)</f>
        <v>5560</v>
      </c>
      <c r="H20" s="804" t="s">
        <v>1296</v>
      </c>
      <c r="I20" s="129"/>
    </row>
    <row r="21" spans="1:36" ht="15" customHeight="1" thickBot="1">
      <c r="A21" s="824"/>
      <c r="B21" s="1761" t="s">
        <v>1297</v>
      </c>
      <c r="C21" s="718">
        <f ca="1">ROUND(C19*10000/L19,0)</f>
        <v>37263</v>
      </c>
      <c r="D21" s="719">
        <f ca="1">ROUND(D19*10000/L19,0)</f>
        <v>13172</v>
      </c>
      <c r="E21" s="824"/>
      <c r="F21" s="1761" t="s">
        <v>1297</v>
      </c>
      <c r="G21" s="140">
        <f ca="1">ROUND(G19*10000/L19,0)</f>
        <v>27634</v>
      </c>
      <c r="H21" s="1762" t="s">
        <v>1296</v>
      </c>
      <c r="I21" s="129"/>
    </row>
    <row r="22" spans="1:36" ht="15" thickBot="1">
      <c r="A22" s="1684" t="s">
        <v>1298</v>
      </c>
      <c r="B22" s="1763"/>
      <c r="C22" s="1764"/>
      <c r="D22" s="720">
        <f ca="1">IF(C19&lt;D19,D19/C19-1,C19/D19-1)</f>
        <v>1.8289473684210527</v>
      </c>
      <c r="E22" s="129"/>
      <c r="F22" s="129"/>
      <c r="G22" s="129"/>
      <c r="H22" s="129"/>
      <c r="I22" s="129"/>
    </row>
    <row r="23" spans="1:36" ht="13.5" thickBot="1">
      <c r="A23" s="1743"/>
      <c r="B23" s="1743"/>
      <c r="C23" s="1743"/>
      <c r="D23" s="1743"/>
      <c r="E23" s="129"/>
      <c r="F23" s="129"/>
      <c r="G23" s="129"/>
      <c r="H23" s="129"/>
      <c r="I23" s="129"/>
    </row>
    <row r="24" spans="1:36" ht="14.25">
      <c r="A24" s="3721" t="s">
        <v>1299</v>
      </c>
      <c r="B24" s="1758" t="s">
        <v>1291</v>
      </c>
      <c r="C24" s="136">
        <f>IF(B30=0,0,D30)</f>
        <v>0</v>
      </c>
      <c r="D24" s="1765"/>
      <c r="E24" s="129"/>
      <c r="F24" s="129"/>
      <c r="G24" s="129">
        <f ca="1">G19/53</f>
        <v>27.075471698113208</v>
      </c>
      <c r="H24" s="129"/>
      <c r="I24" s="129"/>
    </row>
    <row r="25" spans="1:36" ht="14.25">
      <c r="A25" s="3722"/>
      <c r="B25" s="1022" t="s">
        <v>1295</v>
      </c>
      <c r="C25" s="141">
        <f>IF(B30=0,0,C30)</f>
        <v>0</v>
      </c>
      <c r="D25" s="1766"/>
      <c r="E25" s="129"/>
      <c r="F25" s="129"/>
      <c r="G25" s="129">
        <f>'数据-汇总表'!E14</f>
        <v>2580.219999999998</v>
      </c>
      <c r="H25" s="129"/>
      <c r="I25" s="129"/>
    </row>
    <row r="26" spans="1:36" ht="13.5" customHeight="1">
      <c r="A26" s="1767" t="s">
        <v>1300</v>
      </c>
      <c r="B26" s="142" t="s">
        <v>1301</v>
      </c>
      <c r="C26" s="142" t="s">
        <v>1302</v>
      </c>
      <c r="D26" s="143" t="s">
        <v>1303</v>
      </c>
      <c r="E26" s="129"/>
      <c r="F26" s="129"/>
      <c r="G26" s="129">
        <f ca="1">D19/G25</f>
        <v>0.26509367418282181</v>
      </c>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1435</v>
      </c>
      <c r="D32" s="1771" t="s">
        <v>3436</v>
      </c>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701" t="s">
        <v>1312</v>
      </c>
      <c r="B36" s="1783" t="s">
        <v>1313</v>
      </c>
      <c r="C36" s="145"/>
      <c r="D36" s="1784"/>
      <c r="E36" s="1785"/>
      <c r="F36" s="1786"/>
      <c r="G36" s="129"/>
      <c r="H36" s="129"/>
      <c r="I36" s="129"/>
    </row>
    <row r="37" spans="1:15" ht="15.75" thickBot="1">
      <c r="A37" s="3702"/>
      <c r="B37" s="1670" t="s">
        <v>1314</v>
      </c>
      <c r="C37" s="147"/>
      <c r="D37" s="1135"/>
      <c r="E37" s="1135"/>
      <c r="F37" s="1786"/>
      <c r="G37" s="129"/>
      <c r="H37" s="129"/>
      <c r="I37" s="129"/>
    </row>
    <row r="38" spans="1:15" ht="15.75" thickBot="1">
      <c r="A38" s="3703"/>
      <c r="B38" s="1787" t="s">
        <v>1315</v>
      </c>
      <c r="C38" s="673"/>
      <c r="D38" s="1788" t="s">
        <v>1316</v>
      </c>
      <c r="E38" s="1135"/>
      <c r="F38" s="1786"/>
      <c r="G38" s="129"/>
      <c r="H38" s="129"/>
      <c r="I38" s="129"/>
    </row>
    <row r="39" spans="1:15" ht="15">
      <c r="A39" s="1760" t="s">
        <v>1317</v>
      </c>
      <c r="B39" s="1789" t="s">
        <v>1318</v>
      </c>
      <c r="C39" s="1790" t="s">
        <v>1319</v>
      </c>
      <c r="D39" s="1790" t="s">
        <v>1320</v>
      </c>
      <c r="E39" s="1791" t="s">
        <v>1303</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18" t="s">
        <v>1326</v>
      </c>
      <c r="B45" s="3719"/>
      <c r="C45" s="3720"/>
      <c r="D45" s="155">
        <f ca="1">ROUND(H101*F45,0)</f>
        <v>1435</v>
      </c>
      <c r="E45" s="156" t="s">
        <v>1327</v>
      </c>
      <c r="F45" s="157">
        <v>1</v>
      </c>
      <c r="G45" s="158" t="s">
        <v>1328</v>
      </c>
      <c r="H45" s="129"/>
      <c r="I45" s="129"/>
      <c r="J45" s="3639" t="s">
        <v>1329</v>
      </c>
      <c r="K45" s="3639"/>
      <c r="L45" s="3639"/>
      <c r="M45" s="3639"/>
      <c r="N45" s="3639"/>
      <c r="O45" s="3639"/>
    </row>
    <row r="46" spans="1:15" ht="14.25" customHeight="1">
      <c r="A46" s="3715" t="s">
        <v>1330</v>
      </c>
      <c r="B46" s="3716"/>
      <c r="C46" s="3716"/>
      <c r="D46" s="3716"/>
      <c r="E46" s="3716"/>
      <c r="F46" s="3716"/>
      <c r="G46" s="3717"/>
      <c r="H46" s="1802"/>
      <c r="I46" s="159"/>
      <c r="J46" s="3509">
        <v>1</v>
      </c>
      <c r="K46" s="3640" t="s">
        <v>1331</v>
      </c>
      <c r="L46" s="3640"/>
      <c r="M46" s="3641"/>
      <c r="N46" s="3641"/>
      <c r="O46" s="3641"/>
    </row>
    <row r="47" spans="1:15" ht="12" customHeight="1">
      <c r="A47" s="160" t="s">
        <v>1332</v>
      </c>
      <c r="B47" s="161"/>
      <c r="C47" s="162"/>
      <c r="D47" s="1083" t="s">
        <v>1333</v>
      </c>
      <c r="E47" s="301" t="s">
        <v>1334</v>
      </c>
      <c r="F47" s="163" t="s">
        <v>1335</v>
      </c>
      <c r="G47" s="2542" t="s">
        <v>1336</v>
      </c>
      <c r="H47" s="2543"/>
      <c r="I47" s="159"/>
      <c r="J47" s="3509">
        <v>2</v>
      </c>
      <c r="K47" s="3640" t="s">
        <v>1337</v>
      </c>
      <c r="L47" s="3640"/>
      <c r="M47" s="3642">
        <f>'数据-取费表'!B2</f>
        <v>45005</v>
      </c>
      <c r="N47" s="3642"/>
      <c r="O47" s="3642"/>
    </row>
    <row r="48" spans="1:15" ht="25.5">
      <c r="A48" s="3704" t="s">
        <v>1338</v>
      </c>
      <c r="B48" s="3705"/>
      <c r="C48" s="3705"/>
      <c r="D48" s="3506">
        <f ca="1">IF(H48="情况1",0,IF(H48="情况2",D52,IF(H48="情况3",D53,IF(H48="情况4",D54))))</f>
        <v>77</v>
      </c>
      <c r="E48" s="3520" t="str">
        <f>IF(H48="情况4","(销售额-原购置价)×税（费）率","销售额×税（费）率")</f>
        <v>销售额×税（费）率</v>
      </c>
      <c r="F48" s="2544">
        <f>IF(H48="情况1","免征",'数据-取费表'!B41)</f>
        <v>5.6000000000000001E-2</v>
      </c>
      <c r="G48" s="2545" t="s">
        <v>1339</v>
      </c>
      <c r="H48" s="2546" t="s">
        <v>3548</v>
      </c>
      <c r="I48" s="1802"/>
      <c r="J48" s="3509">
        <v>3</v>
      </c>
      <c r="K48" s="3640" t="s">
        <v>1340</v>
      </c>
      <c r="L48" s="3640"/>
      <c r="M48" s="3643">
        <f ca="1">H101</f>
        <v>1435</v>
      </c>
      <c r="N48" s="3643"/>
      <c r="O48" s="3643"/>
    </row>
    <row r="49" spans="1:35" ht="25.5" customHeight="1">
      <c r="A49" s="3519" t="s">
        <v>1341</v>
      </c>
      <c r="B49" s="3688" t="s">
        <v>1342</v>
      </c>
      <c r="C49" s="3688"/>
      <c r="D49" s="1586">
        <v>0</v>
      </c>
      <c r="E49" s="323" t="s">
        <v>1343</v>
      </c>
      <c r="F49" s="3504" t="s">
        <v>28</v>
      </c>
      <c r="G49" s="3671"/>
      <c r="H49" s="2306" t="s">
        <v>2134</v>
      </c>
      <c r="I49" s="2307"/>
      <c r="J49" s="3509">
        <v>4</v>
      </c>
      <c r="K49" s="3640" t="str">
        <f>IF(项目基本情况!E8="房地产抵押价值","房地产抵押价值","抵押担保权已注销时的房地产抵押价值")</f>
        <v>抵押担保权已注销时的房地产抵押价值</v>
      </c>
      <c r="L49" s="3640"/>
      <c r="M49" s="3643" t="str">
        <f>IF(项目基本情况!E8="房地产抵押价值",H107,H109)</f>
        <v>——</v>
      </c>
      <c r="N49" s="3643"/>
      <c r="O49" s="3643"/>
    </row>
    <row r="50" spans="1:35" ht="25.5" customHeight="1">
      <c r="A50" s="2547"/>
      <c r="B50" s="3688" t="s">
        <v>1344</v>
      </c>
      <c r="C50" s="3688"/>
      <c r="D50" s="2548"/>
      <c r="E50" s="331"/>
      <c r="F50" s="3504"/>
      <c r="G50" s="3672"/>
      <c r="H50" s="2308" t="s">
        <v>2135</v>
      </c>
      <c r="I50" s="2307"/>
      <c r="J50" s="3639" t="s">
        <v>1345</v>
      </c>
      <c r="K50" s="3639"/>
      <c r="L50" s="3639"/>
      <c r="M50" s="3639"/>
      <c r="N50" s="3639"/>
      <c r="O50" s="3639"/>
    </row>
    <row r="51" spans="1:35" ht="20.45" customHeight="1">
      <c r="A51" s="2549"/>
      <c r="B51" s="3688" t="s">
        <v>1346</v>
      </c>
      <c r="C51" s="3688"/>
      <c r="D51" s="1083"/>
      <c r="E51" s="326"/>
      <c r="F51" s="3504"/>
      <c r="G51" s="3673"/>
      <c r="H51" s="2308" t="s">
        <v>2136</v>
      </c>
      <c r="I51" s="2307"/>
      <c r="J51" s="3505" t="s">
        <v>1347</v>
      </c>
      <c r="K51" s="3640" t="s">
        <v>1348</v>
      </c>
      <c r="L51" s="3640"/>
      <c r="M51" s="3505" t="s">
        <v>1349</v>
      </c>
      <c r="N51" s="3505" t="s">
        <v>1350</v>
      </c>
      <c r="O51" s="3505" t="s">
        <v>1351</v>
      </c>
    </row>
    <row r="52" spans="1:35" ht="24" customHeight="1">
      <c r="A52" s="3521" t="s">
        <v>1352</v>
      </c>
      <c r="B52" s="3688" t="s">
        <v>1353</v>
      </c>
      <c r="C52" s="3688"/>
      <c r="D52" s="1083">
        <f ca="1">ROUND(D45*'数据-取费表'!B41/(1+'数据-取费表'!C42),0)</f>
        <v>77</v>
      </c>
      <c r="E52" s="3520" t="s">
        <v>1354</v>
      </c>
      <c r="F52" s="2550">
        <f>'数据-取费表'!B41</f>
        <v>5.6000000000000001E-2</v>
      </c>
      <c r="G52" s="2551"/>
      <c r="H52" s="2540"/>
      <c r="I52" s="1803"/>
      <c r="J52" s="3509">
        <v>1</v>
      </c>
      <c r="K52" s="3665" t="s">
        <v>1355</v>
      </c>
      <c r="L52" s="3665"/>
      <c r="M52" s="2521">
        <f ca="1">D48</f>
        <v>77</v>
      </c>
      <c r="N52" s="3509" t="str">
        <f>E48</f>
        <v>销售额×税（费）率</v>
      </c>
      <c r="O52" s="2522">
        <f>F48</f>
        <v>5.6000000000000001E-2</v>
      </c>
    </row>
    <row r="53" spans="1:35" ht="12" customHeight="1">
      <c r="A53" s="3521" t="s">
        <v>1356</v>
      </c>
      <c r="B53" s="3689" t="s">
        <v>2291</v>
      </c>
      <c r="C53" s="3690"/>
      <c r="D53" s="1083">
        <f ca="1">ROUND(D45*'数据-取费表'!B41/(1+'数据-取费表'!C42),0)</f>
        <v>77</v>
      </c>
      <c r="E53" s="3520" t="s">
        <v>1354</v>
      </c>
      <c r="F53" s="2550">
        <f>'数据-取费表'!B41</f>
        <v>5.6000000000000001E-2</v>
      </c>
      <c r="G53" s="2551"/>
      <c r="H53" s="2540"/>
      <c r="I53" s="1803"/>
      <c r="J53" s="3509">
        <v>2</v>
      </c>
      <c r="K53" s="3665" t="s">
        <v>1357</v>
      </c>
      <c r="L53" s="3665"/>
      <c r="M53" s="2521">
        <f t="shared" ref="M53:O54" ca="1" si="0">D55</f>
        <v>1</v>
      </c>
      <c r="N53" s="3509" t="str">
        <f t="shared" si="0"/>
        <v>销售额×税（费）率</v>
      </c>
      <c r="O53" s="2522">
        <f t="shared" si="0"/>
        <v>5.0000000000000001E-4</v>
      </c>
    </row>
    <row r="54" spans="1:35" ht="12" customHeight="1">
      <c r="A54" s="3521" t="s">
        <v>1358</v>
      </c>
      <c r="B54" s="3689" t="s">
        <v>2292</v>
      </c>
      <c r="C54" s="3690"/>
      <c r="D54" s="1083">
        <f ca="1">C68</f>
        <v>77</v>
      </c>
      <c r="E54" s="326" t="s">
        <v>1359</v>
      </c>
      <c r="F54" s="2550">
        <f>'数据-取费表'!B41</f>
        <v>5.6000000000000001E-2</v>
      </c>
      <c r="G54" s="2551"/>
      <c r="H54" s="2552"/>
      <c r="I54" s="1803"/>
      <c r="J54" s="3509">
        <v>3</v>
      </c>
      <c r="K54" s="3665" t="s">
        <v>1360</v>
      </c>
      <c r="L54" s="3665"/>
      <c r="M54" s="2521">
        <f t="shared" ca="1" si="0"/>
        <v>813</v>
      </c>
      <c r="N54" s="3509" t="str">
        <f t="shared" si="0"/>
        <v>增值额×税（费）率</v>
      </c>
      <c r="O54" s="2523" t="str">
        <f t="shared" si="0"/>
        <v>——</v>
      </c>
    </row>
    <row r="55" spans="1:35" ht="24" customHeight="1">
      <c r="A55" s="3724" t="s">
        <v>1361</v>
      </c>
      <c r="B55" s="3705"/>
      <c r="C55" s="3705"/>
      <c r="D55" s="3506">
        <f ca="1">IF(H55="个人住宅",0,ROUND(D45*I55,0))</f>
        <v>1</v>
      </c>
      <c r="E55" s="3520" t="s">
        <v>1362</v>
      </c>
      <c r="F55" s="2550">
        <f>IF(H55="正常",I55,"免征")</f>
        <v>5.0000000000000001E-4</v>
      </c>
      <c r="G55" s="2551"/>
      <c r="H55" s="2546" t="s">
        <v>3549</v>
      </c>
      <c r="I55" s="165">
        <f>'数据-取费表'!B49</f>
        <v>5.0000000000000001E-4</v>
      </c>
      <c r="J55" s="3509">
        <f>IF(H59="非个人房产","",4)</f>
        <v>4</v>
      </c>
      <c r="K55" s="3665" t="str">
        <f>IF(H59="非个人房产","——","个人所得税")</f>
        <v>个人所得税</v>
      </c>
      <c r="L55" s="3665"/>
      <c r="M55" s="2524">
        <f ca="1">D59</f>
        <v>14</v>
      </c>
      <c r="N55" s="3510" t="str">
        <f>E59</f>
        <v>差额计税</v>
      </c>
      <c r="O55" s="2525">
        <f>F59</f>
        <v>0.01</v>
      </c>
    </row>
    <row r="56" spans="1:35" ht="24.75">
      <c r="A56" s="3724" t="s">
        <v>1363</v>
      </c>
      <c r="B56" s="3705"/>
      <c r="C56" s="3705"/>
      <c r="D56" s="3506">
        <f ca="1">IF(H56="个人住宅",D57,D58)</f>
        <v>813</v>
      </c>
      <c r="E56" s="3520" t="s">
        <v>1364</v>
      </c>
      <c r="F56" s="2550" t="str">
        <f>IF(H56="正常",F58,"免征")</f>
        <v>——</v>
      </c>
      <c r="G56" s="2553" t="s">
        <v>1365</v>
      </c>
      <c r="H56" s="2554" t="s">
        <v>3549</v>
      </c>
      <c r="I56" s="1804"/>
      <c r="J56" s="350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2.75">
      <c r="A57" s="3521" t="s">
        <v>1341</v>
      </c>
      <c r="B57" s="3689" t="s">
        <v>1366</v>
      </c>
      <c r="C57" s="3690"/>
      <c r="D57" s="1586">
        <v>0</v>
      </c>
      <c r="E57" s="323" t="s">
        <v>1343</v>
      </c>
      <c r="F57" s="301"/>
      <c r="G57" s="2551"/>
      <c r="H57" s="2555"/>
      <c r="I57" s="1804"/>
      <c r="J57" s="3665">
        <f>IF(AND(J55="",J56=""),4,IF(项目基本情况!K6="上海银行",'结果表 (2)'!J56+1,'结果表 (2)'!J55+1))</f>
        <v>5</v>
      </c>
      <c r="K57" s="3665" t="s">
        <v>1367</v>
      </c>
      <c r="L57" s="2526" t="s">
        <v>1368</v>
      </c>
      <c r="M57" s="2527"/>
      <c r="N57" s="2528">
        <f ca="1">SUMIF(M52:M56,"&lt;9e307")</f>
        <v>905</v>
      </c>
      <c r="O57" s="2529"/>
      <c r="P57" s="2686" t="e">
        <f ca="1">N57/M49</f>
        <v>#VALUE!</v>
      </c>
    </row>
    <row r="58" spans="1:35" ht="24.75">
      <c r="A58" s="3521" t="s">
        <v>1352</v>
      </c>
      <c r="B58" s="3689" t="s">
        <v>1369</v>
      </c>
      <c r="C58" s="3688"/>
      <c r="D58" s="3506">
        <f ca="1">IF(H58="转让取得",C81,C97)</f>
        <v>813</v>
      </c>
      <c r="E58" s="3520" t="s">
        <v>1364</v>
      </c>
      <c r="F58" s="301" t="s">
        <v>28</v>
      </c>
      <c r="G58" s="2551"/>
      <c r="H58" s="2554" t="s">
        <v>3550</v>
      </c>
      <c r="I58" s="1804"/>
      <c r="J58" s="3665"/>
      <c r="K58" s="3665"/>
      <c r="L58" s="2526" t="s">
        <v>1370</v>
      </c>
      <c r="M58" s="2530"/>
      <c r="N58" s="2531" t="str">
        <f ca="1">NUMBERSTRING(INT(N57*10000),2)&amp;"元整"</f>
        <v>玖佰零伍万元整</v>
      </c>
      <c r="O58" s="2532"/>
    </row>
    <row r="59" spans="1:35" ht="24.75" thickBot="1">
      <c r="A59" s="3669" t="s">
        <v>1371</v>
      </c>
      <c r="B59" s="3670"/>
      <c r="C59" s="3670"/>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67">
        <f>J57+1</f>
        <v>6</v>
      </c>
      <c r="K59" s="3665" t="s">
        <v>1372</v>
      </c>
      <c r="L59" s="3509" t="s">
        <v>1368</v>
      </c>
      <c r="M59" s="2533"/>
      <c r="N59" s="2534" t="e">
        <f ca="1">M49-N57</f>
        <v>#VALUE!</v>
      </c>
      <c r="O59" s="2535"/>
    </row>
    <row r="60" spans="1:35" ht="12" customHeight="1">
      <c r="A60" s="1805"/>
      <c r="B60" s="1743"/>
      <c r="C60" s="1743"/>
      <c r="D60" s="1743"/>
      <c r="E60" s="1574"/>
      <c r="F60" s="1804"/>
      <c r="G60" s="1804"/>
      <c r="H60" s="1806"/>
      <c r="I60" s="129"/>
      <c r="J60" s="3668"/>
      <c r="K60" s="3665"/>
      <c r="L60" s="2526" t="s">
        <v>1370</v>
      </c>
      <c r="M60" s="2530"/>
      <c r="N60" s="2531" t="e">
        <f ca="1">NUMBERSTRING(INT(N59*10000),2)&amp;"元整"</f>
        <v>#VALUE!</v>
      </c>
      <c r="O60" s="2532"/>
    </row>
    <row r="61" spans="1:35" ht="13.5" thickBot="1">
      <c r="A61" s="3723" t="s">
        <v>1373</v>
      </c>
      <c r="B61" s="3723"/>
      <c r="C61" s="3723"/>
      <c r="D61" s="3723"/>
      <c r="E61" s="3723"/>
      <c r="F61" s="1804"/>
      <c r="G61" s="1804"/>
      <c r="H61" s="1806"/>
      <c r="I61" s="129"/>
      <c r="J61" s="3509">
        <f>J59+1</f>
        <v>7</v>
      </c>
      <c r="K61" s="3665" t="s">
        <v>1374</v>
      </c>
      <c r="L61" s="3665"/>
      <c r="M61" s="2536"/>
      <c r="N61" s="2537" t="e">
        <f ca="1">ROUND(N59*10000/'数据-汇总表'!E3,0)</f>
        <v>#VALUE!</v>
      </c>
      <c r="O61" s="2538"/>
    </row>
    <row r="62" spans="1:35" ht="12.75">
      <c r="A62" s="3684" t="s">
        <v>1375</v>
      </c>
      <c r="B62" s="3685"/>
      <c r="C62" s="3515"/>
      <c r="D62" s="3515" t="s">
        <v>1376</v>
      </c>
      <c r="E62" s="166" t="s">
        <v>1377</v>
      </c>
      <c r="F62" s="1804"/>
      <c r="G62" s="1804"/>
      <c r="H62" s="1806"/>
      <c r="I62" s="129"/>
    </row>
    <row r="63" spans="1:35" ht="12.75">
      <c r="A63" s="173" t="s">
        <v>330</v>
      </c>
      <c r="B63" s="167" t="s">
        <v>1378</v>
      </c>
      <c r="C63" s="2560">
        <f ca="1">ROUND((C64+C65)/(1+'数据-取费表'!C42),0)</f>
        <v>1367</v>
      </c>
      <c r="D63" s="167"/>
      <c r="E63" s="168"/>
      <c r="F63" s="1804"/>
      <c r="G63" s="1804"/>
      <c r="H63" s="1806"/>
      <c r="I63" s="129"/>
      <c r="J63" s="3648" t="s">
        <v>1379</v>
      </c>
      <c r="K63" s="3507" t="s">
        <v>1380</v>
      </c>
      <c r="L63" s="3507" t="e">
        <f>IF(M49&gt;10000,M49*0.5%,IF(AND(M49&gt;1000,M49&lt;=10000),M49*1%,IF(AND(M49&gt;100,M49&lt;=1000),M49*3%,IF(AND(M49&gt;10,M49&lt;=100),M49*5%,M49*8%))))</f>
        <v>#VALUE!</v>
      </c>
      <c r="M63" s="301" t="e">
        <f>ROUND(L63,1)</f>
        <v>#VALUE!</v>
      </c>
      <c r="N63" s="2539"/>
      <c r="Z63" s="1748"/>
      <c r="AI63" s="1749"/>
    </row>
    <row r="64" spans="1:35" ht="14.25" customHeight="1">
      <c r="A64" s="169" t="s">
        <v>325</v>
      </c>
      <c r="B64" s="170" t="s">
        <v>1381</v>
      </c>
      <c r="C64" s="2561">
        <f ca="1">D45</f>
        <v>1435</v>
      </c>
      <c r="D64" s="170" t="s">
        <v>26</v>
      </c>
      <c r="E64" s="172"/>
      <c r="F64" s="1804"/>
      <c r="G64" s="1804"/>
      <c r="H64" s="1806"/>
      <c r="I64" s="129"/>
      <c r="J64" s="3648"/>
      <c r="K64" s="3507" t="s">
        <v>1382</v>
      </c>
      <c r="L64" s="3507"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8"/>
      <c r="K65" s="3507" t="s">
        <v>1385</v>
      </c>
      <c r="L65" s="3507" t="e">
        <f>IF(M49&gt;1000,M49*0.1%,IF(AND(M49&gt;500,M49&lt;=1000),M49*0.5%,IF(AND(M49&gt;50,M49&lt;=500),M49*1%,IF(AND(M49&gt;1,M49&lt;=50),M49*1.5%))))</f>
        <v>#VALUE!</v>
      </c>
      <c r="M65" s="301"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8"/>
      <c r="K66" s="3507" t="s">
        <v>1387</v>
      </c>
      <c r="L66" s="3507" t="e">
        <f>M49*0.5%</f>
        <v>#VALUE!</v>
      </c>
      <c r="M66" s="301" t="e">
        <f>IF(L66&gt;0.5,0.5,ROUND(L66,0))</f>
        <v>#VALUE!</v>
      </c>
      <c r="N66" s="2540" t="s">
        <v>1388</v>
      </c>
      <c r="Z66" s="1748"/>
      <c r="AI66" s="1749"/>
    </row>
    <row r="67" spans="1:35" ht="14.25" customHeight="1">
      <c r="A67" s="173" t="s">
        <v>328</v>
      </c>
      <c r="B67" s="174" t="s">
        <v>1389</v>
      </c>
      <c r="C67" s="2564">
        <f ca="1">C63-C66</f>
        <v>1367</v>
      </c>
      <c r="D67" s="170" t="s">
        <v>26</v>
      </c>
      <c r="E67" s="172"/>
      <c r="F67" s="1804"/>
      <c r="G67" s="1804"/>
      <c r="H67" s="1806"/>
      <c r="I67" s="129"/>
      <c r="J67" s="3648"/>
      <c r="K67" s="3507" t="s">
        <v>1390</v>
      </c>
      <c r="L67" s="350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6" t="s">
        <v>329</v>
      </c>
      <c r="B68" s="177" t="s">
        <v>1391</v>
      </c>
      <c r="C68" s="2565">
        <f ca="1">IF(C67&lt;=0,0,ROUND(C67*D68,0))</f>
        <v>77</v>
      </c>
      <c r="D68" s="2566">
        <f>'数据-取费表'!B41</f>
        <v>5.6000000000000001E-2</v>
      </c>
      <c r="E68" s="178"/>
      <c r="F68" s="1804"/>
      <c r="G68" s="1804"/>
      <c r="H68" s="1806"/>
      <c r="I68" s="129"/>
      <c r="J68" s="3648"/>
      <c r="K68" s="3507" t="s">
        <v>1392</v>
      </c>
      <c r="L68" s="3507"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648"/>
      <c r="K69" s="3507" t="s">
        <v>1393</v>
      </c>
      <c r="L69" s="3507"/>
      <c r="M69" s="301" t="e">
        <f>ROUND(SUM(M63:M68),0)</f>
        <v>#VALUE!</v>
      </c>
      <c r="N69" s="2541" t="e">
        <f>M69/M49</f>
        <v>#VALUE!</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92" t="s">
        <v>1394</v>
      </c>
      <c r="B70" s="3693"/>
      <c r="C70" s="3693"/>
      <c r="D70" s="3693"/>
      <c r="E70" s="3693"/>
      <c r="F70" s="3693"/>
      <c r="G70" s="3693"/>
      <c r="H70" s="369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84" t="s">
        <v>1375</v>
      </c>
      <c r="B71" s="3685"/>
      <c r="C71" s="3515"/>
      <c r="D71" s="3515"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1367</v>
      </c>
      <c r="D72" s="170" t="s">
        <v>26</v>
      </c>
      <c r="E72" s="3517"/>
      <c r="F72" s="3516"/>
      <c r="G72" s="351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8</v>
      </c>
      <c r="D73" s="170" t="s">
        <v>26</v>
      </c>
      <c r="E73" s="3517"/>
      <c r="F73" s="3516"/>
      <c r="G73" s="351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3517"/>
      <c r="F74" s="3516"/>
      <c r="G74" s="351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4" t="s">
        <v>1401</v>
      </c>
      <c r="C76" s="170">
        <f>IF(F75="购房发票",ROUND(C75*H75*D76,0),0)</f>
        <v>0</v>
      </c>
      <c r="D76" s="2570">
        <v>0.05</v>
      </c>
      <c r="E76" s="3689" t="s">
        <v>1402</v>
      </c>
      <c r="F76" s="3688"/>
      <c r="G76" s="3688"/>
      <c r="H76" s="369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3506" t="s">
        <v>1404</v>
      </c>
      <c r="F77" s="185"/>
      <c r="G77" s="1818"/>
      <c r="H77" s="351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8</v>
      </c>
      <c r="D78" s="2573">
        <f>'数据-取费表'!B43</f>
        <v>6.000000000000001E-3</v>
      </c>
      <c r="E78" s="3681" t="s">
        <v>1406</v>
      </c>
      <c r="F78" s="3682"/>
      <c r="G78" s="3682"/>
      <c r="H78" s="368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328</v>
      </c>
      <c r="B79" s="174" t="s">
        <v>1407</v>
      </c>
      <c r="C79" s="2564">
        <f ca="1">C72-C73</f>
        <v>1359</v>
      </c>
      <c r="D79" s="170" t="s">
        <v>26</v>
      </c>
      <c r="E79" s="3517"/>
      <c r="F79" s="3516"/>
      <c r="G79" s="351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169.875</v>
      </c>
      <c r="D80" s="170" t="s">
        <v>26</v>
      </c>
      <c r="E80" s="3506" t="str">
        <f ca="1">IF(C80&gt;=200%,"增值额超过扣除项目金额200%",IF(C80&gt;=100%,"增值额超过扣除项目金额100%，未超过200%",IF(C80&gt;=50%,"增值额超过扣除项目金额50%，未超过100%",IF(C80&lt;50%,"增值额未超过扣除项目金额50%"))))</f>
        <v>增值额超过扣除项目金额200%</v>
      </c>
      <c r="F80" s="3516"/>
      <c r="G80" s="351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813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92" t="s">
        <v>1410</v>
      </c>
      <c r="B83" s="3693"/>
      <c r="C83" s="3693"/>
      <c r="D83" s="3693"/>
      <c r="E83" s="3693"/>
      <c r="F83" s="3693"/>
      <c r="G83" s="3693"/>
      <c r="H83" s="369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84" t="s">
        <v>1375</v>
      </c>
      <c r="B84" s="3685"/>
      <c r="C84" s="3515"/>
      <c r="D84" s="3515" t="s">
        <v>1376</v>
      </c>
      <c r="E84" s="179" t="s">
        <v>1377</v>
      </c>
      <c r="F84" s="180"/>
      <c r="G84" s="180"/>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1367</v>
      </c>
      <c r="D85" s="170" t="s">
        <v>26</v>
      </c>
      <c r="E85" s="3517"/>
      <c r="F85" s="3516"/>
      <c r="G85" s="351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8</v>
      </c>
      <c r="D86" s="2577"/>
      <c r="E86" s="3517"/>
      <c r="F86" s="3516"/>
      <c r="G86" s="351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3512"/>
      <c r="F87" s="3513"/>
      <c r="G87" s="3513"/>
      <c r="H87" s="351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2" t="s">
        <v>1413</v>
      </c>
      <c r="F88" s="351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2" t="s">
        <v>1415</v>
      </c>
      <c r="F89" s="3513"/>
      <c r="G89" s="3513"/>
      <c r="H89" s="351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2" t="str">
        <f>IF(H88="-","土地取得成本中已包含该笔费用"," ")</f>
        <v xml:space="preserve"> </v>
      </c>
      <c r="F90" s="3513"/>
      <c r="G90" s="3650" t="s">
        <v>2129</v>
      </c>
      <c r="H90" s="3651"/>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81" t="s">
        <v>1419</v>
      </c>
      <c r="F91" s="3682"/>
      <c r="G91" s="368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81" t="s">
        <v>1422</v>
      </c>
      <c r="F92" s="3682"/>
      <c r="G92" s="3682"/>
      <c r="H92" s="3683"/>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8</v>
      </c>
      <c r="D93" s="2573">
        <f>'数据-取费表'!B43</f>
        <v>6.000000000000001E-3</v>
      </c>
      <c r="E93" s="3681" t="s">
        <v>1406</v>
      </c>
      <c r="F93" s="3682"/>
      <c r="G93" s="3682"/>
      <c r="H93" s="368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725" t="s">
        <v>1426</v>
      </c>
      <c r="F94" s="3726"/>
      <c r="G94" s="3726"/>
      <c r="H94" s="372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328</v>
      </c>
      <c r="B95" s="174" t="s">
        <v>1407</v>
      </c>
      <c r="C95" s="2564">
        <f ca="1">ROUND(C85-C86,0)</f>
        <v>1359</v>
      </c>
      <c r="D95" s="170" t="s">
        <v>26</v>
      </c>
      <c r="E95" s="3517"/>
      <c r="F95" s="3516"/>
      <c r="G95" s="351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169.875</v>
      </c>
      <c r="D96" s="170" t="s">
        <v>26</v>
      </c>
      <c r="E96" s="3506" t="str">
        <f ca="1">IF(C96&gt;=200%,"增值额超过扣除项目金额200%",IF(C96&gt;=100%,"增值额超过扣除项目金额100%，未超过200%",IF(C96&gt;=50%,"增值额超过扣除项目金额50%，未超过100%",IF(C96&lt;50%,"增值额未超过扣除项目金额50%"))))</f>
        <v>增值额超过扣除项目金额200%</v>
      </c>
      <c r="F96" s="3516"/>
      <c r="G96" s="351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813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31" t="s">
        <v>1428</v>
      </c>
      <c r="B100" s="3632"/>
      <c r="C100" s="3632"/>
      <c r="D100" s="3666"/>
      <c r="E100" s="3632" t="s">
        <v>1429</v>
      </c>
      <c r="F100" s="3632"/>
      <c r="G100" s="3632"/>
      <c r="H100" s="3666"/>
      <c r="I100" s="129"/>
    </row>
    <row r="101" spans="1:35" ht="18.75" customHeight="1">
      <c r="A101" s="3674" t="s">
        <v>1430</v>
      </c>
      <c r="B101" s="3675"/>
      <c r="C101" s="2581" t="str">
        <f>C4</f>
        <v>成本法 (2)</v>
      </c>
      <c r="D101" s="2582" t="str">
        <f>D4</f>
        <v>收益法 (2)</v>
      </c>
      <c r="E101" s="3644" t="s">
        <v>1431</v>
      </c>
      <c r="F101" s="3645"/>
      <c r="G101" s="1823" t="s">
        <v>1432</v>
      </c>
      <c r="H101" s="2591">
        <f ca="1">H118</f>
        <v>1435</v>
      </c>
      <c r="I101" s="129"/>
    </row>
    <row r="102" spans="1:35" ht="18.75" customHeight="1">
      <c r="A102" s="3676" t="s">
        <v>1433</v>
      </c>
      <c r="B102" s="2580" t="s">
        <v>1432</v>
      </c>
      <c r="C102" s="2581">
        <f ca="1">IF(D32="楼面单价",ROUND(C19,0),C19)</f>
        <v>1935</v>
      </c>
      <c r="D102" s="2582">
        <f ca="1">IF(D32="楼面单价",ROUND(D19,0),D19)</f>
        <v>684</v>
      </c>
      <c r="E102" s="3644"/>
      <c r="F102" s="3645"/>
      <c r="G102" s="1823" t="s">
        <v>1434</v>
      </c>
      <c r="H102" s="2551">
        <f ca="1">I118</f>
        <v>5562</v>
      </c>
      <c r="I102" s="129"/>
    </row>
    <row r="103" spans="1:35" ht="42.75" customHeight="1">
      <c r="A103" s="3676"/>
      <c r="B103" s="2580" t="s">
        <v>1434</v>
      </c>
      <c r="C103" s="2583">
        <f ca="1">C20</f>
        <v>7499</v>
      </c>
      <c r="D103" s="2584">
        <f ca="1">D20</f>
        <v>2651</v>
      </c>
      <c r="E103" s="3637" t="s">
        <v>1435</v>
      </c>
      <c r="F103" s="3638"/>
      <c r="G103" s="1824" t="s">
        <v>1436</v>
      </c>
      <c r="H103" s="2591">
        <f>IF(D36="正常操作",H104+H105+H106,H105+H106)</f>
        <v>0</v>
      </c>
      <c r="I103" s="129"/>
    </row>
    <row r="104" spans="1:35" ht="18.75" customHeight="1">
      <c r="A104" s="3676" t="s">
        <v>1437</v>
      </c>
      <c r="B104" s="2585" t="s">
        <v>1432</v>
      </c>
      <c r="C104" s="2586">
        <f ca="1">H118</f>
        <v>1435</v>
      </c>
      <c r="D104" s="2587"/>
      <c r="E104" s="1670" t="s">
        <v>1438</v>
      </c>
      <c r="F104" s="1662"/>
      <c r="G104" s="1824" t="s">
        <v>1436</v>
      </c>
      <c r="H104" s="2592">
        <f>IF(D36="同一抵押权人同一抵押物续贷",C36&amp;"（续贷，未扣减，详见特别提示）",C36)</f>
        <v>0</v>
      </c>
      <c r="I104" s="129"/>
    </row>
    <row r="105" spans="1:35" ht="18.75" customHeight="1" thickBot="1">
      <c r="A105" s="3686"/>
      <c r="B105" s="2588" t="s">
        <v>1434</v>
      </c>
      <c r="C105" s="2589">
        <f ca="1">I118</f>
        <v>5562</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77" t="str">
        <f>IF(项目基本情况!E8="已注销","——","3.房地产抵押价值")</f>
        <v>3.房地产抵押价值</v>
      </c>
      <c r="F107" s="3645"/>
      <c r="G107" s="1823" t="s">
        <v>1432</v>
      </c>
      <c r="H107" s="2591">
        <f ca="1">IF(E107="——","——",H101-H103)</f>
        <v>1435</v>
      </c>
      <c r="I107" s="129"/>
    </row>
    <row r="108" spans="1:35" ht="18.75" customHeight="1">
      <c r="A108" s="129"/>
      <c r="B108" s="129"/>
      <c r="C108" s="129"/>
      <c r="D108" s="129"/>
      <c r="E108" s="3677"/>
      <c r="F108" s="3645"/>
      <c r="G108" s="1823" t="s">
        <v>1434</v>
      </c>
      <c r="H108" s="2551">
        <f ca="1">IF(H107=H101,H102,ROUND(H107*10000/'数据-汇总表'!E3,0))</f>
        <v>5562</v>
      </c>
      <c r="I108" s="129"/>
    </row>
    <row r="109" spans="1:35" ht="18.75" customHeight="1">
      <c r="A109" s="129"/>
      <c r="B109" s="129"/>
      <c r="C109" s="129"/>
      <c r="D109" s="129"/>
      <c r="E109" s="3677" t="str">
        <f>IF(项目基本情况!E8="已注销及未注销","4.抵押担保权已注销时的房地产抵押价值",IF(项目基本情况!E8="已注销","3.抵押担保权已注销时的房地产抵押价值","——"))</f>
        <v>——</v>
      </c>
      <c r="F109" s="3645"/>
      <c r="G109" s="1823" t="s">
        <v>1432</v>
      </c>
      <c r="H109" s="2594" t="str">
        <f>IF(E109="——","——",H101-H105-H106)</f>
        <v>——</v>
      </c>
      <c r="I109" s="129"/>
    </row>
    <row r="110" spans="1:35" ht="18.75" customHeight="1">
      <c r="A110" s="129"/>
      <c r="B110" s="129"/>
      <c r="C110" s="129"/>
      <c r="D110" s="129"/>
      <c r="E110" s="3677"/>
      <c r="F110" s="3645"/>
      <c r="G110" s="1823" t="s">
        <v>1434</v>
      </c>
      <c r="H110" s="2551"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v>
      </c>
      <c r="F111" s="3664"/>
      <c r="G111" s="1823" t="s">
        <v>1432</v>
      </c>
      <c r="H111" s="2591" t="str">
        <f>IF(E111="——","——",N59)</f>
        <v>——</v>
      </c>
      <c r="I111" s="129"/>
    </row>
    <row r="112" spans="1:35" ht="18.75" customHeight="1" thickBot="1">
      <c r="A112" s="129"/>
      <c r="B112" s="129"/>
      <c r="C112" s="129"/>
      <c r="D112" s="129"/>
      <c r="E112" s="3679"/>
      <c r="F112" s="3680"/>
      <c r="G112" s="1826" t="s">
        <v>1434</v>
      </c>
      <c r="H112" s="2595" t="str">
        <f>IF(E111="——","——",N61)</f>
        <v>——</v>
      </c>
      <c r="I112" s="129"/>
    </row>
    <row r="113" spans="1:27" ht="18.75" customHeight="1">
      <c r="A113" s="129"/>
      <c r="B113" s="129"/>
      <c r="C113" s="129"/>
      <c r="D113" s="129"/>
      <c r="E113" s="3687" t="s">
        <v>1440</v>
      </c>
      <c r="F113" s="3687"/>
      <c r="G113" s="3687"/>
      <c r="H113" s="3687"/>
      <c r="I113" s="129"/>
    </row>
    <row r="114" spans="1:27" ht="3.75" customHeight="1">
      <c r="A114" s="1743"/>
      <c r="B114" s="1743"/>
      <c r="C114" s="1743"/>
      <c r="D114" s="1743"/>
      <c r="E114" s="1805"/>
      <c r="F114" s="1805"/>
      <c r="G114" s="1805"/>
      <c r="H114" s="1805"/>
      <c r="I114" s="1743"/>
    </row>
    <row r="115" spans="1:27" ht="18.75" customHeight="1">
      <c r="A115" s="3695" t="s">
        <v>1442</v>
      </c>
      <c r="B115" s="3696"/>
      <c r="C115" s="3696"/>
      <c r="D115" s="3696"/>
      <c r="E115" s="3696"/>
      <c r="F115" s="3696"/>
      <c r="G115" s="3696"/>
      <c r="H115" s="3696"/>
      <c r="I115" s="3697"/>
    </row>
    <row r="116" spans="1:27" ht="27" customHeight="1">
      <c r="A116" s="3652" t="s">
        <v>1443</v>
      </c>
      <c r="B116" s="3656" t="s">
        <v>1444</v>
      </c>
      <c r="C116" s="3656" t="s">
        <v>1445</v>
      </c>
      <c r="D116" s="3662" t="s">
        <v>1446</v>
      </c>
      <c r="E116" s="3663"/>
      <c r="F116" s="3694" t="s">
        <v>1447</v>
      </c>
      <c r="G116" s="3694"/>
      <c r="H116" s="3652" t="s">
        <v>1448</v>
      </c>
      <c r="I116" s="3652"/>
    </row>
    <row r="117" spans="1:27" ht="18.75" customHeight="1">
      <c r="A117" s="3652"/>
      <c r="B117" s="3657"/>
      <c r="C117" s="3657"/>
      <c r="D117" s="3508" t="s">
        <v>1449</v>
      </c>
      <c r="E117" s="3508" t="s">
        <v>1450</v>
      </c>
      <c r="F117" s="3508" t="s">
        <v>1449</v>
      </c>
      <c r="G117" s="3508" t="s">
        <v>1451</v>
      </c>
      <c r="H117" s="3508" t="s">
        <v>1449</v>
      </c>
      <c r="I117" s="3508" t="s">
        <v>1451</v>
      </c>
    </row>
    <row r="118" spans="1:27" ht="24.75" customHeight="1">
      <c r="A118" s="2596" t="str">
        <f>项目基本情况!S2</f>
        <v>北京市房地产</v>
      </c>
      <c r="B118" s="3508">
        <f>M18</f>
        <v>2580.219999999998</v>
      </c>
      <c r="C118" s="3508">
        <f>M19</f>
        <v>519.28</v>
      </c>
      <c r="D118" s="3508" t="e">
        <f ca="1">ROUND(IF(D32="总价",C34,E118*B118/10000),0)</f>
        <v>#REF!</v>
      </c>
      <c r="E118" s="3508" t="e">
        <f ca="1">ROUND(IF(C33="自定义",IF(D32="楼面单价",C34,D118*10000/B118),I118-G118),0)</f>
        <v>#REF!</v>
      </c>
      <c r="F118" s="3508" t="e">
        <f ca="1">ROUND(IF(D32="总价",C35,G118*B118/10000),0)</f>
        <v>#REF!</v>
      </c>
      <c r="G118" s="3508" t="e">
        <f ca="1">ROUND(IF(D32="楼面单价",C35,F118*10000/B118),0)</f>
        <v>#REF!</v>
      </c>
      <c r="H118" s="3508">
        <f ca="1">ROUND(IF(D32="总价",C32,I118*B118/10000),0)</f>
        <v>1435</v>
      </c>
      <c r="I118" s="3508">
        <f ca="1">ROUND(IF(D32="楼面单价",C32,H118*10000/B118),0)</f>
        <v>5562</v>
      </c>
    </row>
    <row r="119" spans="1:27" ht="18.75" customHeight="1">
      <c r="A119" s="3652" t="s">
        <v>1452</v>
      </c>
      <c r="B119" s="3652"/>
      <c r="C119" s="3652"/>
      <c r="D119" s="3658" t="e">
        <f ca="1">NUMBERSTRING(INT(D118*10000),2)&amp;"元整"</f>
        <v>#REF!</v>
      </c>
      <c r="E119" s="3659"/>
      <c r="F119" s="3658" t="e">
        <f ca="1">NUMBERSTRING(INT(F118*10000),2)&amp;"元整"</f>
        <v>#REF!</v>
      </c>
      <c r="G119" s="3659"/>
      <c r="H119" s="3658" t="str">
        <f ca="1">NUMBERSTRING(INT(H118*10000),2)&amp;"元整"</f>
        <v>壹仟肆佰叁拾伍万元整</v>
      </c>
      <c r="I119" s="3659"/>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8" t="s">
        <v>1452</v>
      </c>
      <c r="B121" s="3660"/>
      <c r="C121" s="3659"/>
      <c r="D121" s="3658" t="str">
        <f>IF(D120=0,"零元整",NUMBERSTRING(INT(D120*10000),2)&amp;"元整")</f>
        <v>零元整</v>
      </c>
      <c r="E121" s="3660"/>
      <c r="F121" s="3660"/>
      <c r="G121" s="3660"/>
      <c r="H121" s="3660"/>
      <c r="I121" s="3659"/>
      <c r="AA121" s="724"/>
    </row>
    <row r="122" spans="1:27" ht="18.75" customHeight="1">
      <c r="A122" s="3664" t="str">
        <f>IF(项目基本情况!B9="房地产市场价值","",MID(E107,3,LEN(E107)-2))</f>
        <v>房地产抵押价值</v>
      </c>
      <c r="B122" s="3664"/>
      <c r="C122" s="3664"/>
      <c r="D122" s="3653">
        <f ca="1">H107</f>
        <v>1435</v>
      </c>
      <c r="E122" s="3654"/>
      <c r="F122" s="3654"/>
      <c r="G122" s="3654"/>
      <c r="H122" s="3654"/>
      <c r="I122" s="3655"/>
      <c r="AA122" s="724"/>
    </row>
    <row r="123" spans="1:27" ht="18.75" customHeight="1">
      <c r="A123" s="3652" t="s">
        <v>1452</v>
      </c>
      <c r="B123" s="3652"/>
      <c r="C123" s="3652"/>
      <c r="D123" s="3658" t="str">
        <f ca="1">NUMBERSTRING(INT(D122*10000),2)&amp;"元整"</f>
        <v>壹仟肆佰叁拾伍万元整</v>
      </c>
      <c r="E123" s="3660"/>
      <c r="F123" s="3660"/>
      <c r="G123" s="3660"/>
      <c r="H123" s="3660"/>
      <c r="I123" s="3659"/>
      <c r="AA123" s="724"/>
    </row>
    <row r="124" spans="1:27" ht="18.75" customHeight="1">
      <c r="A124" s="3664" t="str">
        <f>IF(项目基本情况!B9="房地产市场价值","",MID(E109,3,LEN(E109)-2))</f>
        <v/>
      </c>
      <c r="B124" s="3664"/>
      <c r="C124" s="3664"/>
      <c r="D124" s="3653" t="str">
        <f>H109</f>
        <v>——</v>
      </c>
      <c r="E124" s="3654"/>
      <c r="F124" s="3654"/>
      <c r="G124" s="3654"/>
      <c r="H124" s="3654"/>
      <c r="I124" s="3655"/>
      <c r="AA124" s="724"/>
    </row>
    <row r="125" spans="1:27" ht="18.75" customHeight="1">
      <c r="A125" s="3652" t="s">
        <v>1452</v>
      </c>
      <c r="B125" s="3652"/>
      <c r="C125" s="3652"/>
      <c r="D125" s="3658" t="e">
        <f>NUMBERSTRING(INT(D124*10000),2)&amp;"元整"</f>
        <v>#VALUE!</v>
      </c>
      <c r="E125" s="3660"/>
      <c r="F125" s="3660"/>
      <c r="G125" s="3660"/>
      <c r="H125" s="3660"/>
      <c r="I125" s="3659"/>
      <c r="AA125" s="724"/>
    </row>
    <row r="126" spans="1:27" ht="18.75" customHeight="1">
      <c r="A126" s="3664" t="str">
        <f>IF(项目基本情况!B9="房地产市场价值","",MID(E111,3,LEN(E111)-2))</f>
        <v/>
      </c>
      <c r="B126" s="3664"/>
      <c r="C126" s="3664"/>
      <c r="D126" s="3653" t="str">
        <f>H111</f>
        <v>——</v>
      </c>
      <c r="E126" s="3654"/>
      <c r="F126" s="3654"/>
      <c r="G126" s="3654"/>
      <c r="H126" s="3654"/>
      <c r="I126" s="3655"/>
      <c r="AA126" s="724"/>
    </row>
    <row r="127" spans="1:27" ht="18.75" customHeight="1">
      <c r="A127" s="3652" t="s">
        <v>1452</v>
      </c>
      <c r="B127" s="3652"/>
      <c r="C127" s="3652"/>
      <c r="D127" s="3658" t="e">
        <f>NUMBERSTRING(INT(D126*10000),2)&amp;"元整"</f>
        <v>#VALUE!</v>
      </c>
      <c r="E127" s="3660"/>
      <c r="F127" s="3660"/>
      <c r="G127" s="3660"/>
      <c r="H127" s="3660"/>
      <c r="I127" s="3659"/>
      <c r="AA127" s="724"/>
    </row>
    <row r="128" spans="1:27" ht="21.75" customHeight="1">
      <c r="A128" s="3661" t="s">
        <v>1453</v>
      </c>
      <c r="B128" s="3661"/>
      <c r="C128" s="3661"/>
      <c r="D128" s="3661"/>
      <c r="E128" s="3661"/>
      <c r="F128" s="3661"/>
      <c r="G128" s="3661"/>
      <c r="H128" s="3661"/>
      <c r="I128" s="3661"/>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20" priority="10" stopIfTrue="1">
      <formula>$H$88&lt;&gt;"仅含出让金"</formula>
    </cfRule>
  </conditionalFormatting>
  <conditionalFormatting sqref="C91">
    <cfRule type="expression" dxfId="19" priority="9" stopIfTrue="1">
      <formula>$H$91="由企业提供"</formula>
    </cfRule>
  </conditionalFormatting>
  <conditionalFormatting sqref="E36">
    <cfRule type="expression" dxfId="18" priority="8" stopIfTrue="1">
      <formula>$D$36="同一抵押权人同一抵押物续贷"</formula>
    </cfRule>
  </conditionalFormatting>
  <conditionalFormatting sqref="C5:C7">
    <cfRule type="cellIs" dxfId="17" priority="7" stopIfTrue="1" operator="equal">
      <formula>25</formula>
    </cfRule>
  </conditionalFormatting>
  <conditionalFormatting sqref="C8:C9">
    <cfRule type="cellIs" dxfId="16" priority="6" stopIfTrue="1" operator="equal">
      <formula>15</formula>
    </cfRule>
  </conditionalFormatting>
  <conditionalFormatting sqref="C14:C16">
    <cfRule type="cellIs" dxfId="15" priority="5" stopIfTrue="1" operator="equal">
      <formula>30</formula>
    </cfRule>
  </conditionalFormatting>
  <conditionalFormatting sqref="D5:D7">
    <cfRule type="cellIs" dxfId="14" priority="4" stopIfTrue="1" operator="equal">
      <formula>25</formula>
    </cfRule>
  </conditionalFormatting>
  <conditionalFormatting sqref="D8:D9">
    <cfRule type="cellIs" dxfId="13" priority="3" stopIfTrue="1" operator="equal">
      <formula>15</formula>
    </cfRule>
  </conditionalFormatting>
  <conditionalFormatting sqref="C10:D13">
    <cfRule type="cellIs" dxfId="12" priority="2" stopIfTrue="1" operator="equal">
      <formula>15</formula>
    </cfRule>
  </conditionalFormatting>
  <conditionalFormatting sqref="D14:D16">
    <cfRule type="cellIs" dxfId="11"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20" sqref="L2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3532</v>
      </c>
      <c r="C1" s="197"/>
      <c r="D1" s="197"/>
      <c r="E1" s="197"/>
      <c r="F1" s="197"/>
      <c r="G1" s="1122">
        <f>MATCH(B1,'数据-取费表'!A6:A16,0)+5</f>
        <v>7</v>
      </c>
    </row>
    <row r="2" spans="1:9" s="199" customFormat="1" ht="18" customHeight="1">
      <c r="A2" s="200" t="s">
        <v>685</v>
      </c>
      <c r="B2" s="201">
        <f ca="1">IF(D2="——",C52,C52-E2)</f>
        <v>1935</v>
      </c>
      <c r="C2" s="198" t="s">
        <v>1463</v>
      </c>
      <c r="D2" s="1849" t="s">
        <v>43</v>
      </c>
      <c r="E2" s="1165" t="e">
        <f ca="1">SUMIF(INDIRECT("'"&amp;G2&amp;"'"&amp;"!A:A"),"承租人权益价值",INDIRECT("'"&amp;G2&amp;"'"&amp;"!c:c"))</f>
        <v>#REF!</v>
      </c>
      <c r="F2" s="1850" t="s">
        <v>1463</v>
      </c>
      <c r="G2" s="1851"/>
    </row>
    <row r="3" spans="1:9" s="199" customFormat="1" ht="18" customHeight="1" thickBot="1">
      <c r="A3" s="202" t="s">
        <v>686</v>
      </c>
      <c r="B3" s="203">
        <f ca="1">ROUND(B2*10000/(IF(B1="",'数据-汇总表'!E3,INDIRECT("'数据-取费表'!k"&amp;$G$1))),0)</f>
        <v>7499</v>
      </c>
      <c r="C3" s="198" t="s">
        <v>1465</v>
      </c>
      <c r="D3" s="198"/>
      <c r="E3" s="198"/>
      <c r="F3" s="198"/>
      <c r="G3" s="198"/>
    </row>
    <row r="4" spans="1:9" s="207" customFormat="1" ht="15.75">
      <c r="A4" s="204" t="s">
        <v>1466</v>
      </c>
      <c r="B4" s="205"/>
      <c r="C4" s="205"/>
      <c r="D4" s="205"/>
      <c r="E4" s="205"/>
      <c r="F4" s="205"/>
      <c r="G4" s="206"/>
    </row>
    <row r="5" spans="1:9" s="213" customFormat="1" ht="13.5" customHeight="1">
      <c r="A5" s="254" t="s">
        <v>337</v>
      </c>
      <c r="B5" s="209" t="s">
        <v>1468</v>
      </c>
      <c r="C5" s="210">
        <f ca="1">C6+C7+C8</f>
        <v>710</v>
      </c>
      <c r="D5" s="210" t="s">
        <v>1469</v>
      </c>
      <c r="E5" s="211" t="s">
        <v>1470</v>
      </c>
      <c r="F5" s="211" t="s">
        <v>1471</v>
      </c>
      <c r="G5" s="212"/>
    </row>
    <row r="6" spans="1:9" s="213" customFormat="1" ht="13.5" customHeight="1">
      <c r="A6" s="774" t="s">
        <v>346</v>
      </c>
      <c r="B6" s="214" t="s">
        <v>1473</v>
      </c>
      <c r="C6" s="215">
        <f>'基准地价修正 (3)'!B2</f>
        <v>639</v>
      </c>
      <c r="D6" s="216"/>
      <c r="E6" s="217"/>
      <c r="F6" s="217"/>
      <c r="G6" s="218"/>
    </row>
    <row r="7" spans="1:9" s="213" customFormat="1" ht="13.5" customHeight="1">
      <c r="A7" s="774" t="s">
        <v>347</v>
      </c>
      <c r="B7" s="214" t="s">
        <v>1475</v>
      </c>
      <c r="C7" s="219">
        <f>ROUND(C6*F7,0)</f>
        <v>19</v>
      </c>
      <c r="D7" s="219"/>
      <c r="E7" s="217"/>
      <c r="F7" s="220">
        <f>IF(项目基本情况!B8="出让",0,'数据-取费表'!B48+'数据-取费表'!B49)</f>
        <v>3.0499999999999999E-2</v>
      </c>
      <c r="G7" s="218"/>
    </row>
    <row r="8" spans="1:9" s="222" customFormat="1">
      <c r="A8" s="774" t="s">
        <v>348</v>
      </c>
      <c r="B8" s="214" t="s">
        <v>1477</v>
      </c>
      <c r="C8" s="219">
        <f ca="1">IF(G8="已包含在土地购买价格中","0",IF(B1="",'数据-取费表'!B29,IF(G9="全部缴纳",C9+C10,H9)))</f>
        <v>52</v>
      </c>
      <c r="D8" s="221"/>
      <c r="E8" s="219"/>
      <c r="F8" s="220"/>
      <c r="G8" s="1852" t="s">
        <v>3543</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3544</v>
      </c>
      <c r="H9" s="1133"/>
      <c r="I9" s="1854" t="s">
        <v>1479</v>
      </c>
    </row>
    <row r="10" spans="1:9" s="213" customFormat="1" ht="13.5" customHeight="1">
      <c r="A10" s="775" t="s">
        <v>356</v>
      </c>
      <c r="B10" s="223" t="s">
        <v>1480</v>
      </c>
      <c r="C10" s="224">
        <f ca="1">ROUND(D10*E10/10000,0)</f>
        <v>52</v>
      </c>
      <c r="D10" s="841">
        <f ca="1">IF(B1="",'数据-汇总表'!E6,IF(INDIRECT("'数据-取费表'!c"&amp;$G$1)="住宅",INDIRECT("'数据-取费表'!s"&amp;$G$1),INDIRECT("'数据-取费表'!k"&amp;$G$1)+INDIRECT("'数据-取费表'!s"&amp;$G$1)))</f>
        <v>2580.219999999998</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2580.219999999998</v>
      </c>
      <c r="E19" s="210">
        <f>'数据-取费表'!B31</f>
        <v>200</v>
      </c>
      <c r="F19" s="230"/>
      <c r="G19" s="1852" t="s">
        <v>3545</v>
      </c>
    </row>
    <row r="20" spans="1:7" s="213" customFormat="1" ht="13.5" customHeight="1">
      <c r="A20" s="254" t="s">
        <v>1493</v>
      </c>
      <c r="B20" s="209" t="s">
        <v>1494</v>
      </c>
      <c r="C20" s="231">
        <f ca="1">ROUND((C5+C19)*F20,0)</f>
        <v>14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61</v>
      </c>
      <c r="D22" s="234">
        <f ca="1">C26</f>
        <v>8.0000000000000004E-4</v>
      </c>
      <c r="E22" s="235" t="s">
        <v>1498</v>
      </c>
      <c r="F22" s="236">
        <f ca="1">'数据-取费表'!B40</f>
        <v>4.1499999999999995E-2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60</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1</v>
      </c>
      <c r="D25" s="237"/>
      <c r="E25" s="240"/>
      <c r="F25" s="238"/>
      <c r="G25" s="241" t="s">
        <v>1510</v>
      </c>
    </row>
    <row r="26" spans="1:7" s="213" customFormat="1">
      <c r="A26" s="776" t="s">
        <v>350</v>
      </c>
      <c r="B26" s="214" t="s">
        <v>1511</v>
      </c>
      <c r="C26" s="237">
        <f ca="1">ROUND(IF('数据-取费表'!B22&lt;=1,F21*F22*'数据-取费表'!B23/2,F21*(POWER((1+F22),'数据-取费表'!B23/2)-1)),4)</f>
        <v>8.0000000000000004E-4</v>
      </c>
      <c r="D26" s="237"/>
      <c r="E26" s="240"/>
      <c r="F26" s="238"/>
      <c r="G26" s="242"/>
    </row>
    <row r="27" spans="1:7" s="213" customFormat="1" ht="24.75">
      <c r="A27" s="254" t="s">
        <v>1512</v>
      </c>
      <c r="B27" s="243" t="s">
        <v>1513</v>
      </c>
      <c r="C27" s="244">
        <f ca="1">C28</f>
        <v>36</v>
      </c>
      <c r="D27" s="234">
        <f ca="1">C29</f>
        <v>1E-3</v>
      </c>
      <c r="E27" s="235" t="s">
        <v>1498</v>
      </c>
      <c r="F27" s="245">
        <f ca="1">IF(B1="",'数据-取费表'!Q16,INDIRECT("'数据-取费表'!q"&amp;$G$1))</f>
        <v>0.05</v>
      </c>
      <c r="G27" s="246" t="s">
        <v>1515</v>
      </c>
    </row>
    <row r="28" spans="1:7" s="213" customFormat="1" ht="13.5" customHeight="1">
      <c r="A28" s="776" t="s">
        <v>346</v>
      </c>
      <c r="B28" s="247" t="s">
        <v>1516</v>
      </c>
      <c r="C28" s="248">
        <f ca="1">ROUND((C5+C19+C20)*F27*'数据-取费表'!B21/'数据-取费表'!B20,0)</f>
        <v>36</v>
      </c>
      <c r="D28" s="234"/>
      <c r="E28" s="235"/>
      <c r="F28" s="245"/>
      <c r="G28" s="246"/>
    </row>
    <row r="29" spans="1:7" s="213" customFormat="1" ht="13.5" customHeight="1">
      <c r="A29" s="776"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5.33E-2</v>
      </c>
      <c r="D30" s="235" t="s">
        <v>1498</v>
      </c>
      <c r="E30" s="240"/>
      <c r="F30" s="236">
        <f>'数据-取费表'!B41</f>
        <v>5.6000000000000001E-2</v>
      </c>
      <c r="G30" s="233" t="s">
        <v>1520</v>
      </c>
    </row>
    <row r="31" spans="1:7" ht="16.5" customHeight="1">
      <c r="A31" s="208">
        <v>1</v>
      </c>
      <c r="B31" s="209" t="s">
        <v>1521</v>
      </c>
      <c r="C31" s="210">
        <f ca="1">ROUND((C5+C19+C20+C22+C27)/(1-C21-D22-D27-C30),0)</f>
        <v>888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1005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903</v>
      </c>
      <c r="D34" s="216"/>
      <c r="E34" s="219"/>
      <c r="F34" s="256">
        <f ca="1">IF('数据-取费表'!B24=0,1,IF(B1="",'数据-取费表'!N16,INDIRECT("'数据-取费表'!n"&amp;$G$1)))</f>
        <v>1</v>
      </c>
      <c r="G34" s="218" t="s">
        <v>1526</v>
      </c>
    </row>
    <row r="35" spans="1:7" ht="13.5" customHeight="1">
      <c r="A35" s="776" t="s">
        <v>351</v>
      </c>
      <c r="B35" s="214" t="s">
        <v>1527</v>
      </c>
      <c r="C35" s="219">
        <f ca="1">ROUND(C34*F35,0)</f>
        <v>36</v>
      </c>
      <c r="D35" s="219"/>
      <c r="E35" s="219"/>
      <c r="F35" s="258">
        <f>'数据-取费表'!B33</f>
        <v>0.04</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0.05</v>
      </c>
      <c r="G36" s="259" t="s">
        <v>1530</v>
      </c>
    </row>
    <row r="37" spans="1:7" s="257" customFormat="1" ht="13.5" customHeight="1">
      <c r="A37" s="776" t="s">
        <v>353</v>
      </c>
      <c r="B37" s="214" t="s">
        <v>1531</v>
      </c>
      <c r="C37" s="248">
        <f ca="1">ROUND(E37*D37*F34/10000,0)</f>
        <v>52</v>
      </c>
      <c r="D37" s="216">
        <f ca="1">D19</f>
        <v>2580.219999999998</v>
      </c>
      <c r="E37" s="248">
        <f>'数据-取费表'!B35</f>
        <v>200</v>
      </c>
      <c r="F37" s="258"/>
      <c r="G37" s="260" t="s">
        <v>1532</v>
      </c>
    </row>
    <row r="38" spans="1:7" ht="13.5" customHeight="1">
      <c r="A38" s="776" t="s">
        <v>354</v>
      </c>
      <c r="B38" s="214" t="s">
        <v>1533</v>
      </c>
      <c r="C38" s="219">
        <f ca="1">ROUND(C34*F38,0)</f>
        <v>14</v>
      </c>
      <c r="D38" s="219"/>
      <c r="E38" s="219"/>
      <c r="F38" s="258">
        <f>'数据-取费表'!B36</f>
        <v>1.4999999999999999E-2</v>
      </c>
      <c r="G38" s="218" t="s">
        <v>1528</v>
      </c>
    </row>
    <row r="39" spans="1:7" s="213" customFormat="1" ht="13.5" customHeight="1">
      <c r="A39" s="254" t="s">
        <v>1491</v>
      </c>
      <c r="B39" s="209" t="s">
        <v>1494</v>
      </c>
      <c r="C39" s="231">
        <f ca="1">ROUND(C33*F20,0)</f>
        <v>20</v>
      </c>
      <c r="D39" s="231"/>
      <c r="E39" s="231"/>
      <c r="F39" s="232">
        <f>F20</f>
        <v>0.02</v>
      </c>
      <c r="G39" s="233" t="s">
        <v>1536</v>
      </c>
    </row>
    <row r="40" spans="1:7" s="213" customFormat="1" ht="13.5" customHeight="1">
      <c r="A40" s="254" t="s">
        <v>1493</v>
      </c>
      <c r="B40" s="209" t="s">
        <v>1497</v>
      </c>
      <c r="C40" s="1323">
        <f>F21</f>
        <v>0.02</v>
      </c>
      <c r="D40" s="235" t="s">
        <v>1539</v>
      </c>
      <c r="E40" s="231"/>
      <c r="F40" s="232">
        <f>F21</f>
        <v>0.02</v>
      </c>
      <c r="G40" s="233" t="s">
        <v>1540</v>
      </c>
    </row>
    <row r="41" spans="1:7" s="213" customFormat="1" ht="13.5" customHeight="1">
      <c r="A41" s="254" t="s">
        <v>1496</v>
      </c>
      <c r="B41" s="209" t="s">
        <v>1501</v>
      </c>
      <c r="C41" s="231">
        <f ca="1">ROUND(SUM(C42:C43),0)</f>
        <v>43</v>
      </c>
      <c r="D41" s="234">
        <f ca="1">C44</f>
        <v>8.0000000000000004E-4</v>
      </c>
      <c r="E41" s="235" t="s">
        <v>1539</v>
      </c>
      <c r="F41" s="236">
        <f ca="1">F22</f>
        <v>4.1499999999999995E-2</v>
      </c>
      <c r="G41" s="233" t="str">
        <f>IF('数据-取费表'!B22&lt;=1,"单利计息","复利计息")</f>
        <v>复利计息</v>
      </c>
    </row>
    <row r="42" spans="1:7" ht="13.5" customHeight="1">
      <c r="A42" s="776" t="s">
        <v>346</v>
      </c>
      <c r="B42" s="214" t="s">
        <v>1503</v>
      </c>
      <c r="C42" s="237">
        <f ca="1">ROUND(IF('数据-取费表'!B22&lt;=1,C33*F22*'数据-取费表'!B21/2,C33*(POWER((1+F22),'数据-取费表'!B21/2)-1)),0)</f>
        <v>42</v>
      </c>
      <c r="D42" s="237"/>
      <c r="E42" s="237"/>
      <c r="F42" s="238"/>
      <c r="G42" s="3730" t="s">
        <v>1544</v>
      </c>
    </row>
    <row r="43" spans="1:7" ht="13.5" customHeight="1">
      <c r="A43" s="776" t="s">
        <v>347</v>
      </c>
      <c r="B43" s="214" t="s">
        <v>1506</v>
      </c>
      <c r="C43" s="237">
        <f ca="1">ROUND(IF('数据-取费表'!B22&lt;=1,C39*F22*'数据-取费表'!B21/2,C39*(POWER((1+F22),'数据-取费表'!B21/2)-1)),0)</f>
        <v>1</v>
      </c>
      <c r="D43" s="237"/>
      <c r="E43" s="237"/>
      <c r="F43" s="238"/>
      <c r="G43" s="3731"/>
    </row>
    <row r="44" spans="1:7" ht="13.5" customHeight="1">
      <c r="A44" s="776" t="s">
        <v>348</v>
      </c>
      <c r="B44" s="214" t="s">
        <v>1509</v>
      </c>
      <c r="C44" s="237">
        <f ca="1">ROUND(IF('数据-取费表'!B22&lt;=1,C40*F22*'数据-取费表'!B21/2,C40*(POWER((1+F22),'数据-取费表'!B21/2)-1)),4)</f>
        <v>8.0000000000000004E-4</v>
      </c>
      <c r="D44" s="237"/>
      <c r="E44" s="237"/>
      <c r="F44" s="238"/>
      <c r="G44" s="3732"/>
    </row>
    <row r="45" spans="1:7" s="213" customFormat="1" ht="13.5" customHeight="1">
      <c r="A45" s="254" t="s">
        <v>1500</v>
      </c>
      <c r="B45" s="243" t="s">
        <v>1513</v>
      </c>
      <c r="C45" s="244">
        <f ca="1">C46</f>
        <v>51</v>
      </c>
      <c r="D45" s="234">
        <f ca="1">C47</f>
        <v>1E-3</v>
      </c>
      <c r="E45" s="235" t="s">
        <v>1539</v>
      </c>
      <c r="F45" s="245">
        <f ca="1">F27</f>
        <v>0.05</v>
      </c>
      <c r="G45" s="246" t="s">
        <v>1548</v>
      </c>
    </row>
    <row r="46" spans="1:7" s="213" customFormat="1" ht="13.5" customHeight="1">
      <c r="A46" s="776" t="s">
        <v>346</v>
      </c>
      <c r="B46" s="247" t="s">
        <v>1549</v>
      </c>
      <c r="C46" s="248">
        <f ca="1">ROUND((C33+C39)*F27,0)</f>
        <v>51</v>
      </c>
      <c r="D46" s="262"/>
      <c r="E46" s="235"/>
      <c r="F46" s="245"/>
      <c r="G46" s="246"/>
    </row>
    <row r="47" spans="1:7" s="213" customFormat="1" ht="13.5" customHeight="1">
      <c r="A47" s="776" t="s">
        <v>347</v>
      </c>
      <c r="B47" s="247" t="s">
        <v>1550</v>
      </c>
      <c r="C47" s="237">
        <f ca="1">ROUND(C40*F27,4)</f>
        <v>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1210</v>
      </c>
      <c r="D49" s="231"/>
      <c r="E49" s="231"/>
      <c r="F49" s="263"/>
      <c r="G49" s="233" t="s">
        <v>1554</v>
      </c>
    </row>
    <row r="50" spans="1:7" s="257" customFormat="1" ht="24">
      <c r="A50" s="254" t="s">
        <v>1555</v>
      </c>
      <c r="B50" s="209" t="s">
        <v>1556</v>
      </c>
      <c r="C50" s="231"/>
      <c r="D50" s="231"/>
      <c r="E50" s="231"/>
      <c r="F50" s="263">
        <f>IF('数据-取费表'!B24=0,'数据-取费表'!N16,1)</f>
        <v>0.86499999999999999</v>
      </c>
      <c r="G50" s="246" t="s">
        <v>1557</v>
      </c>
    </row>
    <row r="51" spans="1:7" ht="16.5" customHeight="1">
      <c r="A51" s="254" t="s">
        <v>1558</v>
      </c>
      <c r="B51" s="209" t="s">
        <v>1559</v>
      </c>
      <c r="C51" s="231">
        <f ca="1">ROUND(C49*F50,0)</f>
        <v>1047</v>
      </c>
      <c r="D51" s="231"/>
      <c r="E51" s="231"/>
      <c r="F51" s="263"/>
      <c r="G51" s="233" t="s">
        <v>1560</v>
      </c>
    </row>
    <row r="52" spans="1:7" s="207" customFormat="1" ht="16.5" thickBot="1">
      <c r="A52" s="264" t="s">
        <v>1561</v>
      </c>
      <c r="B52" s="265"/>
      <c r="C52" s="266">
        <f ca="1">C31+C51</f>
        <v>1935</v>
      </c>
      <c r="D52" s="265"/>
      <c r="E52" s="265"/>
      <c r="F52" s="265"/>
      <c r="G52" s="267"/>
    </row>
    <row r="55" spans="1:7" ht="15">
      <c r="B55" s="269" t="s">
        <v>1562</v>
      </c>
      <c r="C55" s="270"/>
    </row>
    <row r="56" spans="1:7">
      <c r="B56" s="272" t="s">
        <v>802</v>
      </c>
      <c r="C56" s="274">
        <f ca="1">1-C57</f>
        <v>0.45899999999999996</v>
      </c>
    </row>
    <row r="57" spans="1:7">
      <c r="B57" s="272" t="s">
        <v>803</v>
      </c>
      <c r="C57" s="273">
        <f ca="1">ROUND(C51/C52,3)</f>
        <v>0.54100000000000004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spans="1:5" ht="18">
      <c r="A3" s="3540" t="str">
        <f>IF(项目基本情况!B9="房地产市场价值","估价结果一览表（市场价值不需“结果表-1”）","估价结果一览表")</f>
        <v>估价结果一览表</v>
      </c>
      <c r="B3" s="3540"/>
      <c r="C3" s="3540"/>
      <c r="D3" s="3540"/>
      <c r="E3" s="3540"/>
    </row>
    <row r="4" spans="1:5" ht="19.5" thickBot="1">
      <c r="A4" s="1489"/>
      <c r="B4" s="3538" t="s">
        <v>917</v>
      </c>
      <c r="C4" s="3538"/>
      <c r="D4" s="3538"/>
      <c r="E4" s="1489"/>
    </row>
    <row r="5" spans="1:5" ht="16.5" thickTop="1">
      <c r="A5" s="1487"/>
      <c r="B5" s="3536" t="s">
        <v>909</v>
      </c>
      <c r="C5" s="1490" t="s">
        <v>910</v>
      </c>
      <c r="D5" s="846">
        <f ca="1">结果表!H101</f>
        <v>192043</v>
      </c>
      <c r="E5" s="1487"/>
    </row>
    <row r="6" spans="1:5" ht="15.75">
      <c r="A6" s="1487"/>
      <c r="B6" s="3536"/>
      <c r="C6" s="1490" t="s">
        <v>911</v>
      </c>
      <c r="D6" s="846" t="str">
        <f ca="1">NUMBERSTRING(INT(D5*10000),2)&amp;"元整"</f>
        <v>壹拾玖亿贰仟零肆拾叁万元整</v>
      </c>
      <c r="E6" s="1487"/>
    </row>
    <row r="7" spans="1:5" ht="15.75">
      <c r="A7" s="1487"/>
      <c r="B7" s="3541"/>
      <c r="C7" s="1491" t="s">
        <v>912</v>
      </c>
      <c r="D7" s="847">
        <f ca="1">结果表!H102</f>
        <v>30777</v>
      </c>
      <c r="E7" s="1487"/>
    </row>
    <row r="8" spans="1:5" ht="15.75">
      <c r="A8" s="1487"/>
      <c r="B8" s="3542" t="str">
        <f>结果表!E103</f>
        <v>2.估价师知悉的法定优先受偿款</v>
      </c>
      <c r="C8" s="1492" t="s">
        <v>913</v>
      </c>
      <c r="D8" s="847">
        <f>结果表!H103</f>
        <v>0</v>
      </c>
      <c r="E8" s="1487"/>
    </row>
    <row r="9" spans="1:5" ht="15.75">
      <c r="A9" s="1487"/>
      <c r="B9" s="3544"/>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35" t="str">
        <f>结果表!E107</f>
        <v>3.房地产抵押价值</v>
      </c>
      <c r="C13" s="1495" t="s">
        <v>910</v>
      </c>
      <c r="D13" s="849">
        <f ca="1">结果表!H107</f>
        <v>192043</v>
      </c>
      <c r="E13" s="1487"/>
    </row>
    <row r="14" spans="1:5" ht="15.75">
      <c r="A14" s="1487"/>
      <c r="B14" s="3536"/>
      <c r="C14" s="1490" t="s">
        <v>911</v>
      </c>
      <c r="D14" s="846" t="str">
        <f ca="1">NUMBERSTRING(INT(D13*10000),2)&amp;"元整"</f>
        <v>壹拾玖亿贰仟零肆拾叁万元整</v>
      </c>
      <c r="E14" s="1487"/>
    </row>
    <row r="15" spans="1:5" ht="15">
      <c r="A15" s="1487"/>
      <c r="B15" s="3541"/>
      <c r="C15" s="1491" t="s">
        <v>921</v>
      </c>
      <c r="D15" s="855">
        <f ca="1">结果表!H108</f>
        <v>30777</v>
      </c>
      <c r="E15" s="1487"/>
    </row>
    <row r="16" spans="1:5" ht="15">
      <c r="A16" s="1487"/>
      <c r="B16" s="3542" t="str">
        <f>结果表!E109</f>
        <v>——</v>
      </c>
      <c r="C16" s="1495" t="s">
        <v>922</v>
      </c>
      <c r="D16" s="1496" t="str">
        <f>结果表!H109</f>
        <v>——</v>
      </c>
      <c r="E16" s="1487"/>
    </row>
    <row r="17" spans="1:5" ht="15.75">
      <c r="A17" s="1487"/>
      <c r="B17" s="3543"/>
      <c r="C17" s="1490" t="s">
        <v>923</v>
      </c>
      <c r="D17" s="846" t="e">
        <f>NUMBERSTRING(INT(D16*10000),2)&amp;"元整"</f>
        <v>#VALUE!</v>
      </c>
      <c r="E17" s="1487"/>
    </row>
    <row r="18" spans="1:5" ht="15">
      <c r="A18" s="1487"/>
      <c r="B18" s="3544"/>
      <c r="C18" s="1491" t="s">
        <v>912</v>
      </c>
      <c r="D18" s="855" t="str">
        <f>结果表!H110</f>
        <v>——</v>
      </c>
      <c r="E18" s="1487"/>
    </row>
    <row r="19" spans="1:5" ht="15.75">
      <c r="A19" s="1487"/>
      <c r="B19" s="3535" t="str">
        <f>结果表!E111</f>
        <v>——</v>
      </c>
      <c r="C19" s="1495" t="s">
        <v>910</v>
      </c>
      <c r="D19" s="847" t="str">
        <f>结果表!H111</f>
        <v>——</v>
      </c>
      <c r="E19" s="1487"/>
    </row>
    <row r="20" spans="1:5" ht="15.75">
      <c r="A20" s="1487"/>
      <c r="B20" s="3536"/>
      <c r="C20" s="1490" t="s">
        <v>923</v>
      </c>
      <c r="D20" s="846" t="e">
        <f>NUMBERSTRING(INT(D19*10000),2)&amp;"元整"</f>
        <v>#VALUE!</v>
      </c>
      <c r="E20" s="1487"/>
    </row>
    <row r="21" spans="1:5" ht="15.75" thickBot="1">
      <c r="A21" s="1487"/>
      <c r="B21" s="3537"/>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48" sqref="K4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2580.219999999998</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639</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26178</v>
      </c>
      <c r="U2" s="1209"/>
      <c r="V2" s="3357">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2477</v>
      </c>
      <c r="C3" s="1995" t="s">
        <v>1941</v>
      </c>
      <c r="D3" s="1996" t="s">
        <v>1942</v>
      </c>
      <c r="E3" s="3416" t="s">
        <v>2442</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20633</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40"/>
      <c r="B4" s="3841"/>
      <c r="C4" s="3841"/>
      <c r="D4" s="3842"/>
      <c r="E4" s="3842"/>
      <c r="F4" s="3842"/>
      <c r="G4" s="3842"/>
      <c r="H4" s="3842"/>
      <c r="I4" s="3842"/>
      <c r="J4" s="3843"/>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17438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15380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14780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3244</v>
      </c>
      <c r="B7" s="3515"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14615</v>
      </c>
      <c r="U7" s="1209"/>
      <c r="V7" s="3357">
        <f t="shared" si="1"/>
        <v>0</v>
      </c>
      <c r="W7" s="3525"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7" t="s">
        <v>1960</v>
      </c>
      <c r="X8" s="383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39"/>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3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510"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511"/>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509"/>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4" t="s">
        <v>3261</v>
      </c>
      <c r="B20" s="167" t="s">
        <v>1994</v>
      </c>
      <c r="C20" s="3321">
        <f>ROUND(IF(F21="与级别开发程度一致",0,(G21-E21)/C21),0)</f>
        <v>0</v>
      </c>
      <c r="D20" s="3337" t="s">
        <v>1998</v>
      </c>
      <c r="E20" s="3338"/>
      <c r="F20" s="3850" t="s">
        <v>1995</v>
      </c>
      <c r="G20" s="3851"/>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5"/>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3523">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3522">
        <f>IF(E26=G26,F26,IF(G3&lt;10,ROUND(F26+(H26-F26)*(G3-E26)/(G26-E26),4),"——"))</f>
        <v>0.94040000000000001</v>
      </c>
      <c r="E26" s="748">
        <f>ROUNDDOWN(G3,1)</f>
        <v>3.8</v>
      </c>
      <c r="F26" s="35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35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1.046</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639</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160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14615</v>
      </c>
      <c r="D33" s="2094"/>
      <c r="E33" s="769">
        <f>ROUND(C33*D33/10000,0)</f>
        <v>0</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8"/>
      <c r="B37" s="2109" t="s">
        <v>2036</v>
      </c>
      <c r="C37" s="175">
        <f>ROUND(D5*C22*C23*C24*C28*F37,0)</f>
        <v>10458</v>
      </c>
      <c r="D37" s="2094"/>
      <c r="E37" s="171">
        <f>ROUND(C37*D37/10000,0)</f>
        <v>0</v>
      </c>
      <c r="F37" s="171">
        <f>SUMIF(修正!A57:A68,G2,修正!B57:B68)</f>
        <v>0.6</v>
      </c>
      <c r="G37" s="171">
        <f>ROUND(IF(E2="工业",C37*$M$42,C37*$M$41),0)</f>
        <v>2615</v>
      </c>
      <c r="H37" s="171">
        <f>D37</f>
        <v>0</v>
      </c>
      <c r="I37" s="171">
        <f>ROUND(G37*H37/10000,0)</f>
        <v>0</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49"/>
      <c r="B38" s="2037" t="s">
        <v>2037</v>
      </c>
      <c r="C38" s="175">
        <f>ROUND(D5*C22*C23*C24*C28*F38,0)</f>
        <v>5229</v>
      </c>
      <c r="D38" s="2094"/>
      <c r="E38" s="171">
        <f t="shared" ref="E38:E42" si="4">ROUND(C38*D38/10000,0)</f>
        <v>0</v>
      </c>
      <c r="F38" s="171">
        <f>SUMIF(修正!A57:A68,G2,修正!C57:C68)</f>
        <v>0.3</v>
      </c>
      <c r="G38" s="171">
        <f>ROUND(IF(E2="工业",C38*$M$42,C38*$M$41),0)</f>
        <v>1307</v>
      </c>
      <c r="H38" s="171">
        <f t="shared" ref="H38:H42" si="5">D38</f>
        <v>0</v>
      </c>
      <c r="I38" s="171">
        <f t="shared" ref="I38:I42" si="6">ROUND(G38*H38/10000,0)</f>
        <v>0</v>
      </c>
      <c r="J38" s="3528"/>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49"/>
      <c r="B39" s="2037" t="s">
        <v>3266</v>
      </c>
      <c r="C39" s="175">
        <f>ROUND(D5*C22*C23*C24*C28*F39,0)</f>
        <v>4357</v>
      </c>
      <c r="D39" s="2094"/>
      <c r="E39" s="171">
        <f t="shared" si="4"/>
        <v>0</v>
      </c>
      <c r="F39" s="171">
        <f>SUMIF(修正!A57:A68,G2,修正!D57:D68)</f>
        <v>0.25</v>
      </c>
      <c r="G39" s="171">
        <f>ROUND(IF(E2="工业",C39*$M$42,C39*$M$41),0)</f>
        <v>1089</v>
      </c>
      <c r="H39" s="171">
        <f t="shared" si="5"/>
        <v>0</v>
      </c>
      <c r="I39" s="171">
        <f t="shared" si="6"/>
        <v>0</v>
      </c>
      <c r="J39" s="352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4357</v>
      </c>
      <c r="D40" s="2094"/>
      <c r="E40" s="171">
        <f t="shared" si="4"/>
        <v>0</v>
      </c>
      <c r="F40" s="175">
        <f>SUMIF(修正!A57:A68,G2,修正!E57:E68)</f>
        <v>0.25</v>
      </c>
      <c r="G40" s="171">
        <f>ROUND(IF(E2="工业",C40*$M$42,C40*$M$41),0)</f>
        <v>1089</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4131</v>
      </c>
      <c r="D41" s="2094"/>
      <c r="E41" s="171">
        <f t="shared" si="4"/>
        <v>0</v>
      </c>
      <c r="F41" s="175">
        <f>SUMIF(修正!A57:A68,G2,修正!F57:F68)</f>
        <v>0.25</v>
      </c>
      <c r="G41" s="171">
        <f>ROUND(IF(E2="工业",C41*$M$42,C41*$M$41),0)</f>
        <v>1033</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2478</v>
      </c>
      <c r="D42" s="2099">
        <f>面积汇总表!D5</f>
        <v>2580.219999999998</v>
      </c>
      <c r="E42" s="186">
        <f t="shared" si="4"/>
        <v>639</v>
      </c>
      <c r="F42" s="763">
        <f>SUMIF(修正!A57:A68,G2,修正!G57:G68)</f>
        <v>0.15</v>
      </c>
      <c r="G42" s="186">
        <f>ROUND(IF(E2="工业",C42*$M$42,C42*$M$41),0)</f>
        <v>620</v>
      </c>
      <c r="H42" s="186">
        <f t="shared" si="5"/>
        <v>2580.219999999998</v>
      </c>
      <c r="I42" s="186">
        <f t="shared" si="6"/>
        <v>160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1.046</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4.5999999999999999E-2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3541</v>
      </c>
      <c r="D54" s="1061">
        <f t="shared" si="7"/>
        <v>3.3999999999999998E-3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3541</v>
      </c>
      <c r="D58" s="1061">
        <f t="shared" si="7"/>
        <v>2.0999999999999999E-3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3277</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3280</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3281</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3284</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3285</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3286</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6" t="s">
        <v>3301</v>
      </c>
      <c r="B103" s="3846"/>
      <c r="C103" s="3846"/>
      <c r="D103" s="3846"/>
      <c r="E103" s="3846"/>
      <c r="F103" s="3846"/>
      <c r="G103" s="3846"/>
      <c r="H103" s="3846"/>
      <c r="I103" s="3846"/>
      <c r="J103" s="3846"/>
      <c r="K103" s="3526"/>
      <c r="L103" s="3526"/>
      <c r="M103" s="3526"/>
      <c r="N103" s="3526"/>
    </row>
    <row r="104" spans="1:14">
      <c r="A104" s="3847" t="s">
        <v>3302</v>
      </c>
      <c r="B104" s="3847" t="s">
        <v>3303</v>
      </c>
      <c r="C104" s="3387" t="s">
        <v>3304</v>
      </c>
      <c r="D104" s="3388"/>
      <c r="E104" s="3388"/>
      <c r="F104" s="3388"/>
      <c r="G104" s="3388"/>
      <c r="H104" s="3388"/>
      <c r="I104" s="3388"/>
      <c r="J104" s="3389"/>
      <c r="K104" s="3390"/>
      <c r="L104" s="3390"/>
      <c r="M104" s="3390"/>
      <c r="N104" s="3390"/>
    </row>
    <row r="105" spans="1:14">
      <c r="A105" s="3847"/>
      <c r="B105" s="3847"/>
      <c r="C105" s="3527" t="s">
        <v>3305</v>
      </c>
      <c r="D105" s="3527" t="s">
        <v>3306</v>
      </c>
      <c r="E105" s="3527" t="s">
        <v>3307</v>
      </c>
      <c r="F105" s="3527" t="s">
        <v>3308</v>
      </c>
      <c r="G105" s="3527" t="s">
        <v>3309</v>
      </c>
      <c r="H105" s="3527" t="s">
        <v>3310</v>
      </c>
      <c r="I105" s="3527" t="s">
        <v>3311</v>
      </c>
      <c r="J105" s="3527" t="s">
        <v>3312</v>
      </c>
      <c r="K105" s="3527" t="s">
        <v>3313</v>
      </c>
      <c r="L105" s="3527" t="s">
        <v>3314</v>
      </c>
      <c r="M105" s="3527" t="s">
        <v>3315</v>
      </c>
      <c r="N105" s="3527" t="s">
        <v>3316</v>
      </c>
    </row>
    <row r="106" spans="1:14">
      <c r="A106" s="3833" t="s">
        <v>3317</v>
      </c>
      <c r="B106" s="3527">
        <v>1</v>
      </c>
      <c r="C106" s="3527">
        <v>1.5206</v>
      </c>
      <c r="D106" s="3527">
        <v>1.5206</v>
      </c>
      <c r="E106" s="3527">
        <v>1.5019</v>
      </c>
      <c r="F106" s="3527">
        <v>1.5019</v>
      </c>
      <c r="G106" s="3527">
        <v>1.5019</v>
      </c>
      <c r="H106" s="3527">
        <v>1.5019</v>
      </c>
      <c r="I106" s="3527">
        <v>1.5019</v>
      </c>
      <c r="J106" s="3527">
        <v>1.5418000000000001</v>
      </c>
      <c r="K106" s="3527">
        <v>1.5418000000000001</v>
      </c>
      <c r="L106" s="3527">
        <v>1.5418000000000001</v>
      </c>
      <c r="M106" s="3527">
        <v>1.5418000000000001</v>
      </c>
      <c r="N106" s="3527">
        <v>1.5418000000000001</v>
      </c>
    </row>
    <row r="107" spans="1:14">
      <c r="A107" s="3834"/>
      <c r="B107" s="3527">
        <v>2</v>
      </c>
      <c r="C107" s="3527">
        <v>1.2072000000000001</v>
      </c>
      <c r="D107" s="3527">
        <v>1.2072000000000001</v>
      </c>
      <c r="E107" s="3527">
        <v>1.1838</v>
      </c>
      <c r="F107" s="3527">
        <v>1.1838</v>
      </c>
      <c r="G107" s="3527">
        <v>1.1838</v>
      </c>
      <c r="H107" s="3527">
        <v>1.1838</v>
      </c>
      <c r="I107" s="3527">
        <v>1.1838</v>
      </c>
      <c r="J107" s="3527">
        <v>1.1883999999999999</v>
      </c>
      <c r="K107" s="3527">
        <v>1.1883999999999999</v>
      </c>
      <c r="L107" s="3527">
        <v>1.1883999999999999</v>
      </c>
      <c r="M107" s="3527">
        <v>1.1883999999999999</v>
      </c>
      <c r="N107" s="3527">
        <v>1.1883999999999999</v>
      </c>
    </row>
    <row r="108" spans="1:14">
      <c r="A108" s="3834"/>
      <c r="B108" s="3527">
        <v>3</v>
      </c>
      <c r="C108" s="3527">
        <v>1.0430999999999999</v>
      </c>
      <c r="D108" s="3527">
        <v>1.0430999999999999</v>
      </c>
      <c r="E108" s="3527">
        <v>1.0004999999999999</v>
      </c>
      <c r="F108" s="3527">
        <v>1.0004999999999999</v>
      </c>
      <c r="G108" s="3527">
        <v>1.0004999999999999</v>
      </c>
      <c r="H108" s="3527">
        <v>1.0004999999999999</v>
      </c>
      <c r="I108" s="3527">
        <v>1.0004999999999999</v>
      </c>
      <c r="J108" s="3527">
        <v>0.96940000000000004</v>
      </c>
      <c r="K108" s="3527">
        <v>0.96940000000000004</v>
      </c>
      <c r="L108" s="3527">
        <v>0.96940000000000004</v>
      </c>
      <c r="M108" s="3527">
        <v>0.96940000000000004</v>
      </c>
      <c r="N108" s="3527">
        <v>0.96940000000000004</v>
      </c>
    </row>
    <row r="109" spans="1:14">
      <c r="A109" s="3834"/>
      <c r="B109" s="3527">
        <v>4</v>
      </c>
      <c r="C109" s="3527">
        <v>0.94389999999999996</v>
      </c>
      <c r="D109" s="3527">
        <v>0.94389999999999996</v>
      </c>
      <c r="E109" s="3527">
        <v>0.88239999999999996</v>
      </c>
      <c r="F109" s="3527">
        <v>0.88239999999999996</v>
      </c>
      <c r="G109" s="3527">
        <v>0.88239999999999996</v>
      </c>
      <c r="H109" s="3527">
        <v>0.88239999999999996</v>
      </c>
      <c r="I109" s="3527">
        <v>0.88239999999999996</v>
      </c>
      <c r="J109" s="3527">
        <v>0.82299999999999995</v>
      </c>
      <c r="K109" s="3527">
        <v>0.82299999999999995</v>
      </c>
      <c r="L109" s="3527">
        <v>0.82299999999999995</v>
      </c>
      <c r="M109" s="3527">
        <v>0.82299999999999995</v>
      </c>
      <c r="N109" s="3527">
        <v>0.82299999999999995</v>
      </c>
    </row>
    <row r="110" spans="1:14">
      <c r="A110" s="3834"/>
      <c r="B110" s="3527">
        <v>5</v>
      </c>
      <c r="C110" s="3527">
        <v>0.89959999999999996</v>
      </c>
      <c r="D110" s="3527">
        <v>0.89959999999999996</v>
      </c>
      <c r="E110" s="3527">
        <v>0.84799999999999998</v>
      </c>
      <c r="F110" s="3527">
        <v>0.84799999999999998</v>
      </c>
      <c r="G110" s="3527">
        <v>0.84799999999999998</v>
      </c>
      <c r="H110" s="3527">
        <v>0.84799999999999998</v>
      </c>
      <c r="I110" s="3527">
        <v>0.84799999999999998</v>
      </c>
      <c r="J110" s="3527">
        <v>0.74980000000000002</v>
      </c>
      <c r="K110" s="3527">
        <v>0.74980000000000002</v>
      </c>
      <c r="L110" s="3527">
        <v>0.74980000000000002</v>
      </c>
      <c r="M110" s="3527">
        <v>0.74980000000000002</v>
      </c>
      <c r="N110" s="3527">
        <v>0.74980000000000002</v>
      </c>
    </row>
    <row r="111" spans="1:14">
      <c r="A111" s="3834"/>
      <c r="B111" s="3527"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5"/>
      <c r="B112" s="3527">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6" t="s">
        <v>3318</v>
      </c>
      <c r="B113" s="3836"/>
      <c r="C113" s="3836"/>
      <c r="D113" s="3836"/>
      <c r="E113" s="3836"/>
      <c r="F113" s="3836"/>
      <c r="G113" s="3836"/>
      <c r="H113" s="3836"/>
      <c r="I113" s="3836"/>
      <c r="J113" s="3836"/>
      <c r="K113" s="3524"/>
      <c r="L113" s="3524"/>
      <c r="M113" s="3524"/>
      <c r="N113" s="3524"/>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3321</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3337</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93:C101 C83:C91 C50:C58">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t="s">
        <v>3532</v>
      </c>
      <c r="D1" s="1358" t="s">
        <v>43</v>
      </c>
      <c r="E1" s="1359" t="s">
        <v>678</v>
      </c>
      <c r="F1" s="1058">
        <f ca="1">J53</f>
        <v>33.97</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684</v>
      </c>
      <c r="C2" s="1383" t="s">
        <v>805</v>
      </c>
      <c r="D2" s="1383"/>
      <c r="E2" s="1384"/>
      <c r="F2" s="1385"/>
      <c r="G2" s="2702"/>
      <c r="H2" s="2691"/>
      <c r="I2" s="2691"/>
      <c r="J2" s="2691"/>
      <c r="K2" s="2692"/>
      <c r="L2" s="2691"/>
      <c r="M2" s="2691"/>
    </row>
    <row r="3" spans="1:37" ht="18" customHeight="1" thickBot="1">
      <c r="A3" s="1386" t="s">
        <v>806</v>
      </c>
      <c r="B3" s="1387">
        <f ca="1">IF(ISERROR(B2*10000/F43),0,ROUND(B2*10000/F43,0))</f>
        <v>2651</v>
      </c>
      <c r="C3" s="1383" t="s">
        <v>807</v>
      </c>
      <c r="D3" s="1383"/>
      <c r="E3" s="1384"/>
      <c r="F3" s="1385"/>
      <c r="G3" s="2702"/>
      <c r="H3" s="682"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46</v>
      </c>
      <c r="D5" s="1360" t="s">
        <v>693</v>
      </c>
      <c r="E5" s="1067"/>
      <c r="F5" s="1068"/>
      <c r="G5" s="1380"/>
      <c r="H5" s="298">
        <v>1</v>
      </c>
      <c r="I5" s="299" t="s">
        <v>692</v>
      </c>
      <c r="J5" s="1066">
        <f ca="1">J6+J10+J12</f>
        <v>0</v>
      </c>
      <c r="K5" s="1360" t="s">
        <v>693</v>
      </c>
      <c r="L5" s="1067"/>
      <c r="M5" s="1068"/>
    </row>
    <row r="6" spans="1:37" ht="18" customHeight="1">
      <c r="A6" s="1065" t="s">
        <v>398</v>
      </c>
      <c r="B6" s="3733" t="s">
        <v>694</v>
      </c>
      <c r="C6" s="1070">
        <f ca="1">ROUND(F6*F8*F7*(1-F9)/10000,0)</f>
        <v>46</v>
      </c>
      <c r="D6" s="155" t="s">
        <v>2109</v>
      </c>
      <c r="E6" s="301" t="s">
        <v>696</v>
      </c>
      <c r="F6" s="302">
        <f ca="1">INDIRECT("'数据-取费表'!u"&amp;$G$1)</f>
        <v>800</v>
      </c>
      <c r="G6" s="1380"/>
      <c r="H6" s="1065" t="s">
        <v>398</v>
      </c>
      <c r="I6" s="3733" t="s">
        <v>694</v>
      </c>
      <c r="J6" s="300">
        <f ca="1">ROUND(M6*M8*M7*(1-M9)/10000,0)</f>
        <v>0</v>
      </c>
      <c r="K6" s="155" t="s">
        <v>2108</v>
      </c>
      <c r="L6" s="301" t="s">
        <v>696</v>
      </c>
      <c r="M6" s="302">
        <f ca="1">INDIRECT("'数据-取费表'!z"&amp;$G$1)</f>
        <v>0</v>
      </c>
    </row>
    <row r="7" spans="1:37" ht="18" customHeight="1">
      <c r="A7" s="1069"/>
      <c r="B7" s="3734"/>
      <c r="C7" s="1071"/>
      <c r="D7" s="306"/>
      <c r="E7" s="3458" t="s">
        <v>697</v>
      </c>
      <c r="F7" s="302">
        <f ca="1">IF(INDIRECT("'数据-取费表'!ah"&amp;$G$1)="",INDIRECT("'数据-取费表'!k"&amp;$G$1),INDIRECT("'数据-取费表'!ah"&amp;$G$1))</f>
        <v>53</v>
      </c>
      <c r="G7" s="1380"/>
      <c r="H7" s="303"/>
      <c r="I7" s="3734"/>
      <c r="J7" s="305"/>
      <c r="K7" s="306"/>
      <c r="L7" s="301" t="s">
        <v>697</v>
      </c>
      <c r="M7" s="302">
        <f ca="1">F7</f>
        <v>53</v>
      </c>
    </row>
    <row r="8" spans="1:37" ht="18" customHeight="1">
      <c r="A8" s="303"/>
      <c r="B8" s="3734"/>
      <c r="C8" s="305"/>
      <c r="D8" s="306"/>
      <c r="E8" s="301" t="s">
        <v>698</v>
      </c>
      <c r="F8" s="302">
        <f ca="1">INDIRECT("'数据-取费表'!ai"&amp;$G$1)</f>
        <v>12</v>
      </c>
      <c r="G8" s="1380"/>
      <c r="H8" s="303"/>
      <c r="I8" s="3734"/>
      <c r="J8" s="305"/>
      <c r="K8" s="306"/>
      <c r="L8" s="301" t="s">
        <v>698</v>
      </c>
      <c r="M8" s="302">
        <f ca="1">INDIRECT("'数据-取费表'!ai"&amp;$G$1)</f>
        <v>12</v>
      </c>
    </row>
    <row r="9" spans="1:37" ht="18" customHeight="1">
      <c r="A9" s="303"/>
      <c r="B9" s="3735"/>
      <c r="C9" s="305"/>
      <c r="D9" s="306"/>
      <c r="E9" s="301" t="s">
        <v>699</v>
      </c>
      <c r="F9" s="311">
        <f ca="1">INDIRECT("'数据-取费表'!w"&amp;$G$1)</f>
        <v>0.1</v>
      </c>
      <c r="G9" s="1380"/>
      <c r="H9" s="303"/>
      <c r="I9" s="3735"/>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t="s">
        <v>3553</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1047</v>
      </c>
      <c r="D13" s="3446" t="s">
        <v>705</v>
      </c>
      <c r="E13" s="3446" t="s">
        <v>706</v>
      </c>
      <c r="F13" s="1078">
        <f ca="1">INDIRECT("'数据-取费表'!y"&amp;$G$1)</f>
        <v>0.86499999999999999</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903</v>
      </c>
      <c r="D14" s="3450" t="s">
        <v>708</v>
      </c>
      <c r="E14" s="3448"/>
      <c r="F14" s="318"/>
      <c r="G14" s="1380"/>
      <c r="H14" s="978" t="s">
        <v>398</v>
      </c>
      <c r="I14" s="301" t="s">
        <v>709</v>
      </c>
      <c r="J14" s="21">
        <f ca="1">C29</f>
        <v>1210</v>
      </c>
      <c r="K14" s="3457"/>
      <c r="L14" s="803"/>
      <c r="M14" s="804"/>
    </row>
    <row r="15" spans="1:37" s="1393" customFormat="1" ht="18" customHeight="1" thickBot="1">
      <c r="A15" s="978" t="s">
        <v>399</v>
      </c>
      <c r="B15" s="301" t="s">
        <v>710</v>
      </c>
      <c r="C15" s="21">
        <f ca="1">ROUND(C14*F15,0)</f>
        <v>36</v>
      </c>
      <c r="D15" s="3447" t="s">
        <v>711</v>
      </c>
      <c r="E15" s="3447"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6</v>
      </c>
      <c r="K16" s="1083" t="s">
        <v>715</v>
      </c>
      <c r="L16" s="3452"/>
      <c r="M16" s="1068"/>
    </row>
    <row r="17" spans="1:37" s="1393" customFormat="1" ht="18" customHeight="1">
      <c r="A17" s="978" t="s">
        <v>681</v>
      </c>
      <c r="B17" s="301" t="s">
        <v>716</v>
      </c>
      <c r="C17" s="21">
        <f ca="1">ROUND(F17*(F43+INDIRECT("'数据-取费表'!S"&amp;$G$1))/10000,0)</f>
        <v>52</v>
      </c>
      <c r="D17" s="301" t="s">
        <v>717</v>
      </c>
      <c r="E17" s="301" t="s">
        <v>718</v>
      </c>
      <c r="F17" s="23">
        <f>'数据-取费表'!B35</f>
        <v>200</v>
      </c>
      <c r="G17" s="1392"/>
      <c r="H17" s="978" t="s">
        <v>398</v>
      </c>
      <c r="I17" s="301" t="s">
        <v>719</v>
      </c>
      <c r="J17" s="2312">
        <f ca="1">ROUND(IF(AND(项目基本情况!B11="自然人",项目基本情况!B10="北京市"),J6*M17/(1+'数据-取费表'!C42),J18+J19+J20),2)</f>
        <v>0</v>
      </c>
      <c r="K17" s="3450" t="s">
        <v>720</v>
      </c>
      <c r="L17" s="3449"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14</v>
      </c>
      <c r="D18" s="301" t="s">
        <v>711</v>
      </c>
      <c r="E18" s="301" t="s">
        <v>712</v>
      </c>
      <c r="F18" s="321">
        <f>'数据-取费表'!B36</f>
        <v>1.4999999999999999E-2</v>
      </c>
      <c r="G18" s="1392"/>
      <c r="H18" s="978" t="s">
        <v>397</v>
      </c>
      <c r="I18" s="301" t="s">
        <v>723</v>
      </c>
      <c r="J18" s="21">
        <f ca="1">ROUND(J6*M18/(1+'数据-取费表'!C42),2)</f>
        <v>0</v>
      </c>
      <c r="K18" s="3449"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1005</v>
      </c>
      <c r="D19" s="131" t="s">
        <v>726</v>
      </c>
      <c r="E19" s="3462"/>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20</v>
      </c>
      <c r="D20" s="2424" t="s">
        <v>729</v>
      </c>
      <c r="E20" s="301" t="s">
        <v>712</v>
      </c>
      <c r="F20" s="321">
        <f>'数据-取费表'!B37</f>
        <v>0.02</v>
      </c>
      <c r="G20" s="1392"/>
      <c r="H20" s="978" t="s">
        <v>680</v>
      </c>
      <c r="I20" s="155" t="s">
        <v>730</v>
      </c>
      <c r="J20" s="22">
        <f ca="1">ROUND(M20*M21/10000,2)</f>
        <v>0.62</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2424" t="s">
        <v>734</v>
      </c>
      <c r="E21" s="301" t="s">
        <v>735</v>
      </c>
      <c r="F21" s="321">
        <f>'数据-取费表'!B38</f>
        <v>0.02</v>
      </c>
      <c r="G21" s="1392"/>
      <c r="H21" s="325"/>
      <c r="I21" s="310"/>
      <c r="J21" s="26"/>
      <c r="K21" s="326"/>
      <c r="L21" s="301" t="s">
        <v>736</v>
      </c>
      <c r="M21" s="302">
        <f ca="1">INDIRECT("'数据-取费表'!r"&amp;$G$1)</f>
        <v>519.28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3462"/>
      <c r="F22" s="23"/>
      <c r="G22" s="1380"/>
      <c r="H22" s="978" t="s">
        <v>402</v>
      </c>
      <c r="I22" s="301" t="s">
        <v>738</v>
      </c>
      <c r="J22" s="21">
        <f ca="1">ROUND(J14*M22,2)</f>
        <v>6.05</v>
      </c>
      <c r="K22" s="3449" t="s">
        <v>739</v>
      </c>
      <c r="L22" s="301" t="s">
        <v>712</v>
      </c>
      <c r="M22" s="327">
        <f ca="1">INDIRECT("'数据-取费表'!Ak"&amp;$G$1)</f>
        <v>5.0000000000000001E-3</v>
      </c>
    </row>
    <row r="23" spans="1:37" s="1393" customFormat="1" ht="18" customHeight="1">
      <c r="A23" s="978" t="s">
        <v>397</v>
      </c>
      <c r="B23" s="301" t="s">
        <v>740</v>
      </c>
      <c r="C23" s="21">
        <f ca="1">IF('数据-取费表'!B22&lt;=1,ROUND(C19*F24*F23/2,0)+ROUND(C20*F24*F23/2,0),ROUND(C19*(POWER((1+F24),F23/2)-1),0)+ROUND(C20*(POWER((1+F24),F23/2)-1),0))</f>
        <v>43</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3449" t="s">
        <v>743</v>
      </c>
      <c r="L23" s="301" t="s">
        <v>712</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2"/>
      <c r="H24" s="1085" t="s">
        <v>683</v>
      </c>
      <c r="I24" s="1086" t="s">
        <v>728</v>
      </c>
      <c r="J24" s="1087">
        <f ca="1">ROUND(J5*M24,2)</f>
        <v>0</v>
      </c>
      <c r="K24" s="1088" t="s">
        <v>748</v>
      </c>
      <c r="L24" s="1086" t="s">
        <v>712</v>
      </c>
      <c r="M24" s="1082">
        <f ca="1">INDIRECT("'数据-取费表'!Am"&amp;$G$1)</f>
        <v>1.4999999999999999E-2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1" t="s">
        <v>751</v>
      </c>
      <c r="E25" s="3462"/>
      <c r="F25" s="23"/>
      <c r="G25" s="1380"/>
      <c r="H25" s="1075" t="s">
        <v>394</v>
      </c>
      <c r="I25" s="1090" t="s">
        <v>752</v>
      </c>
      <c r="J25" s="309">
        <f ca="1">J5-J16</f>
        <v>-6</v>
      </c>
      <c r="K25" s="1091" t="s">
        <v>753</v>
      </c>
      <c r="L25" s="1092"/>
      <c r="M25" s="1093"/>
    </row>
    <row r="26" spans="1:37">
      <c r="A26" s="978" t="s">
        <v>397</v>
      </c>
      <c r="B26" s="301" t="s">
        <v>754</v>
      </c>
      <c r="C26" s="21">
        <f ca="1">ROUND((C19+C20)*F26,0)</f>
        <v>51</v>
      </c>
      <c r="D26" s="2424" t="s">
        <v>755</v>
      </c>
      <c r="E26" s="312" t="s">
        <v>756</v>
      </c>
      <c r="F26" s="311">
        <f ca="1">INDIRECT("'数据-取费表'!q"&amp;$G$1)</f>
        <v>0.05</v>
      </c>
      <c r="G26" s="1380"/>
      <c r="H26" s="298" t="s">
        <v>395</v>
      </c>
      <c r="I26" s="299" t="s">
        <v>757</v>
      </c>
      <c r="J26" s="300">
        <f ca="1">IF(J5&lt;&gt;0,ROUND(J25*(1-((1+M28)/(1+M26))^M27)/(M26-M28),0),0)</f>
        <v>0</v>
      </c>
      <c r="K26" s="323" t="s">
        <v>758</v>
      </c>
      <c r="L26" s="301" t="s">
        <v>759</v>
      </c>
      <c r="M26" s="311">
        <f ca="1">INDIRECT("'数据-取费表'!I"&amp;$G$1)</f>
        <v>0.05</v>
      </c>
    </row>
    <row r="27" spans="1:37" ht="18" customHeight="1">
      <c r="A27" s="978" t="s">
        <v>399</v>
      </c>
      <c r="B27" s="301" t="s">
        <v>760</v>
      </c>
      <c r="C27" s="21">
        <f ca="1">ROUND(F21*F26,4)</f>
        <v>1E-3</v>
      </c>
      <c r="D27" s="2424" t="s">
        <v>761</v>
      </c>
      <c r="E27" s="3447"/>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2424"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1210</v>
      </c>
      <c r="D29" s="1088"/>
      <c r="E29" s="1086"/>
      <c r="F29" s="1089"/>
      <c r="G29" s="1392"/>
      <c r="H29" s="333" t="s">
        <v>396</v>
      </c>
      <c r="I29" s="334" t="s">
        <v>768</v>
      </c>
      <c r="J29" s="335">
        <f ca="1">ROUND(J26/(1+F40)^F41,0)</f>
        <v>0</v>
      </c>
      <c r="K29" s="336" t="s">
        <v>769</v>
      </c>
      <c r="L29" s="337"/>
      <c r="M29" s="338">
        <f ca="1">INDIRECT("'数据-取费表'!k"&amp;$G$1)</f>
        <v>2580.219999999998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11</v>
      </c>
      <c r="D30" s="1083" t="s">
        <v>715</v>
      </c>
      <c r="E30" s="3452"/>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3.07</v>
      </c>
      <c r="D31" s="3450" t="s">
        <v>720</v>
      </c>
      <c r="E31" s="3449" t="s">
        <v>770</v>
      </c>
      <c r="F31" s="2311">
        <f ca="1">IF(项目基本情况!B11="企业","——",IF(M47="住宅",IF(F6*F7*F8/12/(1+'数据-取费表'!F30)&gt;100000,4%,2.5%),IF(F6*F7*F8/12/(1+'数据-取费表'!F30)&gt;100000,12%,7%)))</f>
        <v>7.0000000000000007E-2</v>
      </c>
      <c r="G31" s="1380"/>
      <c r="H31" s="2804" t="s">
        <v>2310</v>
      </c>
      <c r="I31" s="1394"/>
      <c r="J31" s="1395"/>
      <c r="K31" s="2471"/>
      <c r="L31" s="2694"/>
      <c r="M31" s="2695"/>
    </row>
    <row r="32" spans="1:37" ht="18" customHeight="1">
      <c r="A32" s="978" t="s">
        <v>397</v>
      </c>
      <c r="B32" s="301" t="s">
        <v>723</v>
      </c>
      <c r="C32" s="21" t="str">
        <f>IF(项目基本情况!B11="自然人","——",ROUND(C6*F32/(1+'数据-取费表'!C42),2))</f>
        <v>——</v>
      </c>
      <c r="D32" s="3449"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IF(项目基本情况!B11="自然人","——",IF(D33="按租金收入计税",ROUND(C6*F33/(1+'数据-取费表'!C42),2),IF(D33="按房产原值计税",ROUND(C29*F33*0.7,2),INDIRECT("'数据-取费表'!Aj"&amp;$G$1))))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IF(项目基本情况!B11="自然人","——",ROUND(F34*F35/10000,2))</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519.28</v>
      </c>
      <c r="G35" s="1380"/>
      <c r="H35" s="2693"/>
      <c r="I35" s="1394"/>
      <c r="J35" s="1395"/>
      <c r="K35" s="2697"/>
      <c r="L35" s="2696"/>
      <c r="M35" s="2696"/>
    </row>
    <row r="36" spans="1:18" ht="18" customHeight="1">
      <c r="A36" s="1098" t="s">
        <v>402</v>
      </c>
      <c r="B36" s="301" t="s">
        <v>738</v>
      </c>
      <c r="C36" s="21">
        <f ca="1">ROUND(C29*F36,2)</f>
        <v>6.05</v>
      </c>
      <c r="D36" s="3449" t="s">
        <v>771</v>
      </c>
      <c r="E36" s="301" t="s">
        <v>712</v>
      </c>
      <c r="F36" s="327">
        <f ca="1">INDIRECT("'数据-取费表'!Ak"&amp;$G$1)</f>
        <v>5.0000000000000001E-3</v>
      </c>
      <c r="G36" s="1380"/>
      <c r="H36" s="2696"/>
      <c r="I36" s="1394"/>
      <c r="J36" s="1395"/>
      <c r="K36" s="2540"/>
      <c r="L36" s="2696"/>
      <c r="M36" s="2696"/>
    </row>
    <row r="37" spans="1:18" ht="18" customHeight="1">
      <c r="A37" s="978" t="s">
        <v>437</v>
      </c>
      <c r="B37" s="301" t="s">
        <v>742</v>
      </c>
      <c r="C37" s="21">
        <f ca="1">ROUND(C13*F37,2)</f>
        <v>1.05</v>
      </c>
      <c r="D37" s="3449" t="s">
        <v>743</v>
      </c>
      <c r="E37" s="301" t="s">
        <v>712</v>
      </c>
      <c r="F37" s="329">
        <f ca="1">INDIRECT("'数据-取费表'!Al"&amp;$G$1)</f>
        <v>1E-3</v>
      </c>
      <c r="G37" s="1380"/>
      <c r="H37" s="2696"/>
      <c r="I37" s="1394"/>
      <c r="J37" s="1395"/>
      <c r="K37" s="2540"/>
      <c r="L37" s="2696"/>
      <c r="M37" s="2696"/>
    </row>
    <row r="38" spans="1:18" ht="18" customHeight="1" thickBot="1">
      <c r="A38" s="1085" t="s">
        <v>683</v>
      </c>
      <c r="B38" s="1086" t="s">
        <v>728</v>
      </c>
      <c r="C38" s="1087">
        <f ca="1">ROUND(C5*F38,2)</f>
        <v>0.69</v>
      </c>
      <c r="D38" s="1088" t="s">
        <v>748</v>
      </c>
      <c r="E38" s="1086" t="s">
        <v>712</v>
      </c>
      <c r="F38" s="1082">
        <f ca="1">INDIRECT("'数据-取费表'!Am"&amp;$G$1)</f>
        <v>1.4999999999999999E-2</v>
      </c>
      <c r="G38" s="1380"/>
      <c r="H38" s="2696"/>
      <c r="I38" s="1394"/>
      <c r="J38" s="1395"/>
      <c r="K38" s="2700"/>
      <c r="L38" s="2696"/>
      <c r="M38" s="2696"/>
    </row>
    <row r="39" spans="1:18" ht="24.6" customHeight="1" thickTop="1">
      <c r="A39" s="1075" t="s">
        <v>394</v>
      </c>
      <c r="B39" s="1090" t="s">
        <v>772</v>
      </c>
      <c r="C39" s="309">
        <f ca="1">C5-C30</f>
        <v>35</v>
      </c>
      <c r="D39" s="1091" t="s">
        <v>753</v>
      </c>
      <c r="E39" s="1092"/>
      <c r="F39" s="1093"/>
      <c r="G39" s="1380"/>
      <c r="H39" s="2696"/>
      <c r="I39" s="1394"/>
      <c r="J39" s="1395"/>
      <c r="K39" s="2700"/>
      <c r="L39" s="2696"/>
      <c r="M39" s="2696"/>
    </row>
    <row r="40" spans="1:18" ht="18" customHeight="1">
      <c r="A40" s="298" t="s">
        <v>395</v>
      </c>
      <c r="B40" s="299" t="s">
        <v>774</v>
      </c>
      <c r="C40" s="300">
        <f ca="1">ROUND(C39*(1-((1+F42)/(1+F40))^F41)/(F40-F42),0)</f>
        <v>684</v>
      </c>
      <c r="D40" s="323" t="s">
        <v>758</v>
      </c>
      <c r="E40" s="301" t="s">
        <v>759</v>
      </c>
      <c r="F40" s="311">
        <f ca="1">INDIRECT("'数据-取费表'!I"&amp;$G$1)</f>
        <v>0.05</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33.97</v>
      </c>
      <c r="G41" s="1380"/>
      <c r="H41" s="1187"/>
      <c r="I41" s="1394"/>
      <c r="J41" s="1395"/>
      <c r="K41" s="2540"/>
      <c r="L41" s="1187"/>
      <c r="M41" s="1187"/>
    </row>
    <row r="42" spans="1:18" ht="18" customHeight="1">
      <c r="A42" s="307"/>
      <c r="B42" s="308"/>
      <c r="C42" s="309"/>
      <c r="D42" s="326"/>
      <c r="E42" s="301" t="s">
        <v>766</v>
      </c>
      <c r="F42" s="311">
        <f ca="1">INDIRECT("'数据-取费表'!v"&amp;$G$1)</f>
        <v>1.4999999999999999E-2</v>
      </c>
      <c r="G42" s="1380"/>
      <c r="H42" s="1187"/>
      <c r="I42" s="1394"/>
      <c r="J42" s="1395"/>
      <c r="K42" s="2540"/>
      <c r="L42" s="1187"/>
      <c r="M42" s="1187"/>
    </row>
    <row r="43" spans="1:18" ht="18" customHeight="1" thickBot="1">
      <c r="A43" s="333" t="s">
        <v>396</v>
      </c>
      <c r="B43" s="334" t="s">
        <v>776</v>
      </c>
      <c r="C43" s="335">
        <f ca="1">ROUND(C40*10000/F43,0)</f>
        <v>2651</v>
      </c>
      <c r="D43" s="336" t="s">
        <v>777</v>
      </c>
      <c r="E43" s="337" t="s">
        <v>778</v>
      </c>
      <c r="F43" s="338">
        <f ca="1">INDIRECT("'数据-取费表'!k"&amp;$G$1)</f>
        <v>2580.219999999998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808</v>
      </c>
      <c r="P45" s="1457"/>
      <c r="Q45" s="1457"/>
      <c r="R45" s="1457"/>
    </row>
    <row r="46" spans="1:18" s="1380" customFormat="1" ht="13.5" thickBot="1">
      <c r="A46" s="1400" t="s">
        <v>809</v>
      </c>
      <c r="C46" s="1401">
        <f ca="1">C68-C40</f>
        <v>-797</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1"/>
      <c r="I47" s="1410" t="s">
        <v>815</v>
      </c>
      <c r="J47" s="1411" t="s">
        <v>3555</v>
      </c>
      <c r="K47" s="1412" t="s">
        <v>816</v>
      </c>
      <c r="L47" s="1413">
        <f ca="1">INDIRECT("'数据-取费表'!d"&amp;$G$1)</f>
        <v>50</v>
      </c>
      <c r="M47" s="1376" t="str">
        <f>IF(ISNUMBER(FIND("住宅",C1)),"住宅","非住宅")</f>
        <v>非住宅</v>
      </c>
      <c r="O47" s="1414" t="s">
        <v>403</v>
      </c>
      <c r="P47" s="1415" t="s">
        <v>817</v>
      </c>
      <c r="Q47" s="1416">
        <f ca="1">C40+J29</f>
        <v>684</v>
      </c>
      <c r="R47" s="1416" t="s">
        <v>818</v>
      </c>
    </row>
    <row r="48" spans="1:18" s="1380" customFormat="1" ht="28.5" thickBot="1">
      <c r="A48" s="1106" t="s">
        <v>438</v>
      </c>
      <c r="B48" s="299" t="s">
        <v>692</v>
      </c>
      <c r="C48" s="3461">
        <f ca="1">C49+C53+C55</f>
        <v>0</v>
      </c>
      <c r="D48" s="1108"/>
      <c r="E48" s="1109"/>
      <c r="F48" s="958"/>
      <c r="G48" s="721"/>
      <c r="H48" s="722"/>
      <c r="I48" s="1417" t="s">
        <v>819</v>
      </c>
      <c r="J48" s="1418" t="s">
        <v>3556</v>
      </c>
      <c r="K48" s="1419" t="s">
        <v>820</v>
      </c>
      <c r="L48" s="1420">
        <f ca="1">INDIRECT("'数据-取费表'!f"&amp;$G$1)</f>
        <v>33.97</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2108</v>
      </c>
      <c r="E49" s="1368" t="s">
        <v>780</v>
      </c>
      <c r="F49" s="1056"/>
      <c r="G49" s="1421"/>
      <c r="H49" s="722"/>
      <c r="I49" s="1417" t="s">
        <v>823</v>
      </c>
      <c r="J49" s="1422">
        <v>2012</v>
      </c>
      <c r="K49" s="1419" t="s">
        <v>824</v>
      </c>
      <c r="L49" s="1423"/>
      <c r="O49" s="1424" t="s">
        <v>405</v>
      </c>
      <c r="P49" s="1415" t="s">
        <v>825</v>
      </c>
      <c r="Q49" s="1416">
        <f ca="1">C29</f>
        <v>1210</v>
      </c>
      <c r="R49" s="1416" t="s">
        <v>818</v>
      </c>
    </row>
    <row r="50" spans="1:18" s="1380" customFormat="1" ht="13.5" thickBot="1">
      <c r="A50" s="972"/>
      <c r="B50" s="975"/>
      <c r="C50" s="1114"/>
      <c r="D50" s="949"/>
      <c r="E50" s="1052" t="s">
        <v>697</v>
      </c>
      <c r="F50" s="1053">
        <f ca="1">F7</f>
        <v>53</v>
      </c>
      <c r="H50" s="722"/>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12</v>
      </c>
      <c r="I51" s="1428" t="s">
        <v>829</v>
      </c>
      <c r="J51" s="1429">
        <f>IF(J49="",J50,J49+J50-YEAR('数据-取费表'!B2))</f>
        <v>49</v>
      </c>
      <c r="K51" s="1430" t="s">
        <v>830</v>
      </c>
      <c r="L51" s="1431">
        <f ca="1">ROUND(-PV(INDIRECT("'数据-取费表'!h"&amp;$G$1),J51,(C39-C13*C76),0),0)</f>
        <v>-752</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33.97</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33.97</v>
      </c>
      <c r="K53" s="3736" t="s">
        <v>837</v>
      </c>
      <c r="L53" s="3737"/>
      <c r="O53" s="1414" t="s">
        <v>409</v>
      </c>
      <c r="P53" s="1415" t="s">
        <v>838</v>
      </c>
      <c r="Q53" s="1416">
        <f ca="1">Q47+Q48</f>
        <v>684</v>
      </c>
      <c r="R53" s="1416" t="s">
        <v>410</v>
      </c>
    </row>
    <row r="54" spans="1:18" s="1380" customFormat="1" ht="13.5" thickBot="1">
      <c r="A54" s="1149"/>
      <c r="B54" s="1363" t="s">
        <v>679</v>
      </c>
      <c r="C54" s="955"/>
      <c r="D54" s="1362"/>
      <c r="E54" s="3453"/>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3"/>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1">
        <f ca="1">C13</f>
        <v>1047</v>
      </c>
      <c r="D56" s="1443"/>
      <c r="E56" s="1444"/>
      <c r="F56" s="1436"/>
      <c r="I56" s="1445" t="s">
        <v>842</v>
      </c>
      <c r="J56" s="1446" t="s">
        <v>3529</v>
      </c>
      <c r="K56" s="1417" t="s">
        <v>843</v>
      </c>
      <c r="L56" s="1420" t="str">
        <f ca="1">IF(L48&lt;J51,"——",L48-J53)</f>
        <v>——</v>
      </c>
      <c r="O56" s="1414" t="s">
        <v>403</v>
      </c>
      <c r="P56" s="1415" t="s">
        <v>817</v>
      </c>
      <c r="Q56" s="1416">
        <f ca="1">C40+J29</f>
        <v>684</v>
      </c>
      <c r="R56" s="1416" t="s">
        <v>818</v>
      </c>
    </row>
    <row r="57" spans="1:18" s="1380" customFormat="1" ht="24.75" thickBot="1">
      <c r="A57" s="1447"/>
      <c r="B57" s="946" t="s">
        <v>767</v>
      </c>
      <c r="C57" s="237">
        <f ca="1">C29</f>
        <v>1210</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7</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0">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t="str">
        <f ca="1">IF(项目基本情况!B11="自然人","——",IF(D61="按租金收入计税",ROUND(C49*F61/(1+'数据-取费表'!C42),2),IF(D61="按房产原值计税",ROUND(C57*F61*0.7,2),INDIRECT("'数据-取费表'!Aj"&amp;$G$1))))</f>
        <v>——</v>
      </c>
      <c r="D61" s="1366" t="s">
        <v>3342</v>
      </c>
      <c r="E61" s="946" t="s">
        <v>712</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t="str">
        <f>IF(项目基本情况!B11="自然人","——",ROUND(F62*F63/10000,2))</f>
        <v>——</v>
      </c>
      <c r="D62" s="961" t="s">
        <v>731</v>
      </c>
      <c r="E62" s="946" t="s">
        <v>732</v>
      </c>
      <c r="F62" s="324">
        <f t="shared" si="0"/>
        <v>12</v>
      </c>
      <c r="I62" s="1458" t="s">
        <v>858</v>
      </c>
      <c r="J62" s="1459" t="s">
        <v>859</v>
      </c>
      <c r="K62" s="1459" t="s">
        <v>860</v>
      </c>
      <c r="L62" s="1459" t="s">
        <v>861</v>
      </c>
      <c r="M62" s="1460" t="s">
        <v>862</v>
      </c>
      <c r="O62" s="1414" t="s">
        <v>409</v>
      </c>
      <c r="P62" s="1415" t="s">
        <v>838</v>
      </c>
      <c r="Q62" s="1416">
        <f ca="1">Q56+Q57</f>
        <v>684</v>
      </c>
      <c r="R62" s="1416" t="s">
        <v>410</v>
      </c>
    </row>
    <row r="63" spans="1:18" s="1380" customFormat="1" ht="13.5" thickBot="1">
      <c r="A63" s="325"/>
      <c r="B63" s="952"/>
      <c r="C63" s="26"/>
      <c r="D63" s="962"/>
      <c r="E63" s="946" t="s">
        <v>736</v>
      </c>
      <c r="F63" s="302">
        <f t="shared" ca="1" si="0"/>
        <v>519.28</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6.05</v>
      </c>
      <c r="D64" s="960" t="s">
        <v>771</v>
      </c>
      <c r="E64" s="946" t="s">
        <v>712</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1.05</v>
      </c>
      <c r="D65" s="960" t="s">
        <v>743</v>
      </c>
      <c r="E65" s="946" t="s">
        <v>712</v>
      </c>
      <c r="F65" s="329">
        <f t="shared" ca="1" si="0"/>
        <v>1E-3</v>
      </c>
      <c r="I65" s="1458" t="s">
        <v>867</v>
      </c>
      <c r="J65" s="1459">
        <v>40</v>
      </c>
      <c r="K65" s="1459">
        <v>30</v>
      </c>
      <c r="L65" s="1459">
        <v>50</v>
      </c>
      <c r="M65" s="1461">
        <v>0.02</v>
      </c>
      <c r="O65" s="1414" t="s">
        <v>403</v>
      </c>
      <c r="P65" s="1415" t="s">
        <v>817</v>
      </c>
      <c r="Q65" s="1416">
        <f ca="1">C40+J29</f>
        <v>684</v>
      </c>
      <c r="R65" s="1416" t="s">
        <v>818</v>
      </c>
    </row>
    <row r="66" spans="1:18" s="1380" customFormat="1" ht="16.5" thickBot="1">
      <c r="A66" s="978" t="s">
        <v>793</v>
      </c>
      <c r="B66" s="946" t="s">
        <v>728</v>
      </c>
      <c r="C66" s="21">
        <f ca="1">ROUND(C48*F66,2)</f>
        <v>0</v>
      </c>
      <c r="D66" s="960" t="s">
        <v>794</v>
      </c>
      <c r="E66" s="946" t="s">
        <v>712</v>
      </c>
      <c r="F66" s="311">
        <f t="shared" ca="1" si="0"/>
        <v>1.4999999999999999E-2</v>
      </c>
      <c r="O66" s="1414" t="s">
        <v>404</v>
      </c>
      <c r="P66" s="1415" t="s">
        <v>846</v>
      </c>
      <c r="Q66" s="1416">
        <f ca="1">L60</f>
        <v>0</v>
      </c>
      <c r="R66" s="1416" t="s">
        <v>869</v>
      </c>
    </row>
    <row r="67" spans="1:18" s="1380" customFormat="1" ht="16.5" thickBot="1">
      <c r="A67" s="953" t="s">
        <v>394</v>
      </c>
      <c r="B67" s="963" t="s">
        <v>752</v>
      </c>
      <c r="C67" s="315">
        <f ca="1">C48-C58</f>
        <v>-7</v>
      </c>
      <c r="D67" s="959" t="s">
        <v>753</v>
      </c>
      <c r="E67" s="964"/>
      <c r="F67" s="965"/>
      <c r="O67" s="1424" t="s">
        <v>405</v>
      </c>
      <c r="P67" s="1415" t="s">
        <v>850</v>
      </c>
      <c r="Q67" s="1462">
        <f ca="1">L51</f>
        <v>-752</v>
      </c>
      <c r="R67" s="1416" t="s">
        <v>870</v>
      </c>
    </row>
    <row r="68" spans="1:18" s="1380" customFormat="1" ht="16.5" thickBot="1">
      <c r="A68" s="943" t="s">
        <v>395</v>
      </c>
      <c r="B68" s="944" t="s">
        <v>774</v>
      </c>
      <c r="C68" s="300">
        <f ca="1">ROUND(C67*(1-((1+F70)/(1+F68))^F69)/(F68-F70),0)</f>
        <v>-113</v>
      </c>
      <c r="D68" s="961" t="s">
        <v>758</v>
      </c>
      <c r="E68" s="946" t="s">
        <v>759</v>
      </c>
      <c r="F68" s="311">
        <f ca="1">F40</f>
        <v>0.05</v>
      </c>
      <c r="O68" s="1424" t="s">
        <v>406</v>
      </c>
      <c r="P68" s="1463" t="s">
        <v>871</v>
      </c>
      <c r="Q68" s="1416">
        <f ca="1">ROUND(Q69-Q70*Q71,0)</f>
        <v>-38</v>
      </c>
      <c r="R68" s="1416" t="s">
        <v>414</v>
      </c>
    </row>
    <row r="69" spans="1:18" s="1380" customFormat="1" ht="13.5" thickBot="1">
      <c r="A69" s="947"/>
      <c r="B69" s="948"/>
      <c r="C69" s="305"/>
      <c r="D69" s="966" t="s">
        <v>762</v>
      </c>
      <c r="E69" s="946" t="s">
        <v>763</v>
      </c>
      <c r="F69" s="332">
        <f ca="1">F41</f>
        <v>33.97</v>
      </c>
      <c r="O69" s="1424" t="s">
        <v>411</v>
      </c>
      <c r="P69" s="1463" t="s">
        <v>872</v>
      </c>
      <c r="Q69" s="1416">
        <f ca="1">C39</f>
        <v>35</v>
      </c>
      <c r="R69" s="1416" t="s">
        <v>818</v>
      </c>
    </row>
    <row r="70" spans="1:18" s="1380" customFormat="1" ht="13.5" thickBot="1">
      <c r="A70" s="950"/>
      <c r="B70" s="951"/>
      <c r="C70" s="309"/>
      <c r="D70" s="962"/>
      <c r="E70" s="946" t="s">
        <v>766</v>
      </c>
      <c r="F70" s="1050"/>
      <c r="O70" s="1424" t="s">
        <v>412</v>
      </c>
      <c r="P70" s="1463" t="s">
        <v>873</v>
      </c>
      <c r="Q70" s="1416">
        <f ca="1">C13</f>
        <v>1047</v>
      </c>
      <c r="R70" s="1416" t="s">
        <v>818</v>
      </c>
    </row>
    <row r="71" spans="1:18" s="1380" customFormat="1" ht="13.5" thickBot="1">
      <c r="A71" s="967" t="s">
        <v>396</v>
      </c>
      <c r="B71" s="968" t="s">
        <v>776</v>
      </c>
      <c r="C71" s="335">
        <f ca="1">ROUND(C68*10000/F71,0)</f>
        <v>-438</v>
      </c>
      <c r="D71" s="969" t="s">
        <v>777</v>
      </c>
      <c r="E71" s="970" t="s">
        <v>778</v>
      </c>
      <c r="F71" s="338">
        <f ca="1">F43</f>
        <v>2580.219999999998</v>
      </c>
      <c r="O71" s="1424" t="s">
        <v>413</v>
      </c>
      <c r="P71" s="1463" t="s">
        <v>874</v>
      </c>
      <c r="Q71" s="1427">
        <f ca="1">C76</f>
        <v>7.0000000000000007E-2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73</v>
      </c>
      <c r="D75" s="1380"/>
      <c r="E75" s="1380"/>
      <c r="F75" s="1380"/>
      <c r="K75" s="1398"/>
      <c r="L75" s="1380"/>
      <c r="O75" s="1414" t="s">
        <v>409</v>
      </c>
      <c r="P75" s="1415" t="s">
        <v>838</v>
      </c>
      <c r="Q75" s="1416">
        <f ca="1">Q65+Q66</f>
        <v>684</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-1.0859999999999999</v>
      </c>
    </row>
    <row r="80" spans="1:18">
      <c r="B80" s="339" t="s">
        <v>800</v>
      </c>
      <c r="C80" s="273">
        <f ca="1">ROUND(C75/C39,3)</f>
        <v>2.0859999999999999</v>
      </c>
    </row>
    <row r="81" spans="2:3">
      <c r="B81" s="269" t="s">
        <v>801</v>
      </c>
      <c r="C81" s="237"/>
    </row>
    <row r="82" spans="2:3">
      <c r="B82" s="272" t="s">
        <v>802</v>
      </c>
      <c r="C82" s="274">
        <f ca="1">1-C83</f>
        <v>-0.53099999999999992</v>
      </c>
    </row>
    <row r="83" spans="2:3">
      <c r="B83" s="272" t="s">
        <v>803</v>
      </c>
      <c r="C83" s="273">
        <f ca="1">ROUND(C13/C40,3)</f>
        <v>1.5309999999999999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B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100367</v>
      </c>
      <c r="C2" s="2141" t="s">
        <v>2074</v>
      </c>
      <c r="D2" s="2141" t="s">
        <v>2075</v>
      </c>
      <c r="E2" s="2608">
        <f ca="1">SUMIF(E6:E13,"&lt;&gt;#ref!",E6:E13)</f>
        <v>64978.17</v>
      </c>
      <c r="F2" s="2789"/>
      <c r="G2" s="2789"/>
      <c r="H2" s="2789"/>
      <c r="I2" s="2789"/>
      <c r="J2" s="2789"/>
      <c r="K2" s="2789"/>
      <c r="L2" s="2789"/>
      <c r="M2" s="2789"/>
      <c r="N2" s="2789"/>
      <c r="O2" s="2789"/>
      <c r="P2" s="2789"/>
    </row>
    <row r="3" spans="1:16" ht="15.75">
      <c r="A3" s="2141" t="s">
        <v>2076</v>
      </c>
      <c r="B3" s="2598">
        <f ca="1">ROUND(B2*10000/E2,0)</f>
        <v>15446</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75600</v>
      </c>
      <c r="C6" s="2141" t="s">
        <v>2074</v>
      </c>
      <c r="D6" s="2789"/>
      <c r="E6" s="2608">
        <f ca="1">SUMIF(INDIRECT("'"&amp;A6&amp;"'"&amp;"!C:C"),"建筑面积",INDIRECT("'"&amp;A6&amp;"'"&amp;"!D:D"))</f>
        <v>46119.049999999996</v>
      </c>
      <c r="F6" s="2789"/>
      <c r="G6" s="2789"/>
      <c r="H6" s="2789"/>
      <c r="I6" s="2789"/>
      <c r="J6" s="2789"/>
      <c r="K6" s="2789"/>
      <c r="L6" s="2789"/>
      <c r="M6" s="2789"/>
      <c r="N6" s="2789"/>
      <c r="O6" s="2789"/>
      <c r="P6" s="2789"/>
    </row>
    <row r="7" spans="1:16" ht="15.75">
      <c r="A7" s="2605" t="s">
        <v>3557</v>
      </c>
      <c r="B7" s="2598">
        <f ca="1">SUMIF(INDIRECT("'"&amp;A7&amp;"'"&amp;"!A:A"),"总价",INDIRECT("'"&amp;A7&amp;"'"&amp;"!B:B"))</f>
        <v>24128</v>
      </c>
      <c r="C7" s="2141" t="s">
        <v>2074</v>
      </c>
      <c r="D7" s="2789"/>
      <c r="E7" s="2608">
        <f t="shared" ref="E7:E13" ca="1" si="0">SUMIF(INDIRECT("'"&amp;A7&amp;"'"&amp;"!C:C"),"建筑面积",INDIRECT("'"&amp;A7&amp;"'"&amp;"!D:D"))</f>
        <v>16278.900000000001</v>
      </c>
      <c r="F7" s="2789"/>
      <c r="G7" s="2789"/>
      <c r="H7" s="2789"/>
      <c r="I7" s="2789"/>
      <c r="J7" s="2789"/>
      <c r="K7" s="2789"/>
      <c r="L7" s="2789"/>
      <c r="M7" s="2789"/>
      <c r="N7" s="2789"/>
      <c r="O7" s="2789"/>
      <c r="P7" s="2789"/>
    </row>
    <row r="8" spans="1:16" ht="15.75">
      <c r="A8" s="2605" t="s">
        <v>3562</v>
      </c>
      <c r="B8" s="2598">
        <f t="shared" ref="B8:B13" ca="1" si="1">SUMIF(INDIRECT("'"&amp;A8&amp;"'"&amp;"!A:A"),"总价",INDIRECT("'"&amp;A8&amp;"'"&amp;"!B:B"))</f>
        <v>639</v>
      </c>
      <c r="C8" s="2141" t="s">
        <v>2074</v>
      </c>
      <c r="D8" s="2789"/>
      <c r="E8" s="2608">
        <f t="shared" ca="1" si="0"/>
        <v>2580.219999999998</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9" sqref="F19"/>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192509</v>
      </c>
      <c r="C2" s="1868" t="s">
        <v>1651</v>
      </c>
      <c r="D2" s="1869" t="s">
        <v>1652</v>
      </c>
      <c r="E2" s="2603">
        <f>SUM(E6:E13)</f>
        <v>64978.17</v>
      </c>
      <c r="F2" s="2703"/>
      <c r="G2" s="1485"/>
      <c r="H2" s="1485"/>
      <c r="I2" s="1485"/>
      <c r="J2" s="1485"/>
      <c r="K2" s="1485"/>
      <c r="L2" s="1485"/>
      <c r="M2" s="1485"/>
      <c r="N2" s="1485"/>
      <c r="O2" s="1485"/>
      <c r="P2" s="1485"/>
      <c r="Q2" s="1485"/>
      <c r="R2" s="1485"/>
      <c r="S2" s="1485"/>
    </row>
    <row r="3" spans="1:22" ht="15.75">
      <c r="A3" s="1866" t="s">
        <v>686</v>
      </c>
      <c r="B3" s="2597">
        <f ca="1">ROUND(B2*10000/E2,0)</f>
        <v>29627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853" t="s">
        <v>1654</v>
      </c>
      <c r="C5" s="3854"/>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191825</v>
      </c>
      <c r="C6" s="1868" t="s">
        <v>1651</v>
      </c>
      <c r="D6" s="2705"/>
      <c r="E6" s="2602">
        <f>IF(OR(A6=0,F6="否"),0,'数据-取费表'!K6+'数据-取费表'!S6)</f>
        <v>62397.95</v>
      </c>
      <c r="F6" s="1872" t="s">
        <v>1657</v>
      </c>
      <c r="G6" s="1485"/>
      <c r="H6" s="1485"/>
      <c r="I6" s="1485"/>
      <c r="J6" s="1485"/>
      <c r="K6" s="1485"/>
      <c r="L6" s="1485"/>
      <c r="M6" s="1485"/>
      <c r="N6" s="1485"/>
      <c r="O6" s="1485"/>
      <c r="P6" s="1485"/>
      <c r="Q6" s="1485"/>
      <c r="R6" s="1485"/>
      <c r="S6" s="1485"/>
    </row>
    <row r="7" spans="1:22">
      <c r="A7" s="2600" t="str">
        <f>'数据-取费表'!AN7</f>
        <v>收益法 (2)</v>
      </c>
      <c r="B7" s="2598">
        <f ca="1">IF(F7="是",'数据-取费表'!AO7,0)</f>
        <v>684</v>
      </c>
      <c r="C7" s="1868" t="s">
        <v>1651</v>
      </c>
      <c r="D7" s="2705"/>
      <c r="E7" s="2602">
        <f>IF(OR(A7=0,F7="否"),0,'数据-取费表'!K7+'数据-取费表'!S7)</f>
        <v>2580.219999999998</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I20" sqref="I20"/>
    </sheetView>
  </sheetViews>
  <sheetFormatPr defaultRowHeight="13.5"/>
  <cols>
    <col min="3" max="4" width="6.75" bestFit="1" customWidth="1"/>
    <col min="5" max="5" width="7.5" bestFit="1" customWidth="1"/>
  </cols>
  <sheetData>
    <row r="1" spans="1:6" ht="14.25" thickTop="1">
      <c r="A1" s="3857" t="s">
        <v>3429</v>
      </c>
      <c r="B1" s="3858"/>
      <c r="C1" s="3861" t="s">
        <v>3430</v>
      </c>
      <c r="D1" s="3862"/>
      <c r="E1" s="3863" t="s">
        <v>3431</v>
      </c>
    </row>
    <row r="2" spans="1:6">
      <c r="A2" s="3859" t="s">
        <v>3432</v>
      </c>
      <c r="B2" s="3860"/>
      <c r="C2" s="3529" t="s">
        <v>3433</v>
      </c>
      <c r="D2" s="3529" t="s">
        <v>3434</v>
      </c>
      <c r="E2" s="3864"/>
    </row>
    <row r="3" spans="1:6">
      <c r="A3" s="3865" t="s">
        <v>3564</v>
      </c>
      <c r="B3" s="3530" t="s">
        <v>3436</v>
      </c>
      <c r="C3" s="3531">
        <v>192260</v>
      </c>
      <c r="D3" s="3531">
        <v>191825</v>
      </c>
      <c r="E3" s="3531">
        <v>192043</v>
      </c>
    </row>
    <row r="4" spans="1:6">
      <c r="A4" s="3866"/>
      <c r="B4" s="3530" t="s">
        <v>3437</v>
      </c>
      <c r="C4" s="3531">
        <v>30812</v>
      </c>
      <c r="D4" s="3531">
        <v>30742</v>
      </c>
      <c r="E4" s="3531">
        <v>30777</v>
      </c>
    </row>
    <row r="5" spans="1:6">
      <c r="A5" s="3865" t="s">
        <v>3565</v>
      </c>
      <c r="B5" s="3530" t="s">
        <v>3436</v>
      </c>
      <c r="C5" s="3531">
        <v>1935</v>
      </c>
      <c r="D5" s="3531">
        <v>684</v>
      </c>
      <c r="E5" s="3531">
        <v>1435</v>
      </c>
    </row>
    <row r="6" spans="1:6">
      <c r="A6" s="3866"/>
      <c r="B6" s="3530" t="s">
        <v>3437</v>
      </c>
      <c r="C6" s="3531">
        <v>7499</v>
      </c>
      <c r="D6" s="3531">
        <v>2651</v>
      </c>
      <c r="E6" s="3531">
        <v>5560</v>
      </c>
    </row>
    <row r="7" spans="1:6">
      <c r="A7" s="3855" t="s">
        <v>3439</v>
      </c>
      <c r="B7" s="3530" t="s">
        <v>3436</v>
      </c>
      <c r="C7" s="3531">
        <f>C3+C5</f>
        <v>194195</v>
      </c>
      <c r="D7" s="3531">
        <f>D3+D5</f>
        <v>192509</v>
      </c>
      <c r="E7" s="3531">
        <f>E3+E5</f>
        <v>193478</v>
      </c>
    </row>
    <row r="8" spans="1:6" ht="14.25" thickBot="1">
      <c r="A8" s="3856"/>
      <c r="B8" s="3532" t="s">
        <v>3437</v>
      </c>
      <c r="C8" s="3533">
        <f>ROUND(C7/$F$8*10000,0)</f>
        <v>29886</v>
      </c>
      <c r="D8" s="3533">
        <f t="shared" ref="D8:E8" si="0">ROUND(D7/$F$8*10000,0)</f>
        <v>29627</v>
      </c>
      <c r="E8" s="3533">
        <f t="shared" si="0"/>
        <v>29776</v>
      </c>
      <c r="F8">
        <f>结果表!G25</f>
        <v>64978.17</v>
      </c>
    </row>
    <row r="9" spans="1:6" ht="14.25" thickTop="1"/>
  </sheetData>
  <mergeCells count="7">
    <mergeCell ref="A7:A8"/>
    <mergeCell ref="A1:B1"/>
    <mergeCell ref="A2:B2"/>
    <mergeCell ref="C1:D1"/>
    <mergeCell ref="E1:E2"/>
    <mergeCell ref="A3:A4"/>
    <mergeCell ref="A5:A6"/>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74" t="s">
        <v>2610</v>
      </c>
      <c r="B20" s="3867" t="s">
        <v>2631</v>
      </c>
      <c r="C20" s="3099" t="s">
        <v>2442</v>
      </c>
      <c r="D20" s="3100"/>
      <c r="E20" s="3101">
        <v>1</v>
      </c>
      <c r="F20" s="3102" t="s">
        <v>2443</v>
      </c>
      <c r="G20" s="3102"/>
    </row>
    <row r="21" spans="1:13" ht="19.5" customHeight="1">
      <c r="A21" s="3875"/>
      <c r="B21" s="3868"/>
      <c r="C21" s="3103" t="s">
        <v>2444</v>
      </c>
      <c r="D21" s="3104"/>
      <c r="E21" s="3105">
        <v>1</v>
      </c>
      <c r="F21" s="3102" t="s">
        <v>2445</v>
      </c>
      <c r="G21" s="3102"/>
    </row>
    <row r="22" spans="1:13" ht="19.5" customHeight="1">
      <c r="A22" s="3875"/>
      <c r="B22" s="3868"/>
      <c r="C22" s="3103" t="s">
        <v>2446</v>
      </c>
      <c r="D22" s="3104"/>
      <c r="E22" s="3105">
        <v>0.9</v>
      </c>
      <c r="F22" s="3102" t="s">
        <v>2447</v>
      </c>
      <c r="G22" s="3102"/>
    </row>
    <row r="23" spans="1:13" ht="19.5" customHeight="1">
      <c r="A23" s="3875"/>
      <c r="B23" s="3868"/>
      <c r="C23" s="3103" t="s">
        <v>2448</v>
      </c>
      <c r="D23" s="3104"/>
      <c r="E23" s="3105">
        <v>0.9</v>
      </c>
      <c r="F23" s="3102" t="s">
        <v>2449</v>
      </c>
      <c r="G23" s="3102"/>
    </row>
    <row r="24" spans="1:13" ht="19.5" customHeight="1">
      <c r="A24" s="3875"/>
      <c r="B24" s="3868"/>
      <c r="C24" s="3103" t="s">
        <v>2450</v>
      </c>
      <c r="D24" s="3104"/>
      <c r="E24" s="3105">
        <v>0.8</v>
      </c>
      <c r="F24" s="3102" t="s">
        <v>2451</v>
      </c>
      <c r="G24" s="3102"/>
    </row>
    <row r="25" spans="1:13" ht="19.5" customHeight="1" thickBot="1">
      <c r="A25" s="3876"/>
      <c r="B25" s="3869"/>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70" t="s">
        <v>2634</v>
      </c>
      <c r="B27" s="3867" t="s">
        <v>2615</v>
      </c>
      <c r="C27" s="3099" t="s">
        <v>2455</v>
      </c>
      <c r="D27" s="3100"/>
      <c r="E27" s="3101">
        <v>1</v>
      </c>
      <c r="F27" s="3102" t="s">
        <v>2456</v>
      </c>
      <c r="G27" s="3102"/>
    </row>
    <row r="28" spans="1:13" ht="19.5" customHeight="1">
      <c r="A28" s="3871"/>
      <c r="B28" s="3868"/>
      <c r="C28" s="3103" t="s">
        <v>2457</v>
      </c>
      <c r="D28" s="3104"/>
      <c r="E28" s="3105">
        <v>1</v>
      </c>
      <c r="F28" s="3102" t="s">
        <v>2458</v>
      </c>
      <c r="G28" s="3102"/>
    </row>
    <row r="29" spans="1:13" ht="19.5" customHeight="1">
      <c r="A29" s="3871"/>
      <c r="B29" s="3868"/>
      <c r="C29" s="3103" t="s">
        <v>2459</v>
      </c>
      <c r="D29" s="3104"/>
      <c r="E29" s="3105">
        <v>0.8</v>
      </c>
      <c r="F29" s="3102" t="s">
        <v>2460</v>
      </c>
      <c r="G29" s="3102"/>
    </row>
    <row r="30" spans="1:13" ht="19.5" customHeight="1">
      <c r="A30" s="3871"/>
      <c r="B30" s="3868"/>
      <c r="C30" s="3103" t="s">
        <v>2461</v>
      </c>
      <c r="D30" s="3104"/>
      <c r="E30" s="3105">
        <v>0.8</v>
      </c>
      <c r="F30" s="3102" t="s">
        <v>2462</v>
      </c>
      <c r="G30" s="3102"/>
    </row>
    <row r="31" spans="1:13" ht="19.5" customHeight="1">
      <c r="A31" s="3871"/>
      <c r="B31" s="3868"/>
      <c r="C31" s="3103" t="s">
        <v>2463</v>
      </c>
      <c r="D31" s="3104"/>
      <c r="E31" s="3105">
        <v>0.8</v>
      </c>
      <c r="F31" s="3102" t="s">
        <v>2464</v>
      </c>
      <c r="G31" s="3102"/>
    </row>
    <row r="32" spans="1:13" ht="19.5" customHeight="1">
      <c r="A32" s="3871"/>
      <c r="B32" s="3868"/>
      <c r="C32" s="3103" t="s">
        <v>2465</v>
      </c>
      <c r="D32" s="3104"/>
      <c r="E32" s="3105">
        <v>0.7</v>
      </c>
      <c r="F32" s="3102" t="s">
        <v>2466</v>
      </c>
      <c r="G32" s="3102"/>
    </row>
    <row r="33" spans="1:7" ht="19.5" customHeight="1">
      <c r="A33" s="3871"/>
      <c r="B33" s="3868"/>
      <c r="C33" s="3103" t="s">
        <v>2467</v>
      </c>
      <c r="D33" s="3104"/>
      <c r="E33" s="3105">
        <v>0.8</v>
      </c>
      <c r="F33" s="3102" t="s">
        <v>2468</v>
      </c>
      <c r="G33" s="3102"/>
    </row>
    <row r="34" spans="1:7" ht="19.5" customHeight="1">
      <c r="A34" s="3871"/>
      <c r="B34" s="3868"/>
      <c r="C34" s="3103" t="s">
        <v>2469</v>
      </c>
      <c r="D34" s="3104"/>
      <c r="E34" s="3105">
        <v>0.6</v>
      </c>
      <c r="F34" s="3102" t="s">
        <v>2470</v>
      </c>
      <c r="G34" s="3102"/>
    </row>
    <row r="35" spans="1:7" ht="19.5" customHeight="1">
      <c r="A35" s="3871"/>
      <c r="B35" s="3868"/>
      <c r="C35" s="3103" t="s">
        <v>2471</v>
      </c>
      <c r="D35" s="3104"/>
      <c r="E35" s="3105">
        <v>0.2</v>
      </c>
      <c r="F35" s="3102" t="s">
        <v>2472</v>
      </c>
      <c r="G35" s="3102"/>
    </row>
    <row r="36" spans="1:7" ht="19.5" customHeight="1">
      <c r="A36" s="3871"/>
      <c r="B36" s="3868"/>
      <c r="C36" s="3103" t="s">
        <v>2473</v>
      </c>
      <c r="D36" s="3104"/>
      <c r="E36" s="3105">
        <v>0.2</v>
      </c>
      <c r="F36" s="3102" t="s">
        <v>2474</v>
      </c>
      <c r="G36" s="3102"/>
    </row>
    <row r="37" spans="1:7" ht="19.5" customHeight="1">
      <c r="A37" s="3871"/>
      <c r="B37" s="3873" t="s">
        <v>2635</v>
      </c>
      <c r="C37" s="3103" t="s">
        <v>2475</v>
      </c>
      <c r="D37" s="3104"/>
      <c r="E37" s="3105">
        <v>0.6</v>
      </c>
      <c r="F37" s="3102" t="s">
        <v>2476</v>
      </c>
      <c r="G37" s="3102"/>
    </row>
    <row r="38" spans="1:7" ht="19.5" customHeight="1">
      <c r="A38" s="3871"/>
      <c r="B38" s="3868"/>
      <c r="C38" s="3103" t="s">
        <v>2477</v>
      </c>
      <c r="D38" s="3104"/>
      <c r="E38" s="3105">
        <v>0.6</v>
      </c>
      <c r="F38" s="3102" t="s">
        <v>2478</v>
      </c>
      <c r="G38" s="3102"/>
    </row>
    <row r="39" spans="1:7" ht="19.5" customHeight="1" thickBot="1">
      <c r="A39" s="3872"/>
      <c r="B39" s="3869"/>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74" t="s">
        <v>2613</v>
      </c>
      <c r="B41" s="3867" t="s">
        <v>2637</v>
      </c>
      <c r="C41" s="3099" t="s">
        <v>2482</v>
      </c>
      <c r="D41" s="3100"/>
      <c r="E41" s="3101">
        <v>1</v>
      </c>
      <c r="F41" s="3102" t="s">
        <v>2483</v>
      </c>
      <c r="G41" s="3102"/>
    </row>
    <row r="42" spans="1:7" ht="19.5" customHeight="1">
      <c r="A42" s="3875"/>
      <c r="B42" s="3868"/>
      <c r="C42" s="3103" t="s">
        <v>2484</v>
      </c>
      <c r="D42" s="3104"/>
      <c r="E42" s="3105">
        <v>1</v>
      </c>
      <c r="F42" s="3102" t="s">
        <v>2485</v>
      </c>
      <c r="G42" s="3102"/>
    </row>
    <row r="43" spans="1:7" ht="19.5" customHeight="1">
      <c r="A43" s="3875"/>
      <c r="B43" s="3877"/>
      <c r="C43" s="3103" t="s">
        <v>2486</v>
      </c>
      <c r="D43" s="3104"/>
      <c r="E43" s="3105">
        <v>1.5</v>
      </c>
      <c r="F43" s="3102" t="s">
        <v>2487</v>
      </c>
      <c r="G43" s="3102"/>
    </row>
    <row r="44" spans="1:7" ht="19.5" customHeight="1">
      <c r="A44" s="3875"/>
      <c r="B44" s="3114" t="s">
        <v>2638</v>
      </c>
      <c r="C44" s="3103" t="s">
        <v>2639</v>
      </c>
      <c r="D44" s="3104"/>
      <c r="E44" s="3105">
        <v>2</v>
      </c>
      <c r="F44" s="3102" t="s">
        <v>2488</v>
      </c>
      <c r="G44" s="3102"/>
    </row>
    <row r="45" spans="1:7" ht="19.5" customHeight="1">
      <c r="A45" s="3875"/>
      <c r="B45" s="3873" t="s">
        <v>2640</v>
      </c>
      <c r="C45" s="3103" t="s">
        <v>2489</v>
      </c>
      <c r="D45" s="3104"/>
      <c r="E45" s="3105">
        <v>1</v>
      </c>
      <c r="F45" s="3102" t="s">
        <v>2490</v>
      </c>
      <c r="G45" s="3102"/>
    </row>
    <row r="46" spans="1:7" ht="19.5" customHeight="1">
      <c r="A46" s="3875"/>
      <c r="B46" s="3868"/>
      <c r="C46" s="3103" t="s">
        <v>2491</v>
      </c>
      <c r="D46" s="3104"/>
      <c r="E46" s="3105">
        <v>1</v>
      </c>
      <c r="F46" s="3102" t="s">
        <v>2492</v>
      </c>
      <c r="G46" s="3102"/>
    </row>
    <row r="47" spans="1:7" ht="19.5" customHeight="1">
      <c r="A47" s="3875"/>
      <c r="B47" s="3868"/>
      <c r="C47" s="3103" t="s">
        <v>2493</v>
      </c>
      <c r="D47" s="3104"/>
      <c r="E47" s="3105">
        <v>1</v>
      </c>
      <c r="F47" s="3102" t="s">
        <v>2494</v>
      </c>
      <c r="G47" s="3102"/>
    </row>
    <row r="48" spans="1:7" ht="19.5" customHeight="1">
      <c r="A48" s="3875"/>
      <c r="B48" s="3868"/>
      <c r="C48" s="3103" t="s">
        <v>2495</v>
      </c>
      <c r="D48" s="3104"/>
      <c r="E48" s="3105">
        <v>1</v>
      </c>
      <c r="F48" s="3102" t="s">
        <v>2496</v>
      </c>
      <c r="G48" s="3102"/>
    </row>
    <row r="49" spans="1:7" ht="19.5" customHeight="1">
      <c r="A49" s="3875"/>
      <c r="B49" s="3868"/>
      <c r="C49" s="3103" t="s">
        <v>2497</v>
      </c>
      <c r="D49" s="3104"/>
      <c r="E49" s="3105">
        <v>1</v>
      </c>
      <c r="F49" s="3102" t="s">
        <v>2498</v>
      </c>
      <c r="G49" s="3102"/>
    </row>
    <row r="50" spans="1:7" ht="19.5" customHeight="1">
      <c r="A50" s="3875"/>
      <c r="B50" s="3868"/>
      <c r="C50" s="3103" t="s">
        <v>2499</v>
      </c>
      <c r="D50" s="3104"/>
      <c r="E50" s="3105">
        <v>1</v>
      </c>
      <c r="F50" s="3102" t="s">
        <v>2500</v>
      </c>
      <c r="G50" s="3102"/>
    </row>
    <row r="51" spans="1:7" ht="19.5" customHeight="1" thickBot="1">
      <c r="A51" s="3876"/>
      <c r="B51" s="3869"/>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73" t="s">
        <v>2654</v>
      </c>
      <c r="C73" s="3088" t="s">
        <v>2655</v>
      </c>
      <c r="D73" s="3088" t="s">
        <v>2656</v>
      </c>
      <c r="E73" s="3114">
        <v>0.2</v>
      </c>
      <c r="F73" s="3114">
        <v>25</v>
      </c>
    </row>
    <row r="74" spans="1:7" ht="24">
      <c r="A74" s="3114">
        <v>2</v>
      </c>
      <c r="B74" s="3868"/>
      <c r="C74" s="3088" t="s">
        <v>2657</v>
      </c>
      <c r="D74" s="3088" t="s">
        <v>2658</v>
      </c>
      <c r="E74" s="3114">
        <v>0.2</v>
      </c>
      <c r="F74" s="3114">
        <v>25</v>
      </c>
    </row>
    <row r="75" spans="1:7" ht="24">
      <c r="A75" s="3114">
        <v>3</v>
      </c>
      <c r="B75" s="3868"/>
      <c r="C75" s="3088" t="s">
        <v>2659</v>
      </c>
      <c r="D75" s="3088" t="s">
        <v>2660</v>
      </c>
      <c r="E75" s="3114">
        <v>0.2</v>
      </c>
      <c r="F75" s="3114">
        <v>25</v>
      </c>
    </row>
    <row r="76" spans="1:7" ht="13.5">
      <c r="A76" s="3114">
        <v>4</v>
      </c>
      <c r="B76" s="3868"/>
      <c r="C76" s="3088" t="s">
        <v>2661</v>
      </c>
      <c r="D76" s="3088" t="s">
        <v>2662</v>
      </c>
      <c r="E76" s="3114">
        <v>0.15</v>
      </c>
      <c r="F76" s="3114">
        <v>20</v>
      </c>
    </row>
    <row r="77" spans="1:7" ht="24">
      <c r="A77" s="3114">
        <v>5</v>
      </c>
      <c r="B77" s="3868"/>
      <c r="C77" s="3088" t="s">
        <v>2663</v>
      </c>
      <c r="D77" s="3088" t="s">
        <v>2664</v>
      </c>
      <c r="E77" s="3114">
        <v>0.15</v>
      </c>
      <c r="F77" s="3114">
        <v>20</v>
      </c>
    </row>
    <row r="78" spans="1:7" ht="24">
      <c r="A78" s="3114">
        <v>6</v>
      </c>
      <c r="B78" s="3868"/>
      <c r="C78" s="3088" t="s">
        <v>2665</v>
      </c>
      <c r="D78" s="3088" t="s">
        <v>2666</v>
      </c>
      <c r="E78" s="3114">
        <v>0.15</v>
      </c>
      <c r="F78" s="3114">
        <v>20</v>
      </c>
    </row>
    <row r="79" spans="1:7" ht="24">
      <c r="A79" s="3114">
        <v>7</v>
      </c>
      <c r="B79" s="3868"/>
      <c r="C79" s="3088" t="s">
        <v>2667</v>
      </c>
      <c r="D79" s="3088" t="s">
        <v>2668</v>
      </c>
      <c r="E79" s="3114">
        <v>0.15</v>
      </c>
      <c r="F79" s="3114">
        <v>20</v>
      </c>
    </row>
    <row r="80" spans="1:7" ht="24">
      <c r="A80" s="3114">
        <v>8</v>
      </c>
      <c r="B80" s="3868"/>
      <c r="C80" s="3088" t="s">
        <v>2669</v>
      </c>
      <c r="D80" s="3088" t="s">
        <v>2670</v>
      </c>
      <c r="E80" s="3114">
        <v>0.1</v>
      </c>
      <c r="F80" s="3114">
        <v>15</v>
      </c>
    </row>
    <row r="81" spans="1:6" ht="24">
      <c r="A81" s="3114">
        <v>9</v>
      </c>
      <c r="B81" s="3868"/>
      <c r="C81" s="3088" t="s">
        <v>2671</v>
      </c>
      <c r="D81" s="3088" t="s">
        <v>2672</v>
      </c>
      <c r="E81" s="3114">
        <v>0.1</v>
      </c>
      <c r="F81" s="3114">
        <v>15</v>
      </c>
    </row>
    <row r="82" spans="1:6" ht="24">
      <c r="A82" s="3114">
        <v>10</v>
      </c>
      <c r="B82" s="3868"/>
      <c r="C82" s="3088" t="s">
        <v>2673</v>
      </c>
      <c r="D82" s="3088" t="s">
        <v>2674</v>
      </c>
      <c r="E82" s="3114">
        <v>0.1</v>
      </c>
      <c r="F82" s="3114">
        <v>15</v>
      </c>
    </row>
    <row r="83" spans="1:6" ht="24">
      <c r="A83" s="3114">
        <v>11</v>
      </c>
      <c r="B83" s="3868"/>
      <c r="C83" s="3088" t="s">
        <v>2675</v>
      </c>
      <c r="D83" s="3088" t="s">
        <v>2676</v>
      </c>
      <c r="E83" s="3114">
        <v>0.1</v>
      </c>
      <c r="F83" s="3114">
        <v>15</v>
      </c>
    </row>
    <row r="84" spans="1:6" ht="24">
      <c r="A84" s="3114">
        <v>12</v>
      </c>
      <c r="B84" s="3868"/>
      <c r="C84" s="3088" t="s">
        <v>2677</v>
      </c>
      <c r="D84" s="3088" t="s">
        <v>2678</v>
      </c>
      <c r="E84" s="3114">
        <v>0.1</v>
      </c>
      <c r="F84" s="3114">
        <v>15</v>
      </c>
    </row>
    <row r="85" spans="1:6" ht="13.5">
      <c r="A85" s="3114">
        <v>13</v>
      </c>
      <c r="B85" s="3868"/>
      <c r="C85" s="3088" t="s">
        <v>2679</v>
      </c>
      <c r="D85" s="3088" t="s">
        <v>2680</v>
      </c>
      <c r="E85" s="3114">
        <v>0.1</v>
      </c>
      <c r="F85" s="3114">
        <v>15</v>
      </c>
    </row>
    <row r="86" spans="1:6" ht="13.5">
      <c r="A86" s="3114">
        <v>14</v>
      </c>
      <c r="B86" s="3868"/>
      <c r="C86" s="3088" t="s">
        <v>2681</v>
      </c>
      <c r="D86" s="3088" t="s">
        <v>2682</v>
      </c>
      <c r="E86" s="3114">
        <v>0.1</v>
      </c>
      <c r="F86" s="3114">
        <v>15</v>
      </c>
    </row>
    <row r="87" spans="1:6" ht="13.5">
      <c r="A87" s="3114">
        <v>15</v>
      </c>
      <c r="B87" s="3868"/>
      <c r="C87" s="3088" t="s">
        <v>2683</v>
      </c>
      <c r="D87" s="3088" t="s">
        <v>2684</v>
      </c>
      <c r="E87" s="3114">
        <v>0.1</v>
      </c>
      <c r="F87" s="3114">
        <v>15</v>
      </c>
    </row>
    <row r="88" spans="1:6" ht="24">
      <c r="A88" s="3114">
        <v>16</v>
      </c>
      <c r="B88" s="3868"/>
      <c r="C88" s="3088" t="s">
        <v>2685</v>
      </c>
      <c r="D88" s="3088" t="s">
        <v>2686</v>
      </c>
      <c r="E88" s="3114">
        <v>0.1</v>
      </c>
      <c r="F88" s="3114">
        <v>15</v>
      </c>
    </row>
    <row r="89" spans="1:6" ht="24">
      <c r="A89" s="3114">
        <v>17</v>
      </c>
      <c r="B89" s="3877"/>
      <c r="C89" s="3088" t="s">
        <v>2687</v>
      </c>
      <c r="D89" s="3088" t="s">
        <v>2688</v>
      </c>
      <c r="E89" s="3114">
        <v>0.1</v>
      </c>
      <c r="F89" s="3114">
        <v>15</v>
      </c>
    </row>
    <row r="90" spans="1:6" ht="13.5">
      <c r="A90" s="3114">
        <v>18</v>
      </c>
      <c r="B90" s="3873" t="s">
        <v>2689</v>
      </c>
      <c r="C90" s="3088" t="s">
        <v>2690</v>
      </c>
      <c r="D90" s="3088" t="s">
        <v>2691</v>
      </c>
      <c r="E90" s="3114">
        <v>0.2</v>
      </c>
      <c r="F90" s="3114">
        <v>25</v>
      </c>
    </row>
    <row r="91" spans="1:6" ht="24">
      <c r="A91" s="3114">
        <v>19</v>
      </c>
      <c r="B91" s="3868"/>
      <c r="C91" s="3088" t="s">
        <v>2692</v>
      </c>
      <c r="D91" s="3088" t="s">
        <v>2693</v>
      </c>
      <c r="E91" s="3114">
        <v>0.2</v>
      </c>
      <c r="F91" s="3114">
        <v>25</v>
      </c>
    </row>
    <row r="92" spans="1:6" ht="13.5">
      <c r="A92" s="3114">
        <v>20</v>
      </c>
      <c r="B92" s="3868"/>
      <c r="C92" s="3088" t="s">
        <v>2694</v>
      </c>
      <c r="D92" s="3088" t="s">
        <v>2695</v>
      </c>
      <c r="E92" s="3114">
        <v>0.15</v>
      </c>
      <c r="F92" s="3114">
        <v>20</v>
      </c>
    </row>
    <row r="93" spans="1:6" ht="13.5">
      <c r="A93" s="3114">
        <v>21</v>
      </c>
      <c r="B93" s="3868"/>
      <c r="C93" s="3088" t="s">
        <v>2696</v>
      </c>
      <c r="D93" s="3088" t="s">
        <v>2697</v>
      </c>
      <c r="E93" s="3114">
        <v>0.15</v>
      </c>
      <c r="F93" s="3114">
        <v>20</v>
      </c>
    </row>
    <row r="94" spans="1:6" ht="13.5">
      <c r="A94" s="3114">
        <v>22</v>
      </c>
      <c r="B94" s="3868"/>
      <c r="C94" s="3088" t="s">
        <v>2698</v>
      </c>
      <c r="D94" s="3088" t="s">
        <v>2699</v>
      </c>
      <c r="E94" s="3114">
        <v>0.15</v>
      </c>
      <c r="F94" s="3114">
        <v>20</v>
      </c>
    </row>
    <row r="95" spans="1:6" ht="36">
      <c r="A95" s="3114">
        <v>23</v>
      </c>
      <c r="B95" s="3868"/>
      <c r="C95" s="3088" t="s">
        <v>2700</v>
      </c>
      <c r="D95" s="3088" t="s">
        <v>2701</v>
      </c>
      <c r="E95" s="3114">
        <v>0.15</v>
      </c>
      <c r="F95" s="3114">
        <v>20</v>
      </c>
    </row>
    <row r="96" spans="1:6" ht="13.5">
      <c r="A96" s="3114">
        <v>24</v>
      </c>
      <c r="B96" s="3868"/>
      <c r="C96" s="3088" t="s">
        <v>2702</v>
      </c>
      <c r="D96" s="3088" t="s">
        <v>2703</v>
      </c>
      <c r="E96" s="3114">
        <v>0.1</v>
      </c>
      <c r="F96" s="3114">
        <v>15</v>
      </c>
    </row>
    <row r="97" spans="1:6" ht="13.5">
      <c r="A97" s="3114">
        <v>25</v>
      </c>
      <c r="B97" s="3868"/>
      <c r="C97" s="3088" t="s">
        <v>2704</v>
      </c>
      <c r="D97" s="3088" t="s">
        <v>2705</v>
      </c>
      <c r="E97" s="3114">
        <v>0.1</v>
      </c>
      <c r="F97" s="3114">
        <v>15</v>
      </c>
    </row>
    <row r="98" spans="1:6" ht="24">
      <c r="A98" s="3114">
        <v>26</v>
      </c>
      <c r="B98" s="3868"/>
      <c r="C98" s="3088" t="s">
        <v>2706</v>
      </c>
      <c r="D98" s="3088" t="s">
        <v>2707</v>
      </c>
      <c r="E98" s="3114">
        <v>0.1</v>
      </c>
      <c r="F98" s="3114">
        <v>15</v>
      </c>
    </row>
    <row r="99" spans="1:6" ht="24">
      <c r="A99" s="3114">
        <v>27</v>
      </c>
      <c r="B99" s="3868"/>
      <c r="C99" s="3088" t="s">
        <v>2708</v>
      </c>
      <c r="D99" s="3088" t="s">
        <v>2709</v>
      </c>
      <c r="E99" s="3114">
        <v>0.1</v>
      </c>
      <c r="F99" s="3114">
        <v>15</v>
      </c>
    </row>
    <row r="100" spans="1:6" ht="13.5">
      <c r="A100" s="3114">
        <v>28</v>
      </c>
      <c r="B100" s="3868"/>
      <c r="C100" s="3088" t="s">
        <v>2710</v>
      </c>
      <c r="D100" s="3088" t="s">
        <v>2711</v>
      </c>
      <c r="E100" s="3114">
        <v>0.1</v>
      </c>
      <c r="F100" s="3114">
        <v>15</v>
      </c>
    </row>
    <row r="101" spans="1:6" ht="13.5">
      <c r="A101" s="3114">
        <v>29</v>
      </c>
      <c r="B101" s="3868"/>
      <c r="C101" s="3088" t="s">
        <v>2712</v>
      </c>
      <c r="D101" s="3088" t="s">
        <v>2713</v>
      </c>
      <c r="E101" s="3114">
        <v>0.1</v>
      </c>
      <c r="F101" s="3114">
        <v>15</v>
      </c>
    </row>
    <row r="102" spans="1:6" ht="13.5">
      <c r="A102" s="3114">
        <v>30</v>
      </c>
      <c r="B102" s="3868"/>
      <c r="C102" s="3088" t="s">
        <v>2714</v>
      </c>
      <c r="D102" s="3088" t="s">
        <v>2715</v>
      </c>
      <c r="E102" s="3114">
        <v>0.1</v>
      </c>
      <c r="F102" s="3114">
        <v>15</v>
      </c>
    </row>
    <row r="103" spans="1:6" ht="24">
      <c r="A103" s="3114">
        <v>31</v>
      </c>
      <c r="B103" s="3868"/>
      <c r="C103" s="3088" t="s">
        <v>2716</v>
      </c>
      <c r="D103" s="3088" t="s">
        <v>2717</v>
      </c>
      <c r="E103" s="3114">
        <v>0.1</v>
      </c>
      <c r="F103" s="3114">
        <v>15</v>
      </c>
    </row>
    <row r="104" spans="1:6" ht="24">
      <c r="A104" s="3114">
        <v>32</v>
      </c>
      <c r="B104" s="3868"/>
      <c r="C104" s="3088" t="s">
        <v>2718</v>
      </c>
      <c r="D104" s="3088" t="s">
        <v>2719</v>
      </c>
      <c r="E104" s="3114">
        <v>0.1</v>
      </c>
      <c r="F104" s="3114">
        <v>15</v>
      </c>
    </row>
    <row r="105" spans="1:6" ht="24">
      <c r="A105" s="3114">
        <v>33</v>
      </c>
      <c r="B105" s="3868"/>
      <c r="C105" s="3088" t="s">
        <v>2720</v>
      </c>
      <c r="D105" s="3088" t="s">
        <v>2721</v>
      </c>
      <c r="E105" s="3114">
        <v>0.1</v>
      </c>
      <c r="F105" s="3114">
        <v>15</v>
      </c>
    </row>
    <row r="106" spans="1:6" ht="24">
      <c r="A106" s="3114">
        <v>34</v>
      </c>
      <c r="B106" s="3877"/>
      <c r="C106" s="3088" t="s">
        <v>2722</v>
      </c>
      <c r="D106" s="3088" t="s">
        <v>2723</v>
      </c>
      <c r="E106" s="3114">
        <v>0.1</v>
      </c>
      <c r="F106" s="3114">
        <v>15</v>
      </c>
    </row>
    <row r="107" spans="1:6" ht="24">
      <c r="A107" s="3114">
        <v>35</v>
      </c>
      <c r="B107" s="3873" t="s">
        <v>2724</v>
      </c>
      <c r="C107" s="3114" t="s">
        <v>2725</v>
      </c>
      <c r="D107" s="3088" t="s">
        <v>2726</v>
      </c>
      <c r="E107" s="3114">
        <v>0.15</v>
      </c>
      <c r="F107" s="3114">
        <v>20</v>
      </c>
    </row>
    <row r="108" spans="1:6" ht="13.5">
      <c r="A108" s="3114">
        <v>36</v>
      </c>
      <c r="B108" s="3868"/>
      <c r="C108" s="3114" t="s">
        <v>2727</v>
      </c>
      <c r="D108" s="3088" t="s">
        <v>2728</v>
      </c>
      <c r="E108" s="3114">
        <v>0.15</v>
      </c>
      <c r="F108" s="3114">
        <v>20</v>
      </c>
    </row>
    <row r="109" spans="1:6" ht="13.5">
      <c r="A109" s="3114">
        <v>37</v>
      </c>
      <c r="B109" s="3868"/>
      <c r="C109" s="3114" t="s">
        <v>2729</v>
      </c>
      <c r="D109" s="3088" t="s">
        <v>2730</v>
      </c>
      <c r="E109" s="3114">
        <v>0.15</v>
      </c>
      <c r="F109" s="3114">
        <v>20</v>
      </c>
    </row>
    <row r="110" spans="1:6" ht="13.5">
      <c r="A110" s="3114">
        <v>38</v>
      </c>
      <c r="B110" s="3868"/>
      <c r="C110" s="3114" t="s">
        <v>2731</v>
      </c>
      <c r="D110" s="3088" t="s">
        <v>2732</v>
      </c>
      <c r="E110" s="3114">
        <v>0.1</v>
      </c>
      <c r="F110" s="3114">
        <v>15</v>
      </c>
    </row>
    <row r="111" spans="1:6" ht="24">
      <c r="A111" s="3114">
        <v>39</v>
      </c>
      <c r="B111" s="3868"/>
      <c r="C111" s="3114" t="s">
        <v>2733</v>
      </c>
      <c r="D111" s="3088" t="s">
        <v>2734</v>
      </c>
      <c r="E111" s="3114">
        <v>0.1</v>
      </c>
      <c r="F111" s="3114">
        <v>15</v>
      </c>
    </row>
    <row r="112" spans="1:6" ht="24">
      <c r="A112" s="3114">
        <v>40</v>
      </c>
      <c r="B112" s="3877"/>
      <c r="C112" s="3114" t="s">
        <v>2735</v>
      </c>
      <c r="D112" s="3088" t="s">
        <v>2736</v>
      </c>
      <c r="E112" s="3114">
        <v>0.1</v>
      </c>
      <c r="F112" s="3114">
        <v>15</v>
      </c>
    </row>
    <row r="113" spans="1:6" ht="13.5">
      <c r="A113" s="3114">
        <v>41</v>
      </c>
      <c r="B113" s="3878" t="s">
        <v>2737</v>
      </c>
      <c r="C113" s="3114" t="s">
        <v>2738</v>
      </c>
      <c r="D113" s="3088" t="s">
        <v>2739</v>
      </c>
      <c r="E113" s="3114">
        <v>0.1</v>
      </c>
      <c r="F113" s="3114">
        <v>15</v>
      </c>
    </row>
    <row r="114" spans="1:6" ht="13.5">
      <c r="A114" s="3114">
        <v>42</v>
      </c>
      <c r="B114" s="3878"/>
      <c r="C114" s="3114" t="s">
        <v>2740</v>
      </c>
      <c r="D114" s="3088" t="s">
        <v>2741</v>
      </c>
      <c r="E114" s="3114">
        <v>0.1</v>
      </c>
      <c r="F114" s="3114">
        <v>15</v>
      </c>
    </row>
    <row r="115" spans="1:6" ht="24">
      <c r="A115" s="3114">
        <v>43</v>
      </c>
      <c r="B115" s="3878"/>
      <c r="C115" s="3114" t="s">
        <v>2742</v>
      </c>
      <c r="D115" s="3088" t="s">
        <v>2743</v>
      </c>
      <c r="E115" s="3114">
        <v>0.1</v>
      </c>
      <c r="F115" s="3114">
        <v>15</v>
      </c>
    </row>
    <row r="116" spans="1:6" ht="13.5">
      <c r="A116" s="3114">
        <v>44</v>
      </c>
      <c r="B116" s="3873" t="s">
        <v>2744</v>
      </c>
      <c r="C116" s="3114" t="s">
        <v>2745</v>
      </c>
      <c r="D116" s="3088" t="s">
        <v>2746</v>
      </c>
      <c r="E116" s="3114">
        <v>0.1</v>
      </c>
      <c r="F116" s="3114">
        <v>15</v>
      </c>
    </row>
    <row r="117" spans="1:6" ht="24">
      <c r="A117" s="3114">
        <v>45</v>
      </c>
      <c r="B117" s="3877"/>
      <c r="C117" s="3088" t="s">
        <v>2747</v>
      </c>
      <c r="D117" s="3088" t="s">
        <v>2748</v>
      </c>
      <c r="E117" s="3114">
        <v>0.1</v>
      </c>
      <c r="F117" s="3114">
        <v>15</v>
      </c>
    </row>
    <row r="118" spans="1:6" ht="24">
      <c r="A118" s="3114">
        <v>46</v>
      </c>
      <c r="B118" s="3873" t="s">
        <v>2749</v>
      </c>
      <c r="C118" s="3114" t="s">
        <v>2750</v>
      </c>
      <c r="D118" s="3088" t="s">
        <v>2751</v>
      </c>
      <c r="E118" s="3114">
        <v>0.1</v>
      </c>
      <c r="F118" s="3114">
        <v>15</v>
      </c>
    </row>
    <row r="119" spans="1:6" ht="24">
      <c r="A119" s="3114">
        <v>47</v>
      </c>
      <c r="B119" s="3877"/>
      <c r="C119" s="3114" t="s">
        <v>2752</v>
      </c>
      <c r="D119" s="3088" t="s">
        <v>2753</v>
      </c>
      <c r="E119" s="3114">
        <v>0.1</v>
      </c>
      <c r="F119" s="3114">
        <v>15</v>
      </c>
    </row>
    <row r="120" spans="1:6" ht="13.5">
      <c r="A120" s="3114">
        <v>48</v>
      </c>
      <c r="B120" s="3873" t="s">
        <v>2754</v>
      </c>
      <c r="C120" s="3114" t="s">
        <v>2755</v>
      </c>
      <c r="D120" s="3088" t="s">
        <v>2756</v>
      </c>
      <c r="E120" s="3114">
        <v>0.1</v>
      </c>
      <c r="F120" s="3114">
        <v>15</v>
      </c>
    </row>
    <row r="121" spans="1:6" ht="13.5">
      <c r="A121" s="3114">
        <v>49</v>
      </c>
      <c r="B121" s="3877"/>
      <c r="C121" s="3114" t="s">
        <v>2757</v>
      </c>
      <c r="D121" s="3088" t="s">
        <v>2758</v>
      </c>
      <c r="E121" s="3114">
        <v>0.1</v>
      </c>
      <c r="F121" s="3114">
        <v>15</v>
      </c>
    </row>
    <row r="122" spans="1:6" ht="24">
      <c r="A122" s="3114">
        <v>50</v>
      </c>
      <c r="B122" s="3878" t="s">
        <v>2759</v>
      </c>
      <c r="C122" s="3114" t="s">
        <v>2760</v>
      </c>
      <c r="D122" s="3088" t="s">
        <v>2761</v>
      </c>
      <c r="E122" s="3114">
        <v>0.1</v>
      </c>
      <c r="F122" s="3114">
        <v>15</v>
      </c>
    </row>
    <row r="123" spans="1:6" ht="24">
      <c r="A123" s="3114">
        <v>51</v>
      </c>
      <c r="B123" s="3878"/>
      <c r="C123" s="3114" t="s">
        <v>2762</v>
      </c>
      <c r="D123" s="3088" t="s">
        <v>2763</v>
      </c>
      <c r="E123" s="3114">
        <v>0.1</v>
      </c>
      <c r="F123" s="3114">
        <v>15</v>
      </c>
    </row>
    <row r="124" spans="1:6" ht="24">
      <c r="A124" s="3114">
        <v>52</v>
      </c>
      <c r="B124" s="3878" t="s">
        <v>2764</v>
      </c>
      <c r="C124" s="3114" t="s">
        <v>2765</v>
      </c>
      <c r="D124" s="3088" t="s">
        <v>2766</v>
      </c>
      <c r="E124" s="3114">
        <v>0.1</v>
      </c>
      <c r="F124" s="3114">
        <v>15</v>
      </c>
    </row>
    <row r="125" spans="1:6" ht="24">
      <c r="A125" s="3114">
        <v>53</v>
      </c>
      <c r="B125" s="3878"/>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78" t="s">
        <v>2772</v>
      </c>
      <c r="C127" s="3114" t="s">
        <v>2773</v>
      </c>
      <c r="D127" s="3088" t="s">
        <v>2774</v>
      </c>
      <c r="E127" s="3114">
        <v>0.1</v>
      </c>
      <c r="F127" s="3114">
        <v>15</v>
      </c>
    </row>
    <row r="128" spans="1:6" ht="13.5">
      <c r="A128" s="3114">
        <v>56</v>
      </c>
      <c r="B128" s="3878"/>
      <c r="C128" s="3114" t="s">
        <v>2775</v>
      </c>
      <c r="D128" s="3088" t="s">
        <v>2776</v>
      </c>
      <c r="E128" s="3114">
        <v>0.1</v>
      </c>
      <c r="F128" s="3114">
        <v>15</v>
      </c>
    </row>
    <row r="129" spans="1:6" ht="24">
      <c r="A129" s="3114">
        <v>57</v>
      </c>
      <c r="B129" s="3878"/>
      <c r="C129" s="3114" t="s">
        <v>2777</v>
      </c>
      <c r="D129" s="3088" t="s">
        <v>2778</v>
      </c>
      <c r="E129" s="3114">
        <v>0.1</v>
      </c>
      <c r="F129" s="3114">
        <v>15</v>
      </c>
    </row>
    <row r="130" spans="1:6" ht="24">
      <c r="A130" s="3114">
        <v>58</v>
      </c>
      <c r="B130" s="3878" t="s">
        <v>2779</v>
      </c>
      <c r="C130" s="3114" t="s">
        <v>2780</v>
      </c>
      <c r="D130" s="3088" t="s">
        <v>2781</v>
      </c>
      <c r="E130" s="3114">
        <v>0.1</v>
      </c>
      <c r="F130" s="3114">
        <v>15</v>
      </c>
    </row>
    <row r="131" spans="1:6" ht="13.5">
      <c r="A131" s="3114">
        <v>59</v>
      </c>
      <c r="B131" s="3878"/>
      <c r="C131" s="3114" t="s">
        <v>2782</v>
      </c>
      <c r="D131" s="3088" t="s">
        <v>2783</v>
      </c>
      <c r="E131" s="3114">
        <v>0.1</v>
      </c>
      <c r="F131" s="3114">
        <v>15</v>
      </c>
    </row>
    <row r="132" spans="1:6" ht="13.5">
      <c r="A132" s="3114">
        <v>60</v>
      </c>
      <c r="B132" s="3873" t="s">
        <v>2784</v>
      </c>
      <c r="C132" s="3114" t="s">
        <v>2785</v>
      </c>
      <c r="D132" s="3088" t="s">
        <v>2786</v>
      </c>
      <c r="E132" s="3114">
        <v>0.1</v>
      </c>
      <c r="F132" s="3114">
        <v>15</v>
      </c>
    </row>
    <row r="133" spans="1:6" ht="13.5">
      <c r="A133" s="3114">
        <v>61</v>
      </c>
      <c r="B133" s="3877"/>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78" t="s">
        <v>2792</v>
      </c>
      <c r="C135" s="3114" t="s">
        <v>2793</v>
      </c>
      <c r="D135" s="3088" t="s">
        <v>2794</v>
      </c>
      <c r="E135" s="3114">
        <v>0.1</v>
      </c>
      <c r="F135" s="3114">
        <v>15</v>
      </c>
    </row>
    <row r="136" spans="1:6" ht="13.5">
      <c r="A136" s="3114">
        <v>64</v>
      </c>
      <c r="B136" s="3878"/>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2801</v>
      </c>
      <c r="B1" s="3123"/>
      <c r="C1" s="3123"/>
      <c r="D1" s="3123"/>
      <c r="E1" s="3123"/>
      <c r="F1" s="3123"/>
      <c r="G1" s="3123"/>
      <c r="H1" s="3123"/>
      <c r="I1" s="3123"/>
      <c r="J1" s="3123"/>
      <c r="K1" s="3123"/>
      <c r="L1" s="3123"/>
      <c r="M1" s="3123"/>
      <c r="N1" s="745"/>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6">
        <f>SUMPRODUCT((A95:A184=ROUNDDOWN(基准地价修正!G3,1))*(B94:M94=基准地价修正!G2)*(B95:M184))</f>
        <v>0.92520000000000002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6">
        <f>SUMPRODUCT((A371:A460=ROUNDDOWN(基准地价修正!G3,1))*(B370:M370=基准地价修正!G2)*(B371:M460))</f>
        <v>0.88009999999999999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76193</v>
      </c>
      <c r="C2" s="2" t="s">
        <v>106</v>
      </c>
      <c r="D2" s="198"/>
      <c r="E2" s="198"/>
      <c r="F2" s="198"/>
      <c r="G2" s="198"/>
    </row>
    <row r="3" spans="1:7" s="199" customFormat="1" ht="18" customHeight="1" thickBot="1">
      <c r="A3" s="202" t="s">
        <v>58</v>
      </c>
      <c r="B3" s="203">
        <f ca="1">ROUND(B2*10000/'数据-汇总表'!E3,0)</f>
        <v>11726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1300</v>
      </c>
      <c r="D10" s="841">
        <f>'数据-汇总表'!E6</f>
        <v>64978.17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1300</v>
      </c>
      <c r="D19" s="845">
        <f>'数据-汇总表'!E3</f>
        <v>64978.17</v>
      </c>
      <c r="E19" s="210">
        <f>'数据-取费表'!B31</f>
        <v>200</v>
      </c>
      <c r="F19" s="230"/>
      <c r="G19" s="1" t="s">
        <v>436</v>
      </c>
    </row>
    <row r="20" spans="1:7" s="213" customFormat="1" ht="13.5" customHeight="1">
      <c r="A20" s="773" t="s">
        <v>419</v>
      </c>
      <c r="B20" s="209" t="s">
        <v>77</v>
      </c>
      <c r="C20" s="231">
        <f>ROUND((C5+C19)*F20,0)</f>
        <v>438</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1874</v>
      </c>
      <c r="D22" s="234">
        <f ca="1">C26</f>
        <v>8.0000000000000004E-4</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1746</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110</v>
      </c>
      <c r="D24" s="237"/>
      <c r="E24" s="237"/>
      <c r="F24" s="238"/>
      <c r="G24" s="239" t="s">
        <v>82</v>
      </c>
    </row>
    <row r="25" spans="1:7" s="213" customFormat="1" ht="24">
      <c r="A25" s="776" t="s">
        <v>348</v>
      </c>
      <c r="B25" s="214" t="s">
        <v>420</v>
      </c>
      <c r="C25" s="1101">
        <f ca="1">ROUND(IF('数据-取费表'!B22&lt;=1,C20*F22*'数据-取费表'!B23/2,C20*(POWER((1+F22),'数据-取费表'!B23/2)-1)),0)</f>
        <v>18</v>
      </c>
      <c r="D25" s="237"/>
      <c r="E25" s="240"/>
      <c r="F25" s="238"/>
      <c r="G25" s="241" t="s">
        <v>83</v>
      </c>
    </row>
    <row r="26" spans="1:7" s="213" customFormat="1">
      <c r="A26" s="776" t="s">
        <v>350</v>
      </c>
      <c r="B26" s="214" t="s">
        <v>422</v>
      </c>
      <c r="C26" s="237">
        <f ca="1">ROUND(IF('数据-取费表'!B22&lt;=1,F21*F22*'数据-取费表'!B23/2,F21*(POWER((1+F22),'数据-取费表'!B23/2)-1)),4)</f>
        <v>8.0000000000000004E-4</v>
      </c>
      <c r="D26" s="237"/>
      <c r="E26" s="240"/>
      <c r="F26" s="238"/>
      <c r="G26" s="242"/>
    </row>
    <row r="27" spans="1:7" s="213" customFormat="1" ht="24.75">
      <c r="A27" s="773" t="s">
        <v>342</v>
      </c>
      <c r="B27" s="243" t="s">
        <v>85</v>
      </c>
      <c r="C27" s="244">
        <f>C28</f>
        <v>4246</v>
      </c>
      <c r="D27" s="234">
        <f>C29</f>
        <v>3.8E-3</v>
      </c>
      <c r="E27" s="235" t="s">
        <v>99</v>
      </c>
      <c r="F27" s="245">
        <f>'数据-取费表'!Q16</f>
        <v>0.19</v>
      </c>
      <c r="G27" s="246" t="s">
        <v>431</v>
      </c>
    </row>
    <row r="28" spans="1:7" s="213" customFormat="1" ht="13.5" customHeight="1">
      <c r="A28" s="776" t="s">
        <v>349</v>
      </c>
      <c r="B28" s="247" t="s">
        <v>424</v>
      </c>
      <c r="C28" s="248">
        <f>ROUND((C5+C19+C20)*F27*'数据-取费表'!B21/'数据-取费表'!B20,0)</f>
        <v>4246</v>
      </c>
      <c r="D28" s="234"/>
      <c r="E28" s="235"/>
      <c r="F28" s="245"/>
      <c r="G28" s="246"/>
    </row>
    <row r="29" spans="1:7" s="213" customFormat="1" ht="13.5" customHeight="1">
      <c r="A29" s="776" t="s">
        <v>347</v>
      </c>
      <c r="B29" s="247" t="s">
        <v>425</v>
      </c>
      <c r="C29" s="237">
        <f>ROUND(C21*F27*'数据-取费表'!B21/'数据-取费表'!B20,4)</f>
        <v>3.8E-3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30874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38459</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35222</v>
      </c>
      <c r="D34" s="216"/>
      <c r="E34" s="219"/>
      <c r="F34" s="256">
        <f>IF('数据-取费表'!B24=0,1,'数据-取费表'!N16)</f>
        <v>1</v>
      </c>
      <c r="G34" s="218" t="s">
        <v>89</v>
      </c>
    </row>
    <row r="35" spans="1:7" ht="13.5" customHeight="1">
      <c r="A35" s="776" t="s">
        <v>351</v>
      </c>
      <c r="B35" s="214" t="s">
        <v>33</v>
      </c>
      <c r="C35" s="219">
        <f>ROUND(C34*F35,0)</f>
        <v>1409</v>
      </c>
      <c r="D35" s="219"/>
      <c r="E35" s="219"/>
      <c r="F35" s="258">
        <f>'数据-取费表'!B33</f>
        <v>0.04</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0.05</v>
      </c>
      <c r="G36" s="259" t="s">
        <v>35</v>
      </c>
    </row>
    <row r="37" spans="1:7" s="257" customFormat="1" ht="13.5" customHeight="1">
      <c r="A37" s="776" t="s">
        <v>353</v>
      </c>
      <c r="B37" s="214" t="s">
        <v>91</v>
      </c>
      <c r="C37" s="248">
        <f>ROUND(E37*D37*F34/10000,0)</f>
        <v>1300</v>
      </c>
      <c r="D37" s="216">
        <f>'数据-汇总表'!E3</f>
        <v>64978.17</v>
      </c>
      <c r="E37" s="248">
        <f>'数据-取费表'!B35</f>
        <v>200</v>
      </c>
      <c r="F37" s="258"/>
      <c r="G37" s="260" t="s">
        <v>92</v>
      </c>
    </row>
    <row r="38" spans="1:7" ht="13.5" customHeight="1">
      <c r="A38" s="776" t="s">
        <v>354</v>
      </c>
      <c r="B38" s="214" t="s">
        <v>36</v>
      </c>
      <c r="C38" s="219">
        <f>ROUND(C34*F38,0)</f>
        <v>528</v>
      </c>
      <c r="D38" s="219"/>
      <c r="E38" s="219"/>
      <c r="F38" s="258">
        <f>'数据-取费表'!B36</f>
        <v>1.4999999999999999E-2</v>
      </c>
      <c r="G38" s="218" t="s">
        <v>90</v>
      </c>
    </row>
    <row r="39" spans="1:7" s="213" customFormat="1" ht="13.5" customHeight="1">
      <c r="A39" s="773" t="s">
        <v>338</v>
      </c>
      <c r="B39" s="209" t="s">
        <v>77</v>
      </c>
      <c r="C39" s="231">
        <f>ROUND(C33*F20,0)</f>
        <v>769</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1628</v>
      </c>
      <c r="D41" s="234">
        <f ca="1">C44</f>
        <v>8.0000000000000004E-4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1596</v>
      </c>
      <c r="D42" s="237"/>
      <c r="E42" s="237"/>
      <c r="F42" s="238"/>
      <c r="G42" s="3730" t="s">
        <v>94</v>
      </c>
    </row>
    <row r="43" spans="1:7" ht="13.5" customHeight="1">
      <c r="A43" s="776" t="s">
        <v>347</v>
      </c>
      <c r="B43" s="214" t="s">
        <v>426</v>
      </c>
      <c r="C43" s="237">
        <f ca="1">ROUND(IF('数据-取费表'!B22&lt;=1,C39*F22*'数据-取费表'!B21/2,C39*(POWER((1+F22),'数据-取费表'!B21/2)-1)),0)</f>
        <v>32</v>
      </c>
      <c r="D43" s="237"/>
      <c r="E43" s="237"/>
      <c r="F43" s="238"/>
      <c r="G43" s="3731"/>
    </row>
    <row r="44" spans="1:7" ht="13.5" customHeight="1">
      <c r="A44" s="776" t="s">
        <v>348</v>
      </c>
      <c r="B44" s="214" t="s">
        <v>428</v>
      </c>
      <c r="C44" s="237">
        <f ca="1">ROUND(IF('数据-取费表'!B22&lt;=1,C40*F22*'数据-取费表'!B21/2,C40*(POWER((1+F22),'数据-取费表'!B21/2)-1)),4)</f>
        <v>8.0000000000000004E-4</v>
      </c>
      <c r="D44" s="237"/>
      <c r="E44" s="237"/>
      <c r="F44" s="238"/>
      <c r="G44" s="3732"/>
    </row>
    <row r="45" spans="1:7" s="213" customFormat="1" ht="13.5" customHeight="1">
      <c r="A45" s="773" t="s">
        <v>341</v>
      </c>
      <c r="B45" s="243" t="s">
        <v>85</v>
      </c>
      <c r="C45" s="244">
        <f>C46</f>
        <v>7453</v>
      </c>
      <c r="D45" s="234">
        <f>C47</f>
        <v>3.8E-3</v>
      </c>
      <c r="E45" s="235" t="s">
        <v>102</v>
      </c>
      <c r="F45" s="245"/>
      <c r="G45" s="246" t="s">
        <v>434</v>
      </c>
    </row>
    <row r="46" spans="1:7" s="213" customFormat="1" ht="13.5" customHeight="1">
      <c r="A46" s="776" t="s">
        <v>349</v>
      </c>
      <c r="B46" s="247" t="s">
        <v>427</v>
      </c>
      <c r="C46" s="248">
        <f>ROUND((C33+C39)*F27,0)</f>
        <v>7453</v>
      </c>
      <c r="D46" s="262"/>
      <c r="E46" s="235"/>
      <c r="F46" s="245"/>
      <c r="G46" s="246"/>
    </row>
    <row r="47" spans="1:7" s="213" customFormat="1" ht="13.5" customHeight="1">
      <c r="A47" s="776" t="s">
        <v>347</v>
      </c>
      <c r="B47" s="247" t="s">
        <v>429</v>
      </c>
      <c r="C47" s="237">
        <f>ROUND(C40*F27,4)</f>
        <v>3.8E-3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52392</v>
      </c>
      <c r="D49" s="231"/>
      <c r="E49" s="231"/>
      <c r="F49" s="263"/>
      <c r="G49" s="233" t="s">
        <v>435</v>
      </c>
    </row>
    <row r="50" spans="1:7" s="257" customFormat="1" ht="24">
      <c r="A50" s="773" t="s">
        <v>344</v>
      </c>
      <c r="B50" s="209" t="s">
        <v>97</v>
      </c>
      <c r="C50" s="231"/>
      <c r="D50" s="231"/>
      <c r="E50" s="231"/>
      <c r="F50" s="263">
        <f>IF('数据-取费表'!B24=0,'数据-取费表'!N16,1)</f>
        <v>0.86499999999999999</v>
      </c>
      <c r="G50" s="246" t="s">
        <v>98</v>
      </c>
    </row>
    <row r="51" spans="1:7" ht="16.5" customHeight="1">
      <c r="A51" s="773" t="s">
        <v>345</v>
      </c>
      <c r="B51" s="209" t="s">
        <v>105</v>
      </c>
      <c r="C51" s="231">
        <f ca="1">ROUND(C49*F50,0)</f>
        <v>45319</v>
      </c>
      <c r="D51" s="231"/>
      <c r="E51" s="231"/>
      <c r="F51" s="263"/>
      <c r="G51" s="233" t="s">
        <v>37</v>
      </c>
    </row>
    <row r="52" spans="1:7" s="207" customFormat="1" ht="16.5" thickBot="1">
      <c r="A52" s="264" t="s">
        <v>38</v>
      </c>
      <c r="B52" s="265"/>
      <c r="C52" s="266">
        <f ca="1">C31+C51</f>
        <v>76193</v>
      </c>
      <c r="D52" s="265"/>
      <c r="E52" s="265"/>
      <c r="F52" s="265"/>
      <c r="G52" s="267"/>
    </row>
    <row r="55" spans="1:7" ht="15">
      <c r="B55" s="269" t="s">
        <v>39</v>
      </c>
      <c r="C55" s="270"/>
    </row>
    <row r="56" spans="1:7">
      <c r="B56" s="272" t="s">
        <v>40</v>
      </c>
      <c r="C56" s="273">
        <f ca="1">ROUND(C51/C52,3)</f>
        <v>0.59499999999999997</v>
      </c>
    </row>
    <row r="57" spans="1:7">
      <c r="B57" s="272" t="s">
        <v>41</v>
      </c>
      <c r="C57" s="274">
        <f ca="1">1-C56</f>
        <v>0.40500000000000003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81" t="s">
        <v>2846</v>
      </c>
      <c r="B1" s="3881"/>
      <c r="C1" s="3881"/>
      <c r="D1" s="3881"/>
      <c r="E1" s="3881"/>
      <c r="F1" s="3881"/>
      <c r="G1" s="3882"/>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879"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880"/>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83" t="s">
        <v>3188</v>
      </c>
      <c r="B1" s="3883"/>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7"/>
      <c r="B3" s="3547"/>
      <c r="C3" s="3547"/>
      <c r="D3" s="850" t="s">
        <v>925</v>
      </c>
      <c r="E3" s="850" t="s">
        <v>931</v>
      </c>
      <c r="F3" s="850" t="s">
        <v>925</v>
      </c>
      <c r="G3" s="850" t="s">
        <v>926</v>
      </c>
      <c r="H3" s="850" t="s">
        <v>925</v>
      </c>
      <c r="I3" s="850" t="s">
        <v>926</v>
      </c>
    </row>
    <row r="4" spans="1:9" ht="15">
      <c r="A4" s="1501" t="str">
        <f>项目基本情况!S2</f>
        <v>北京市房地产</v>
      </c>
      <c r="B4" s="850">
        <f>项目基本情况!C17</f>
        <v>64978.17</v>
      </c>
      <c r="C4" s="850">
        <f>项目基本情况!C18</f>
        <v>13077.01</v>
      </c>
      <c r="D4" s="850" t="e">
        <f ca="1">结果表!D118</f>
        <v>#REF!</v>
      </c>
      <c r="E4" s="850" t="e">
        <f ca="1">结果表!E118</f>
        <v>#REF!</v>
      </c>
      <c r="F4" s="850" t="e">
        <f ca="1">结果表!F118</f>
        <v>#REF!</v>
      </c>
      <c r="G4" s="850" t="e">
        <f ca="1">结果表!G118</f>
        <v>#REF!</v>
      </c>
      <c r="H4" s="850">
        <f ca="1">结果表!H118</f>
        <v>192043</v>
      </c>
      <c r="I4" s="850">
        <f ca="1">结果表!I118</f>
        <v>30777</v>
      </c>
    </row>
    <row r="5" spans="1:9" ht="30" customHeight="1">
      <c r="A5" s="3547" t="s">
        <v>927</v>
      </c>
      <c r="B5" s="3547"/>
      <c r="C5" s="3547"/>
      <c r="D5" s="3547" t="e">
        <f ca="1">结果表!D119</f>
        <v>#REF!</v>
      </c>
      <c r="E5" s="3547"/>
      <c r="F5" s="3547" t="e">
        <f ca="1">结果表!F119</f>
        <v>#REF!</v>
      </c>
      <c r="G5" s="3547"/>
      <c r="H5" s="3547" t="str">
        <f ca="1">结果表!H119</f>
        <v>壹拾玖亿贰仟零肆拾叁万元整</v>
      </c>
      <c r="I5" s="3547"/>
    </row>
    <row r="6" spans="1:9" ht="15.75">
      <c r="A6" s="3548" t="str">
        <f>结果表!A120</f>
        <v>估价师知悉的法定优先受偿款</v>
      </c>
      <c r="B6" s="3548"/>
      <c r="C6" s="3548"/>
      <c r="D6" s="3548">
        <f>结果表!D120</f>
        <v>0</v>
      </c>
      <c r="E6" s="3548"/>
      <c r="F6" s="3548"/>
      <c r="G6" s="3548"/>
      <c r="H6" s="3548"/>
      <c r="I6" s="3548"/>
    </row>
    <row r="7" spans="1:9" ht="15">
      <c r="A7" s="3547" t="s">
        <v>927</v>
      </c>
      <c r="B7" s="3547"/>
      <c r="C7" s="3547"/>
      <c r="D7" s="3549" t="str">
        <f>结果表!D121</f>
        <v>零元整</v>
      </c>
      <c r="E7" s="3550"/>
      <c r="F7" s="3550"/>
      <c r="G7" s="3550"/>
      <c r="H7" s="3550"/>
      <c r="I7" s="3551"/>
    </row>
    <row r="8" spans="1:9" ht="15.75">
      <c r="A8" s="3548" t="str">
        <f>结果表!A122</f>
        <v>房地产抵押价值</v>
      </c>
      <c r="B8" s="3548"/>
      <c r="C8" s="3548"/>
      <c r="D8" s="3548">
        <f ca="1">结果表!D122</f>
        <v>192043</v>
      </c>
      <c r="E8" s="3548"/>
      <c r="F8" s="3548"/>
      <c r="G8" s="3548"/>
      <c r="H8" s="3548"/>
      <c r="I8" s="3548"/>
    </row>
    <row r="9" spans="1:9" ht="15">
      <c r="A9" s="3547" t="s">
        <v>927</v>
      </c>
      <c r="B9" s="3547"/>
      <c r="C9" s="3547"/>
      <c r="D9" s="3547" t="str">
        <f ca="1">结果表!D123</f>
        <v>壹拾玖亿贰仟零肆拾叁万元整</v>
      </c>
      <c r="E9" s="3547"/>
      <c r="F9" s="3547"/>
      <c r="G9" s="3547"/>
      <c r="H9" s="3547"/>
      <c r="I9" s="3547"/>
    </row>
    <row r="10" spans="1:9" ht="15.75">
      <c r="A10" s="3548" t="str">
        <f>结果表!A124</f>
        <v/>
      </c>
      <c r="B10" s="3548"/>
      <c r="C10" s="3548"/>
      <c r="D10" s="3548" t="str">
        <f>结果表!D124</f>
        <v>——</v>
      </c>
      <c r="E10" s="3548"/>
      <c r="F10" s="3548"/>
      <c r="G10" s="3548"/>
      <c r="H10" s="3548"/>
      <c r="I10" s="3548"/>
    </row>
    <row r="11" spans="1:9" ht="15">
      <c r="A11" s="3547" t="s">
        <v>927</v>
      </c>
      <c r="B11" s="3547"/>
      <c r="C11" s="3547"/>
      <c r="D11" s="3547" t="e">
        <f>结果表!D125</f>
        <v>#VALUE!</v>
      </c>
      <c r="E11" s="3547"/>
      <c r="F11" s="3547"/>
      <c r="G11" s="3547"/>
      <c r="H11" s="3547"/>
      <c r="I11" s="3547"/>
    </row>
    <row r="12" spans="1:9" ht="15.75">
      <c r="A12" s="3548" t="str">
        <f>结果表!A126</f>
        <v/>
      </c>
      <c r="B12" s="3548"/>
      <c r="C12" s="3548"/>
      <c r="D12" s="3548" t="str">
        <f>结果表!D126</f>
        <v>——</v>
      </c>
      <c r="E12" s="3548"/>
      <c r="F12" s="3548"/>
      <c r="G12" s="3548"/>
      <c r="H12" s="3548"/>
      <c r="I12" s="3548"/>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84" t="s">
        <v>3239</v>
      </c>
      <c r="B1" s="3884"/>
      <c r="C1" s="3884"/>
      <c r="D1" s="3884"/>
      <c r="E1" s="3884"/>
      <c r="F1" s="3885"/>
    </row>
    <row r="2" spans="1:6">
      <c r="A2" s="3287" t="s">
        <v>3240</v>
      </c>
      <c r="B2" s="3288"/>
      <c r="C2" s="3288"/>
      <c r="D2" s="3288"/>
      <c r="E2" s="3288"/>
      <c r="F2" s="3288"/>
    </row>
    <row r="3" spans="1:6">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2845</v>
      </c>
      <c r="C1" s="3207"/>
      <c r="D1" s="3207"/>
      <c r="E1" s="3207"/>
      <c r="F1" s="3207"/>
      <c r="G1" s="3207"/>
      <c r="H1" s="3207"/>
      <c r="I1" s="3207"/>
      <c r="J1" s="3161"/>
      <c r="K1" s="3207" t="s">
        <v>454</v>
      </c>
      <c r="L1" s="3207"/>
      <c r="M1" s="3207"/>
      <c r="N1" s="3207"/>
      <c r="O1" s="3207"/>
      <c r="P1" s="3207"/>
      <c r="Q1" s="3161"/>
      <c r="R1" s="3886" t="s">
        <v>456</v>
      </c>
      <c r="S1" s="3887"/>
      <c r="T1" s="3887"/>
      <c r="U1" s="3887"/>
      <c r="V1" s="3887"/>
      <c r="W1" s="3887"/>
      <c r="X1" s="3161"/>
      <c r="Y1" s="3886" t="s">
        <v>457</v>
      </c>
      <c r="Z1" s="3887"/>
      <c r="AA1" s="3887"/>
      <c r="AB1" s="3887"/>
      <c r="AC1" s="3887"/>
      <c r="AD1" s="3887"/>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3376</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3377</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3375</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3373</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886" t="s">
        <v>2833</v>
      </c>
      <c r="S21" s="3887"/>
      <c r="T21" s="3887"/>
      <c r="U21" s="3887"/>
      <c r="V21" s="3887"/>
      <c r="W21" s="3887"/>
      <c r="X21" s="3161"/>
      <c r="Y21" s="3886" t="s">
        <v>2834</v>
      </c>
      <c r="Z21" s="3887"/>
      <c r="AA21" s="3887"/>
      <c r="AB21" s="3887"/>
      <c r="AC21" s="3887"/>
      <c r="AD21" s="3887"/>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3376</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1.0286999999999999</v>
      </c>
      <c r="T25" s="3179">
        <f>ROUND(IF([4]项目基本情况!$B$8="出让",SUMPRODUCT(PRODUCT(1+M25:M$36)),SUMPRODUCT(PRODUCT(1+M25:M$35))),4)</f>
        <v>1.0164</v>
      </c>
      <c r="U25" s="3179">
        <f>ROUND(IF([4]项目基本情况!$B$8="出让",SUMPRODUCT(PRODUCT(1+N25:N$36)),SUMPRODUCT(PRODUCT(1+N25:N$35))),4)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3377</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1.0286999999999999</v>
      </c>
      <c r="T26" s="3179">
        <f>ROUND(IF([4]项目基本情况!$B$8="出让",SUMPRODUCT(PRODUCT(1+M26:M$36)),SUMPRODUCT(PRODUCT(1+M26:M$35))),4)</f>
        <v>1.0164</v>
      </c>
      <c r="U26" s="3179">
        <f>ROUND(IF([4]项目基本情况!$B$8="出让",SUMPRODUCT(PRODUCT(1+N26:N$36)),SUMPRODUCT(PRODUCT(1+N26:N$35))),4)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3375</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1.0286999999999999</v>
      </c>
      <c r="T27" s="3179">
        <f>ROUND(IF([4]项目基本情况!$B$8="出让",SUMPRODUCT(PRODUCT(1+M27:M$36)),SUMPRODUCT(PRODUCT(1+M27:M$35))),4)</f>
        <v>1.0164</v>
      </c>
      <c r="U27" s="3179">
        <f>ROUND(IF([4]项目基本情况!$B$8="出让",SUMPRODUCT(PRODUCT(1+N27:N$36)),SUMPRODUCT(PRODUCT(1+N27:N$35))),4)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ROUND(IF([4]项目基本情况!$B$8="出让",SUMPRODUCT(PRODUCT(1+L28:L$36)),SUMPRODUCT(PRODUCT(1+L28:L$35))),4)</f>
        <v>1.0286999999999999</v>
      </c>
      <c r="T28" s="3179">
        <f>ROUND(IF([4]项目基本情况!$B$8="出让",SUMPRODUCT(PRODUCT(1+M28:M$36)),SUMPRODUCT(PRODUCT(1+M28:M$35))),4)</f>
        <v>1.0164</v>
      </c>
      <c r="U28" s="3179">
        <f>ROUND(IF([4]项目基本情况!$B$8="出让",SUMPRODUCT(PRODUCT(1+N28:N$36)),SUMPRODUCT(PRODUCT(1+N28:N$35))),4)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3371</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3372</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93" t="s">
        <v>452</v>
      </c>
      <c r="C1" s="3893"/>
      <c r="D1" s="3893"/>
      <c r="E1" s="3893"/>
      <c r="F1" s="3893"/>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9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9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9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9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9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9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9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9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9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9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9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9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9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9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9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9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9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9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9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9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9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9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9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9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9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9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9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9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9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9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9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9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9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9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9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9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9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9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9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9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9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9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9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9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9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9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9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9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9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9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9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9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9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9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9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9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9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9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9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9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9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9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9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9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9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9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9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9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2313</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4" t="s">
        <v>949</v>
      </c>
      <c r="B1" s="3554"/>
      <c r="C1" s="3554"/>
      <c r="D1" s="3554"/>
    </row>
    <row r="2" spans="1:4" ht="18">
      <c r="A2" s="3555" t="s">
        <v>933</v>
      </c>
      <c r="B2" s="3555"/>
      <c r="C2" s="3555"/>
      <c r="D2" s="355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5" t="s">
        <v>939</v>
      </c>
      <c r="B6" s="3555"/>
      <c r="C6" s="3555"/>
      <c r="D6" s="3555"/>
    </row>
    <row r="7" spans="1:4" ht="18.75">
      <c r="A7" s="1505" t="s">
        <v>934</v>
      </c>
      <c r="B7" s="1507" t="s">
        <v>940</v>
      </c>
      <c r="C7" s="1505" t="s">
        <v>936</v>
      </c>
      <c r="D7" s="1505" t="s">
        <v>937</v>
      </c>
    </row>
    <row r="8" spans="1:4" ht="56.25" customHeight="1">
      <c r="A8" s="1511" t="s">
        <v>390</v>
      </c>
      <c r="B8" s="1511" t="s">
        <v>0</v>
      </c>
      <c r="C8" s="1508"/>
      <c r="D8" s="1509" t="s">
        <v>938</v>
      </c>
    </row>
    <row r="9" spans="1:4">
      <c r="A9" s="674"/>
      <c r="B9" s="674"/>
      <c r="C9" s="674"/>
      <c r="D9" s="674"/>
    </row>
    <row r="10" spans="1:4" ht="18.75">
      <c r="A10" s="1512" t="s">
        <v>941</v>
      </c>
      <c r="B10" s="674"/>
      <c r="C10" s="674"/>
      <c r="D10" s="674"/>
    </row>
    <row r="11" spans="1:4" ht="30" customHeight="1">
      <c r="A11" s="3556" t="s">
        <v>942</v>
      </c>
      <c r="B11" s="3557"/>
      <c r="C11" s="3557"/>
      <c r="D11" s="3557"/>
    </row>
    <row r="12" spans="1:4" ht="15.75">
      <c r="A12" s="35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8"/>
      <c r="C12" s="3558"/>
      <c r="D12" s="3558"/>
    </row>
    <row r="13" spans="1:4" ht="30" customHeight="1">
      <c r="A13" s="35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8"/>
      <c r="C13" s="3558"/>
      <c r="D13" s="3558"/>
    </row>
    <row r="14" spans="1:4" ht="15.75" customHeight="1">
      <c r="A14" s="3557" t="str">
        <f>IF(项目基本情况!B8="抵押","4.本次评估估价师所知悉的法定优先受偿款情况说明如下：","——")</f>
        <v>4.本次评估估价师所知悉的法定优先受偿款情况说明如下：</v>
      </c>
      <c r="B14" s="3558"/>
      <c r="C14" s="3558"/>
      <c r="D14" s="3558"/>
    </row>
    <row r="15" spans="1:4" ht="42" customHeight="1">
      <c r="A15" s="35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7"/>
      <c r="C15" s="3557"/>
      <c r="D15" s="3557"/>
    </row>
    <row r="16" spans="1:4" ht="30" customHeight="1">
      <c r="A16" s="3560" t="s">
        <v>943</v>
      </c>
      <c r="B16" s="3560"/>
      <c r="C16" s="3560"/>
      <c r="D16" s="3560"/>
    </row>
    <row r="17" spans="1:4" ht="144" customHeight="1">
      <c r="A17" s="3560" t="s">
        <v>944</v>
      </c>
      <c r="B17" s="3560"/>
      <c r="C17" s="3560"/>
      <c r="D17" s="3560"/>
    </row>
    <row r="18" spans="1:4" ht="15.75" customHeight="1">
      <c r="A18" s="3557" t="str">
        <f>IF(项目基本情况!B8="抵押",结果表!K120,"——")</f>
        <v>故，本次评估不存在估价师知悉的法定优先受偿款</v>
      </c>
      <c r="B18" s="3557"/>
      <c r="C18" s="3557"/>
      <c r="D18" s="3557"/>
    </row>
    <row r="19" spans="1:4" ht="46.5" customHeight="1">
      <c r="A19" s="35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7"/>
      <c r="C19" s="3557"/>
      <c r="D19" s="3557"/>
    </row>
    <row r="20" spans="1:4" ht="57.75" customHeight="1">
      <c r="A20" s="35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7"/>
      <c r="C20" s="3557"/>
      <c r="D20" s="3557"/>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1"/>
      <c r="C21" s="3561"/>
      <c r="D21" s="3561"/>
    </row>
    <row r="22" spans="1:4" ht="18.75" customHeight="1">
      <c r="A22" s="3562" t="s">
        <v>945</v>
      </c>
      <c r="B22" s="3562"/>
      <c r="C22" s="3562"/>
      <c r="D22" s="356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59">
        <v>42551</v>
      </c>
      <c r="D31" s="35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workbookViewId="0">
      <selection activeCell="J18" sqref="J18"/>
    </sheetView>
  </sheetViews>
  <sheetFormatPr defaultRowHeight="12"/>
  <cols>
    <col min="1" max="1" width="9.875" style="3468" customWidth="1"/>
    <col min="2" max="2" width="21.875" style="3468" customWidth="1"/>
    <col min="3" max="3" width="7.5" style="3468" customWidth="1"/>
    <col min="4" max="4" width="9.375" style="3468" bestFit="1" customWidth="1"/>
    <col min="5" max="5" width="5" style="3468" bestFit="1" customWidth="1"/>
    <col min="6" max="6" width="8" style="3468" bestFit="1" customWidth="1"/>
    <col min="7" max="7" width="5.875" style="3468" bestFit="1" customWidth="1"/>
    <col min="8" max="8" width="5.75" style="3468" customWidth="1"/>
    <col min="9" max="9" width="12" style="3468" customWidth="1"/>
    <col min="10" max="10" width="10.875" style="3468" customWidth="1"/>
    <col min="11" max="11" width="15" style="3468" customWidth="1"/>
    <col min="12" max="13" width="9" style="3468"/>
    <col min="14" max="14" width="11.25" style="3468" bestFit="1" customWidth="1"/>
    <col min="15" max="15" width="12.375" style="3468" customWidth="1"/>
    <col min="16" max="16" width="9" style="3468"/>
    <col min="17" max="17" width="13.125" style="3468" customWidth="1"/>
    <col min="18" max="16384" width="9" style="3468"/>
  </cols>
  <sheetData>
    <row r="1" spans="1:22">
      <c r="A1" s="3497" t="s">
        <v>3460</v>
      </c>
      <c r="B1" s="3481"/>
      <c r="C1" s="3481"/>
      <c r="D1" s="3481"/>
      <c r="E1" s="3481"/>
      <c r="F1" s="3481"/>
      <c r="G1" s="3481"/>
      <c r="H1" s="3498"/>
      <c r="I1" s="3497" t="s">
        <v>3461</v>
      </c>
      <c r="J1" s="3481"/>
      <c r="K1" s="3481"/>
      <c r="L1" s="3481"/>
      <c r="M1" s="3481"/>
      <c r="N1" s="3498"/>
      <c r="O1" s="3497" t="s">
        <v>3462</v>
      </c>
      <c r="P1" s="3481"/>
      <c r="Q1" s="3481"/>
      <c r="R1" s="3481"/>
      <c r="S1" s="3481"/>
      <c r="T1" s="3481"/>
      <c r="U1" s="3481"/>
      <c r="V1" s="3481"/>
    </row>
    <row r="2" spans="1:22">
      <c r="A2" s="3481" t="s">
        <v>3463</v>
      </c>
      <c r="B2" s="3481" t="s">
        <v>3464</v>
      </c>
      <c r="C2" s="3481"/>
      <c r="D2" s="3481"/>
      <c r="E2" s="3481"/>
      <c r="F2" s="3481"/>
      <c r="G2" s="3481"/>
      <c r="H2" s="3498"/>
      <c r="I2" s="3481" t="s">
        <v>3465</v>
      </c>
      <c r="J2" s="3481" t="s">
        <v>3466</v>
      </c>
      <c r="K2" s="3481"/>
      <c r="L2" s="3481"/>
      <c r="M2" s="3481"/>
      <c r="N2" s="3498"/>
      <c r="O2" s="3481" t="s">
        <v>3467</v>
      </c>
      <c r="P2" s="3481">
        <v>371265</v>
      </c>
      <c r="Q2" s="3481"/>
      <c r="R2" s="3481"/>
      <c r="S2" s="3481"/>
      <c r="T2" s="3481"/>
      <c r="U2" s="3481"/>
      <c r="V2" s="3481"/>
    </row>
    <row r="3" spans="1:22">
      <c r="A3" s="3481" t="s">
        <v>3465</v>
      </c>
      <c r="B3" s="3481" t="s">
        <v>3468</v>
      </c>
      <c r="C3" s="3481"/>
      <c r="D3" s="3481"/>
      <c r="E3" s="3481"/>
      <c r="F3" s="3481"/>
      <c r="G3" s="3481"/>
      <c r="H3" s="3498"/>
      <c r="I3" s="3481" t="s">
        <v>3467</v>
      </c>
      <c r="J3" s="3481">
        <v>341552</v>
      </c>
      <c r="K3" s="3481"/>
      <c r="L3" s="3481"/>
      <c r="M3" s="3481"/>
      <c r="N3" s="3498"/>
      <c r="O3" s="3481" t="s">
        <v>3413</v>
      </c>
      <c r="P3" s="3481">
        <f>P4+P5</f>
        <v>300289</v>
      </c>
      <c r="Q3" s="3481"/>
      <c r="R3" s="3481"/>
      <c r="S3" s="3481"/>
      <c r="T3" s="3481"/>
      <c r="U3" s="3481"/>
      <c r="V3" s="3481"/>
    </row>
    <row r="4" spans="1:22">
      <c r="A4" s="3481" t="s">
        <v>3469</v>
      </c>
      <c r="B4" s="3481" t="s">
        <v>3470</v>
      </c>
      <c r="C4" s="3481"/>
      <c r="D4" s="3481"/>
      <c r="E4" s="3481"/>
      <c r="F4" s="3481"/>
      <c r="G4" s="3481"/>
      <c r="H4" s="3498"/>
      <c r="I4" s="3481" t="s">
        <v>3413</v>
      </c>
      <c r="J4" s="3481">
        <f>J5+J6</f>
        <v>300289</v>
      </c>
      <c r="K4" s="3481"/>
      <c r="L4" s="3481"/>
      <c r="M4" s="3481"/>
      <c r="N4" s="3498"/>
      <c r="O4" s="3481" t="s">
        <v>3471</v>
      </c>
      <c r="P4" s="3481">
        <v>282889</v>
      </c>
      <c r="Q4" s="3481"/>
      <c r="R4" s="3481"/>
      <c r="S4" s="3481"/>
      <c r="T4" s="3481"/>
      <c r="U4" s="3481"/>
      <c r="V4" s="3481"/>
    </row>
    <row r="5" spans="1:22">
      <c r="A5" s="3481" t="s">
        <v>3472</v>
      </c>
      <c r="B5" s="3481">
        <v>106542.77</v>
      </c>
      <c r="C5" s="3481"/>
      <c r="D5" s="3481">
        <f>D6*B5/B6</f>
        <v>22138.841034208712</v>
      </c>
      <c r="E5" s="3481"/>
      <c r="F5" s="3481"/>
      <c r="G5" s="3481"/>
      <c r="H5" s="3498"/>
      <c r="I5" s="3481" t="s">
        <v>3471</v>
      </c>
      <c r="J5" s="3481">
        <v>282889</v>
      </c>
      <c r="K5" s="3481"/>
      <c r="L5" s="3481"/>
      <c r="M5" s="3481"/>
      <c r="N5" s="3498"/>
      <c r="O5" s="3481" t="s">
        <v>3473</v>
      </c>
      <c r="P5" s="3481">
        <v>17400</v>
      </c>
      <c r="Q5" s="3481"/>
      <c r="R5" s="3481"/>
      <c r="S5" s="3481"/>
      <c r="T5" s="3481"/>
      <c r="U5" s="3481"/>
      <c r="V5" s="3481"/>
    </row>
    <row r="6" spans="1:22">
      <c r="A6" s="3481" t="s">
        <v>3467</v>
      </c>
      <c r="B6" s="3481">
        <v>300289</v>
      </c>
      <c r="C6" s="3481">
        <f>B6-B7-B8</f>
        <v>0</v>
      </c>
      <c r="D6" s="3481">
        <f>K25</f>
        <v>62397.95</v>
      </c>
      <c r="E6" s="3481"/>
      <c r="F6" s="3481"/>
      <c r="G6" s="3481"/>
      <c r="H6" s="3498"/>
      <c r="I6" s="3481" t="s">
        <v>3474</v>
      </c>
      <c r="J6" s="3481">
        <v>17400</v>
      </c>
      <c r="K6" s="3481"/>
      <c r="L6" s="3481"/>
      <c r="M6" s="3481"/>
      <c r="N6" s="3498"/>
      <c r="O6" s="3481" t="s">
        <v>3423</v>
      </c>
      <c r="P6" s="3481">
        <v>70976</v>
      </c>
      <c r="Q6" s="3481"/>
      <c r="R6" s="3481"/>
      <c r="S6" s="3481"/>
      <c r="T6" s="3481"/>
      <c r="U6" s="3481"/>
      <c r="V6" s="3481"/>
    </row>
    <row r="7" spans="1:22">
      <c r="A7" s="3481" t="s">
        <v>3475</v>
      </c>
      <c r="B7" s="3481">
        <v>282889</v>
      </c>
      <c r="C7" s="3481"/>
      <c r="D7" s="3481"/>
      <c r="E7" s="3481"/>
      <c r="F7" s="3481"/>
      <c r="G7" s="3481"/>
      <c r="H7" s="3498"/>
      <c r="I7" s="3481" t="s">
        <v>3423</v>
      </c>
      <c r="J7" s="3481">
        <v>41263</v>
      </c>
      <c r="K7" s="3481"/>
      <c r="L7" s="3481"/>
      <c r="M7" s="3481"/>
      <c r="N7" s="3498"/>
      <c r="O7" s="3481" t="s">
        <v>3476</v>
      </c>
      <c r="P7" s="3481">
        <v>48977</v>
      </c>
      <c r="Q7" s="3481"/>
      <c r="R7" s="3481"/>
      <c r="S7" s="3481"/>
      <c r="T7" s="3481"/>
      <c r="U7" s="3481"/>
      <c r="V7" s="3481"/>
    </row>
    <row r="8" spans="1:22">
      <c r="A8" s="3481" t="s">
        <v>3474</v>
      </c>
      <c r="B8" s="3481">
        <v>17400</v>
      </c>
      <c r="C8" s="3481"/>
      <c r="D8" s="3481"/>
      <c r="E8" s="3481"/>
      <c r="F8" s="3481"/>
      <c r="G8" s="3481"/>
      <c r="H8" s="3498"/>
      <c r="I8" s="3481" t="s">
        <v>3476</v>
      </c>
      <c r="J8" s="3481">
        <v>29568</v>
      </c>
      <c r="K8" s="3481"/>
      <c r="L8" s="3481"/>
      <c r="M8" s="3481"/>
      <c r="N8" s="3498"/>
      <c r="O8" s="3481"/>
      <c r="P8" s="3481">
        <v>8846</v>
      </c>
      <c r="Q8" s="3481"/>
      <c r="R8" s="3481"/>
      <c r="S8" s="3481"/>
      <c r="T8" s="3481"/>
      <c r="U8" s="3481"/>
      <c r="V8" s="3481"/>
    </row>
    <row r="9" spans="1:22">
      <c r="A9" s="3481" t="s">
        <v>3477</v>
      </c>
      <c r="B9" s="3481" t="s">
        <v>3478</v>
      </c>
      <c r="C9" s="3481"/>
      <c r="D9" s="3481"/>
      <c r="E9" s="3481"/>
      <c r="F9" s="3481"/>
      <c r="G9" s="3481"/>
      <c r="H9" s="3498"/>
      <c r="I9" s="3481"/>
      <c r="J9" s="3481">
        <f>J7-J8</f>
        <v>11695</v>
      </c>
      <c r="K9" s="3481"/>
      <c r="L9" s="3481"/>
      <c r="M9" s="3481"/>
      <c r="N9" s="3498"/>
      <c r="O9" s="3481" t="s">
        <v>3479</v>
      </c>
      <c r="P9" s="3481" t="s">
        <v>3480</v>
      </c>
      <c r="Q9" s="3481"/>
      <c r="R9" s="3481"/>
      <c r="S9" s="3481"/>
      <c r="T9" s="3481"/>
      <c r="U9" s="3481"/>
      <c r="V9" s="3481"/>
    </row>
    <row r="10" spans="1:22">
      <c r="A10" s="3481"/>
      <c r="B10" s="3481" t="s">
        <v>3481</v>
      </c>
      <c r="C10" s="3481"/>
      <c r="D10" s="3481"/>
      <c r="E10" s="3481"/>
      <c r="F10" s="3481"/>
      <c r="G10" s="3481"/>
      <c r="H10" s="3498"/>
      <c r="I10" s="3481" t="s">
        <v>3479</v>
      </c>
      <c r="J10" s="3481" t="s">
        <v>3482</v>
      </c>
      <c r="K10" s="3481"/>
      <c r="L10" s="3481"/>
      <c r="M10" s="3481"/>
      <c r="N10" s="3498"/>
      <c r="O10" s="3481" t="s">
        <v>3483</v>
      </c>
      <c r="P10" s="3481" t="s">
        <v>3484</v>
      </c>
      <c r="Q10" s="3481"/>
      <c r="R10" s="3481"/>
      <c r="S10" s="3481"/>
      <c r="T10" s="3481"/>
      <c r="U10" s="3481"/>
      <c r="V10" s="3481"/>
    </row>
    <row r="11" spans="1:22">
      <c r="A11" s="3481" t="s">
        <v>3483</v>
      </c>
      <c r="B11" s="3481" t="s">
        <v>3485</v>
      </c>
      <c r="C11" s="3481"/>
      <c r="D11" s="3499" t="s">
        <v>3486</v>
      </c>
      <c r="E11" s="3481"/>
      <c r="F11" s="3481"/>
      <c r="G11" s="3481"/>
      <c r="H11" s="3498"/>
      <c r="I11" s="3481" t="s">
        <v>3483</v>
      </c>
      <c r="J11" s="3481" t="s">
        <v>3484</v>
      </c>
      <c r="K11" s="3481"/>
      <c r="L11" s="3481"/>
      <c r="M11" s="3481"/>
      <c r="N11" s="3498"/>
      <c r="O11" s="3481"/>
      <c r="P11" s="3481" t="s">
        <v>3487</v>
      </c>
      <c r="Q11" s="3481"/>
      <c r="R11" s="3481">
        <v>953598518</v>
      </c>
      <c r="S11" s="3481"/>
      <c r="T11" s="3481"/>
      <c r="U11" s="3481"/>
      <c r="V11" s="3481"/>
    </row>
    <row r="12" spans="1:22">
      <c r="A12" s="3481" t="s">
        <v>3488</v>
      </c>
      <c r="B12" s="3481">
        <v>1780000000</v>
      </c>
      <c r="C12" s="3481"/>
      <c r="D12" s="3481" t="s">
        <v>3489</v>
      </c>
      <c r="E12" s="3481">
        <f>ROUND(B12/B6,0)</f>
        <v>5928</v>
      </c>
      <c r="F12" s="3481"/>
      <c r="G12" s="3481"/>
      <c r="H12" s="3498"/>
      <c r="I12" s="3481"/>
      <c r="J12" s="3481" t="s">
        <v>3487</v>
      </c>
      <c r="K12" s="3481"/>
      <c r="L12" s="3481">
        <v>916981548</v>
      </c>
      <c r="M12" s="3481"/>
      <c r="N12" s="3498"/>
      <c r="O12" s="3481"/>
      <c r="P12" s="3481"/>
      <c r="Q12" s="3481" t="s">
        <v>3490</v>
      </c>
      <c r="R12" s="3481">
        <f>R11-L12</f>
        <v>36616970</v>
      </c>
      <c r="S12" s="3481"/>
      <c r="T12" s="3481"/>
      <c r="U12" s="3481"/>
      <c r="V12" s="3481"/>
    </row>
    <row r="13" spans="1:22">
      <c r="A13" s="3481"/>
      <c r="B13" s="3481" t="s">
        <v>3491</v>
      </c>
      <c r="C13" s="3481"/>
      <c r="D13" s="3481"/>
      <c r="E13" s="3481"/>
      <c r="F13" s="3481"/>
      <c r="G13" s="3481"/>
      <c r="H13" s="3498"/>
      <c r="I13" s="3481"/>
      <c r="J13" s="3481"/>
      <c r="K13" s="3481" t="s">
        <v>3490</v>
      </c>
      <c r="L13" s="3481">
        <f>L12-D14</f>
        <v>29154048</v>
      </c>
      <c r="M13" s="3481"/>
      <c r="N13" s="3498"/>
      <c r="O13" s="3481"/>
      <c r="P13" s="3481"/>
      <c r="Q13" s="3481"/>
      <c r="R13" s="3481"/>
      <c r="S13" s="3481"/>
      <c r="T13" s="3481"/>
      <c r="U13" s="3481"/>
      <c r="V13" s="3481"/>
    </row>
    <row r="14" spans="1:22">
      <c r="A14" s="3481"/>
      <c r="B14" s="3481" t="s">
        <v>3487</v>
      </c>
      <c r="C14" s="3481"/>
      <c r="D14" s="3481">
        <v>887827500</v>
      </c>
      <c r="E14" s="3481"/>
      <c r="F14" s="3481" t="s">
        <v>3489</v>
      </c>
      <c r="G14" s="3481">
        <f>ROUND(D14/B6,0)</f>
        <v>2957</v>
      </c>
      <c r="H14" s="3498"/>
      <c r="I14" s="3481"/>
      <c r="J14" s="3481"/>
      <c r="K14" s="3481"/>
      <c r="L14" s="3481"/>
      <c r="M14" s="3481"/>
      <c r="N14" s="3498"/>
      <c r="O14" s="3481"/>
      <c r="P14" s="3481"/>
      <c r="Q14" s="3481"/>
      <c r="R14" s="3481"/>
      <c r="S14" s="3481"/>
      <c r="T14" s="3481"/>
      <c r="U14" s="3481"/>
      <c r="V14" s="3481"/>
    </row>
    <row r="15" spans="1:22">
      <c r="A15" s="3481" t="s">
        <v>3492</v>
      </c>
      <c r="B15" s="3499">
        <v>39143</v>
      </c>
      <c r="C15" s="3481"/>
      <c r="D15" s="3481"/>
      <c r="E15" s="3481"/>
      <c r="F15" s="3481"/>
      <c r="G15" s="3481"/>
      <c r="H15" s="3498"/>
      <c r="I15" s="3481"/>
      <c r="J15" s="3481"/>
      <c r="K15" s="3481"/>
      <c r="L15" s="3481"/>
      <c r="M15" s="3481"/>
      <c r="N15" s="3498"/>
      <c r="O15" s="3481"/>
      <c r="P15" s="3481"/>
      <c r="Q15" s="3481"/>
      <c r="R15" s="3481"/>
      <c r="S15" s="3481"/>
      <c r="T15" s="3481"/>
      <c r="U15" s="3481"/>
      <c r="V15" s="3481"/>
    </row>
    <row r="18" spans="1:15">
      <c r="A18" s="3497" t="s">
        <v>3493</v>
      </c>
      <c r="B18" s="3481"/>
      <c r="C18" s="3481"/>
      <c r="D18" s="3481"/>
      <c r="E18" s="3481"/>
      <c r="F18" s="3481"/>
      <c r="G18" s="3481"/>
      <c r="H18" s="3498"/>
      <c r="I18" s="3500" t="s">
        <v>3494</v>
      </c>
      <c r="J18" s="3483"/>
      <c r="K18" s="3483"/>
      <c r="L18" s="3483"/>
      <c r="M18" s="3483"/>
      <c r="N18" s="3483"/>
      <c r="O18" s="3483"/>
    </row>
    <row r="19" spans="1:15">
      <c r="A19" s="3481" t="s">
        <v>3495</v>
      </c>
      <c r="B19" s="3481" t="s">
        <v>3496</v>
      </c>
      <c r="C19" s="3481"/>
      <c r="D19" s="3481"/>
      <c r="E19" s="3481"/>
      <c r="F19" s="3481"/>
      <c r="G19" s="3481"/>
      <c r="H19" s="3498"/>
      <c r="I19" s="3483" t="s">
        <v>3495</v>
      </c>
      <c r="J19" s="3483" t="s">
        <v>3497</v>
      </c>
      <c r="K19" s="3483"/>
      <c r="L19" s="3483"/>
      <c r="M19" s="3483"/>
      <c r="N19" s="3483"/>
      <c r="O19" s="3483"/>
    </row>
    <row r="20" spans="1:15">
      <c r="A20" s="3481" t="s">
        <v>3498</v>
      </c>
      <c r="B20" s="3481" t="s">
        <v>3499</v>
      </c>
      <c r="C20" s="3481"/>
      <c r="D20" s="3481"/>
      <c r="E20" s="3481"/>
      <c r="F20" s="3481"/>
      <c r="G20" s="3481"/>
      <c r="H20" s="3498"/>
      <c r="I20" s="3483" t="s">
        <v>3500</v>
      </c>
      <c r="J20" s="3483" t="s">
        <v>3501</v>
      </c>
      <c r="K20" s="3483"/>
      <c r="L20" s="3483"/>
      <c r="M20" s="3483"/>
      <c r="N20" s="3483"/>
      <c r="O20" s="3483"/>
    </row>
    <row r="21" spans="1:15">
      <c r="A21" s="3481" t="s">
        <v>3502</v>
      </c>
      <c r="B21" s="3481" t="s">
        <v>3503</v>
      </c>
      <c r="C21" s="3481"/>
      <c r="D21" s="3481"/>
      <c r="E21" s="3481"/>
      <c r="F21" s="3481"/>
      <c r="G21" s="3481"/>
      <c r="H21" s="3498"/>
      <c r="I21" s="3483" t="s">
        <v>3504</v>
      </c>
      <c r="J21" s="3483" t="s">
        <v>3505</v>
      </c>
      <c r="K21" s="3483"/>
      <c r="L21" s="3483"/>
      <c r="M21" s="3483"/>
      <c r="N21" s="3483"/>
      <c r="O21" s="3483"/>
    </row>
    <row r="22" spans="1:15">
      <c r="A22" s="3481" t="s">
        <v>3506</v>
      </c>
      <c r="B22" s="3481" t="s">
        <v>3507</v>
      </c>
      <c r="C22" s="3481"/>
      <c r="D22" s="3481"/>
      <c r="E22" s="3481"/>
      <c r="F22" s="3481"/>
      <c r="G22" s="3481"/>
      <c r="H22" s="3498"/>
      <c r="I22" s="3483" t="s">
        <v>3508</v>
      </c>
      <c r="J22" s="3483" t="s">
        <v>3509</v>
      </c>
      <c r="K22" s="3483"/>
      <c r="L22" s="3483"/>
      <c r="M22" s="3483"/>
      <c r="N22" s="3483"/>
      <c r="O22" s="3483"/>
    </row>
    <row r="23" spans="1:15">
      <c r="A23" s="3481" t="s">
        <v>3510</v>
      </c>
      <c r="B23" s="3481">
        <v>135915</v>
      </c>
      <c r="C23" s="3481">
        <f>B23-B26</f>
        <v>0</v>
      </c>
      <c r="D23" s="3481"/>
      <c r="E23" s="3481"/>
      <c r="F23" s="3481"/>
      <c r="G23" s="3481"/>
      <c r="H23" s="3498"/>
      <c r="I23" s="3483" t="s">
        <v>3511</v>
      </c>
      <c r="J23" s="3483" t="s">
        <v>3512</v>
      </c>
      <c r="K23" s="3483"/>
      <c r="L23" s="3483"/>
      <c r="M23" s="3483"/>
      <c r="N23" s="3483"/>
      <c r="O23" s="3483"/>
    </row>
    <row r="24" spans="1:15">
      <c r="A24" s="3481"/>
      <c r="B24" s="3481"/>
      <c r="C24" s="3481"/>
      <c r="D24" s="3481"/>
      <c r="E24" s="3481"/>
      <c r="F24" s="3481"/>
      <c r="G24" s="3481"/>
      <c r="H24" s="3498"/>
      <c r="I24" s="3483" t="s">
        <v>3513</v>
      </c>
      <c r="J24" s="3483" t="s">
        <v>3514</v>
      </c>
      <c r="K24" s="3483">
        <v>35886.519999999997</v>
      </c>
      <c r="L24" s="3483"/>
      <c r="M24" s="3483">
        <f>K25/K24</f>
        <v>1.7387573384100772</v>
      </c>
      <c r="N24" s="3483"/>
      <c r="O24" s="3483"/>
    </row>
    <row r="25" spans="1:15">
      <c r="A25" s="3481" t="s">
        <v>3515</v>
      </c>
      <c r="B25" s="3481" t="s">
        <v>3516</v>
      </c>
      <c r="C25" s="3481" t="s">
        <v>3517</v>
      </c>
      <c r="D25" s="3481" t="s">
        <v>3423</v>
      </c>
      <c r="E25" s="3481" t="s">
        <v>3517</v>
      </c>
      <c r="F25" s="3481" t="s">
        <v>3423</v>
      </c>
      <c r="G25" s="3481" t="s">
        <v>3518</v>
      </c>
      <c r="H25" s="3498"/>
      <c r="I25" s="3483"/>
      <c r="J25" s="3483" t="s">
        <v>3519</v>
      </c>
      <c r="K25" s="3483">
        <v>62397.95</v>
      </c>
      <c r="L25" s="3483">
        <f>K25-N29</f>
        <v>0</v>
      </c>
      <c r="M25" s="3483"/>
      <c r="N25" s="3483"/>
      <c r="O25" s="3483"/>
    </row>
    <row r="26" spans="1:15">
      <c r="A26" s="3481" t="s">
        <v>3520</v>
      </c>
      <c r="B26" s="3481">
        <v>135915</v>
      </c>
      <c r="C26" s="3481">
        <v>88431</v>
      </c>
      <c r="D26" s="3481">
        <f>B26-C26</f>
        <v>47484</v>
      </c>
      <c r="E26" s="3481" t="s">
        <v>3521</v>
      </c>
      <c r="F26" s="3481" t="s">
        <v>3522</v>
      </c>
      <c r="G26" s="3481">
        <v>16691</v>
      </c>
      <c r="H26" s="3498"/>
      <c r="I26" s="3483" t="s">
        <v>3407</v>
      </c>
      <c r="J26" s="3483" t="s">
        <v>3408</v>
      </c>
      <c r="K26" s="3483" t="s">
        <v>3409</v>
      </c>
      <c r="L26" s="3483" t="s">
        <v>3410</v>
      </c>
      <c r="M26" s="3483" t="s">
        <v>3411</v>
      </c>
      <c r="N26" s="3483" t="s">
        <v>3395</v>
      </c>
      <c r="O26" s="3483" t="s">
        <v>3412</v>
      </c>
    </row>
    <row r="27" spans="1:15">
      <c r="A27" s="3481"/>
      <c r="B27" s="3481" t="s">
        <v>3523</v>
      </c>
      <c r="C27" s="3481">
        <v>33014</v>
      </c>
      <c r="D27" s="3481"/>
      <c r="E27" s="3481"/>
      <c r="F27" s="3481"/>
      <c r="G27" s="3481"/>
      <c r="H27" s="3498"/>
      <c r="I27" s="3483">
        <v>1</v>
      </c>
      <c r="J27" s="3483" t="s">
        <v>3414</v>
      </c>
      <c r="K27" s="3485" t="s">
        <v>3415</v>
      </c>
      <c r="L27" s="3483">
        <v>101</v>
      </c>
      <c r="M27" s="3483" t="s">
        <v>3416</v>
      </c>
      <c r="N27" s="3483">
        <v>16278.9</v>
      </c>
      <c r="O27" s="3483" t="s">
        <v>3417</v>
      </c>
    </row>
    <row r="28" spans="1:15">
      <c r="A28" s="3481"/>
      <c r="B28" s="3481" t="s">
        <v>3403</v>
      </c>
      <c r="C28" s="3481">
        <v>40417</v>
      </c>
      <c r="D28" s="3481">
        <v>9500</v>
      </c>
      <c r="E28" s="3481"/>
      <c r="F28" s="3481"/>
      <c r="G28" s="3481"/>
      <c r="H28" s="3498"/>
      <c r="I28" s="3483"/>
      <c r="J28" s="3483"/>
      <c r="K28" s="3485" t="s">
        <v>3524</v>
      </c>
      <c r="L28" s="3483">
        <v>102</v>
      </c>
      <c r="M28" s="3483"/>
      <c r="N28" s="3483">
        <v>46119.05</v>
      </c>
      <c r="O28" s="3483" t="s">
        <v>3403</v>
      </c>
    </row>
    <row r="29" spans="1:15">
      <c r="A29" s="3481"/>
      <c r="B29" s="3481" t="s">
        <v>3417</v>
      </c>
      <c r="C29" s="3481">
        <v>15000</v>
      </c>
      <c r="D29" s="3481"/>
      <c r="E29" s="3481"/>
      <c r="F29" s="3481"/>
      <c r="G29" s="3481"/>
      <c r="H29" s="3498"/>
      <c r="I29" s="3483"/>
      <c r="J29" s="3483"/>
      <c r="K29" s="3483"/>
      <c r="L29" s="3483"/>
      <c r="M29" s="3483"/>
      <c r="N29" s="3483">
        <f>SUM(N27:N28)</f>
        <v>62397.950000000004</v>
      </c>
      <c r="O29" s="3483"/>
    </row>
    <row r="31" spans="1:15">
      <c r="J31" s="3468">
        <f>C26/K24</f>
        <v>2.4641843232500675</v>
      </c>
    </row>
    <row r="32" spans="1:15">
      <c r="I32" s="3468">
        <f>K24</f>
        <v>35886.519999999997</v>
      </c>
      <c r="J32" s="3468">
        <f>J33*I32/I33</f>
        <v>25321.949097420587</v>
      </c>
    </row>
    <row r="33" spans="9:14">
      <c r="I33" s="3468">
        <f>C26</f>
        <v>88431</v>
      </c>
      <c r="J33" s="3468">
        <f>K25</f>
        <v>62397.95</v>
      </c>
      <c r="N33" s="3468">
        <f>19.3*100000000</f>
        <v>1930000000</v>
      </c>
    </row>
    <row r="34" spans="9:14">
      <c r="N34" s="3468">
        <f>N33/N29</f>
        <v>30930.503325830414</v>
      </c>
    </row>
  </sheetData>
  <phoneticPr fontId="1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zoomScaleNormal="100" workbookViewId="0">
      <selection activeCell="H16" sqref="H16"/>
    </sheetView>
  </sheetViews>
  <sheetFormatPr defaultRowHeight="12"/>
  <cols>
    <col min="1" max="1" width="9.5" style="3468" bestFit="1" customWidth="1"/>
    <col min="2" max="2" width="13.125" style="3468" bestFit="1" customWidth="1"/>
    <col min="3" max="3" width="12.625" style="3468" bestFit="1" customWidth="1"/>
    <col min="4" max="5" width="13.875" style="3468" bestFit="1" customWidth="1"/>
    <col min="6" max="6" width="11.25" style="3468" bestFit="1" customWidth="1"/>
    <col min="7" max="7" width="5" style="3468" bestFit="1" customWidth="1"/>
    <col min="8" max="8" width="11.25" style="3468" bestFit="1" customWidth="1"/>
    <col min="9" max="9" width="10.25" style="3468" bestFit="1" customWidth="1"/>
    <col min="10" max="10" width="11.25" style="3468" bestFit="1" customWidth="1"/>
    <col min="11" max="11" width="13.125" style="3468" bestFit="1" customWidth="1"/>
    <col min="12" max="12" width="14.125" style="3468" bestFit="1" customWidth="1"/>
    <col min="13" max="13" width="13.125" style="3468" bestFit="1" customWidth="1"/>
    <col min="14" max="14" width="8" style="3468" bestFit="1" customWidth="1"/>
    <col min="15" max="16" width="9" style="3468"/>
    <col min="17" max="17" width="11.25" style="3468" bestFit="1" customWidth="1"/>
    <col min="18" max="16384" width="9" style="3468"/>
  </cols>
  <sheetData>
    <row r="1" spans="1:18" ht="30" customHeight="1">
      <c r="A1" s="3573" t="s">
        <v>3382</v>
      </c>
      <c r="B1" s="3573"/>
      <c r="C1" s="3573"/>
      <c r="D1" s="3573"/>
      <c r="E1" s="3573"/>
    </row>
    <row r="2" spans="1:18" ht="15" customHeight="1">
      <c r="A2" s="3574" t="s">
        <v>3383</v>
      </c>
      <c r="B2" s="3574" t="s">
        <v>3384</v>
      </c>
      <c r="C2" s="3574"/>
      <c r="D2" s="3574"/>
      <c r="E2" s="3574"/>
      <c r="G2" s="3469"/>
      <c r="H2" s="3470" t="s">
        <v>3385</v>
      </c>
      <c r="I2" s="3469" t="s">
        <v>3386</v>
      </c>
      <c r="J2" s="3469" t="s">
        <v>3387</v>
      </c>
    </row>
    <row r="3" spans="1:18" ht="15" customHeight="1">
      <c r="A3" s="3574"/>
      <c r="B3" s="3471" t="s">
        <v>3385</v>
      </c>
      <c r="C3" s="3471" t="s">
        <v>3388</v>
      </c>
      <c r="D3" s="3472" t="s">
        <v>3389</v>
      </c>
      <c r="E3" s="3472" t="s">
        <v>3390</v>
      </c>
      <c r="G3" s="3469" t="s">
        <v>3391</v>
      </c>
      <c r="H3" s="3473">
        <f>SUM(B7:C12)</f>
        <v>50193.57</v>
      </c>
      <c r="I3" s="3473"/>
      <c r="J3" s="3473">
        <f>SUM(H3:I3)</f>
        <v>50193.57</v>
      </c>
    </row>
    <row r="4" spans="1:18" ht="15" customHeight="1">
      <c r="A4" s="3474">
        <v>-3</v>
      </c>
      <c r="B4" s="3475"/>
      <c r="C4" s="3475"/>
      <c r="D4" s="3476"/>
      <c r="E4" s="3476"/>
      <c r="F4" s="3477"/>
      <c r="G4" s="3469" t="s">
        <v>3392</v>
      </c>
      <c r="H4" s="3473">
        <f>B6</f>
        <v>12204.38</v>
      </c>
      <c r="I4" s="3473">
        <f>D5</f>
        <v>2580.219999999998</v>
      </c>
      <c r="J4" s="3473">
        <f>SUM(H4:I4)</f>
        <v>14784.599999999997</v>
      </c>
    </row>
    <row r="5" spans="1:18" ht="15" customHeight="1">
      <c r="A5" s="3474">
        <v>-2</v>
      </c>
      <c r="B5" s="3475"/>
      <c r="C5" s="3475"/>
      <c r="D5" s="3476">
        <f>[3]地下车位面积!D57</f>
        <v>2580.219999999998</v>
      </c>
      <c r="E5" s="3476">
        <v>53</v>
      </c>
      <c r="F5" s="3477"/>
      <c r="G5" s="3469" t="s">
        <v>3393</v>
      </c>
      <c r="H5" s="3473">
        <f>SUM(H3:H4)</f>
        <v>62397.95</v>
      </c>
      <c r="I5" s="3473">
        <f t="shared" ref="I5:J5" si="0">SUM(I3:I4)</f>
        <v>2580.219999999998</v>
      </c>
      <c r="J5" s="3473">
        <f t="shared" si="0"/>
        <v>64978.17</v>
      </c>
      <c r="K5" s="3478">
        <f>J5-'[1]数据-汇总表'!E3</f>
        <v>0</v>
      </c>
    </row>
    <row r="6" spans="1:18" ht="15" customHeight="1">
      <c r="A6" s="3474">
        <v>-1</v>
      </c>
      <c r="B6" s="3475">
        <v>12204.38</v>
      </c>
      <c r="C6" s="3475"/>
      <c r="D6" s="3479"/>
      <c r="E6" s="3479"/>
      <c r="F6" s="3477"/>
      <c r="H6" s="3480"/>
      <c r="I6" s="3480"/>
    </row>
    <row r="7" spans="1:18" ht="15" customHeight="1">
      <c r="A7" s="3474">
        <v>1</v>
      </c>
      <c r="B7" s="3475">
        <f>ROUND(F7*$B$15,2)</f>
        <v>6303.4</v>
      </c>
      <c r="C7" s="3475">
        <f>ROUND(F7*$C$15,2)</f>
        <v>3025.6</v>
      </c>
      <c r="D7" s="3479"/>
      <c r="E7" s="3479"/>
      <c r="F7" s="3475">
        <v>9329</v>
      </c>
    </row>
    <row r="8" spans="1:18" ht="15" customHeight="1">
      <c r="A8" s="3474">
        <v>2</v>
      </c>
      <c r="B8" s="3475">
        <f t="shared" ref="B8:B12" si="1">ROUND(F8*$B$15,2)</f>
        <v>6062.4</v>
      </c>
      <c r="C8" s="3475">
        <f t="shared" ref="C8:C12" si="2">ROUND(F8*$C$15,2)</f>
        <v>2909.92</v>
      </c>
      <c r="D8" s="3479"/>
      <c r="E8" s="3479"/>
      <c r="F8" s="3475">
        <v>8972.32</v>
      </c>
      <c r="H8" s="3480"/>
      <c r="I8" s="3480"/>
      <c r="J8" s="3481" t="s">
        <v>3394</v>
      </c>
      <c r="K8" s="3481" t="s">
        <v>3395</v>
      </c>
      <c r="L8" s="3481" t="s">
        <v>3396</v>
      </c>
      <c r="M8" s="3481" t="s">
        <v>3397</v>
      </c>
      <c r="N8" s="3481" t="s">
        <v>3398</v>
      </c>
      <c r="O8" s="3468" t="s">
        <v>3399</v>
      </c>
    </row>
    <row r="9" spans="1:18" ht="15" customHeight="1">
      <c r="A9" s="3474">
        <v>3</v>
      </c>
      <c r="B9" s="3475">
        <f>ROUND(F9*$B$15,2)-0.01</f>
        <v>6241.08</v>
      </c>
      <c r="C9" s="3475">
        <f>ROUND(F9*$C$15,2)+0.01</f>
        <v>2995.7000000000003</v>
      </c>
      <c r="D9" s="3479"/>
      <c r="E9" s="3479"/>
      <c r="F9" s="3475">
        <v>9236.7800000000007</v>
      </c>
      <c r="J9" s="3481" t="s">
        <v>3400</v>
      </c>
      <c r="K9" s="3473">
        <f>B13+C13</f>
        <v>62397.950000000004</v>
      </c>
      <c r="L9" s="3482" t="s">
        <v>3401</v>
      </c>
      <c r="M9" s="3481" t="s">
        <v>3402</v>
      </c>
      <c r="N9" s="3481" t="s">
        <v>3403</v>
      </c>
    </row>
    <row r="10" spans="1:18" ht="15" customHeight="1">
      <c r="A10" s="3474">
        <v>4</v>
      </c>
      <c r="B10" s="3475">
        <f t="shared" si="1"/>
        <v>6390.5</v>
      </c>
      <c r="C10" s="3475">
        <f t="shared" si="2"/>
        <v>3067.42</v>
      </c>
      <c r="D10" s="3479"/>
      <c r="E10" s="3479"/>
      <c r="F10" s="3475">
        <v>9457.92</v>
      </c>
      <c r="J10" s="3481" t="s">
        <v>3404</v>
      </c>
      <c r="K10" s="3473">
        <f>D13</f>
        <v>2580.219999999998</v>
      </c>
      <c r="L10" s="3482" t="s">
        <v>3405</v>
      </c>
      <c r="M10" s="3481" t="s">
        <v>3406</v>
      </c>
      <c r="N10" s="3481" t="s">
        <v>3406</v>
      </c>
    </row>
    <row r="11" spans="1:18" ht="15" customHeight="1">
      <c r="A11" s="3474">
        <v>5</v>
      </c>
      <c r="B11" s="3475">
        <f t="shared" si="1"/>
        <v>4965.2</v>
      </c>
      <c r="C11" s="3475">
        <f t="shared" si="2"/>
        <v>2383.2800000000002</v>
      </c>
      <c r="D11" s="3479"/>
      <c r="E11" s="3479"/>
      <c r="F11" s="3475">
        <v>7348.48</v>
      </c>
    </row>
    <row r="12" spans="1:18" ht="15" customHeight="1">
      <c r="A12" s="3474">
        <v>6</v>
      </c>
      <c r="B12" s="3475">
        <f t="shared" si="1"/>
        <v>3952.09</v>
      </c>
      <c r="C12" s="3475">
        <f t="shared" si="2"/>
        <v>1896.98</v>
      </c>
      <c r="D12" s="3479"/>
      <c r="E12" s="3479"/>
      <c r="F12" s="3475">
        <v>5849.07</v>
      </c>
      <c r="J12" s="3483" t="s">
        <v>3407</v>
      </c>
      <c r="K12" s="3483" t="s">
        <v>3408</v>
      </c>
      <c r="L12" s="3483" t="s">
        <v>3409</v>
      </c>
      <c r="M12" s="3483" t="s">
        <v>3410</v>
      </c>
      <c r="N12" s="3483" t="s">
        <v>3411</v>
      </c>
      <c r="O12" s="3483" t="s">
        <v>3395</v>
      </c>
      <c r="P12" s="3483" t="s">
        <v>3412</v>
      </c>
      <c r="Q12" s="3468" t="s">
        <v>3413</v>
      </c>
    </row>
    <row r="13" spans="1:18" ht="15" customHeight="1">
      <c r="A13" s="3471" t="s">
        <v>3393</v>
      </c>
      <c r="B13" s="3484">
        <f>SUM(B4:B12)</f>
        <v>46119.05</v>
      </c>
      <c r="C13" s="3484">
        <f>SUM(C4:C12)</f>
        <v>16278.900000000001</v>
      </c>
      <c r="D13" s="3484">
        <f>SUM(D4:D12)</f>
        <v>2580.219999999998</v>
      </c>
      <c r="E13" s="3484">
        <f t="shared" ref="E13" si="3">SUM(E4:E12)</f>
        <v>53</v>
      </c>
      <c r="F13" s="3477"/>
      <c r="J13" s="3483">
        <v>1</v>
      </c>
      <c r="K13" s="3483" t="s">
        <v>3414</v>
      </c>
      <c r="L13" s="3485" t="s">
        <v>3415</v>
      </c>
      <c r="M13" s="3483">
        <v>101</v>
      </c>
      <c r="N13" s="3483" t="s">
        <v>3416</v>
      </c>
      <c r="O13" s="3483">
        <v>16278.9</v>
      </c>
      <c r="P13" s="3483" t="s">
        <v>3417</v>
      </c>
      <c r="Q13" s="3468">
        <f>O13</f>
        <v>16278.9</v>
      </c>
      <c r="R13" s="3468">
        <f>Q13/Q16</f>
        <v>0.32432241819021834</v>
      </c>
    </row>
    <row r="14" spans="1:18">
      <c r="B14" s="3477">
        <f>B13+C13-[1]权属信息!N29</f>
        <v>0</v>
      </c>
      <c r="C14" s="3477"/>
      <c r="D14" s="3477"/>
      <c r="E14" s="3477">
        <f>SUM(B13:D13)</f>
        <v>64978.170000000006</v>
      </c>
      <c r="F14" s="3477"/>
      <c r="J14" s="3483"/>
      <c r="K14" s="3483"/>
      <c r="L14" s="3485" t="s">
        <v>3418</v>
      </c>
      <c r="M14" s="3483">
        <v>102</v>
      </c>
      <c r="N14" s="3483"/>
      <c r="O14" s="3483">
        <v>46119.05</v>
      </c>
      <c r="P14" s="3483" t="s">
        <v>3385</v>
      </c>
      <c r="Q14" s="3478">
        <f>O14-H4</f>
        <v>33914.670000000006</v>
      </c>
      <c r="R14" s="3478">
        <f>Q14/Q16</f>
        <v>0.67567758180978166</v>
      </c>
    </row>
    <row r="15" spans="1:18">
      <c r="B15" s="3486">
        <f>R14</f>
        <v>0.67567758180978166</v>
      </c>
      <c r="C15" s="3486">
        <f>R13</f>
        <v>0.32432241819021834</v>
      </c>
      <c r="J15" s="3483"/>
      <c r="K15" s="3483"/>
      <c r="L15" s="3483"/>
      <c r="M15" s="3483"/>
      <c r="N15" s="3483"/>
      <c r="O15" s="3483">
        <f>SUM(O13:O14)</f>
        <v>62397.950000000004</v>
      </c>
      <c r="P15" s="3483"/>
    </row>
    <row r="16" spans="1:18">
      <c r="B16" s="3478">
        <f>SUM(B7:B12)</f>
        <v>33914.67</v>
      </c>
      <c r="C16" s="3478">
        <f>SUM(C7:C12)</f>
        <v>16278.900000000001</v>
      </c>
      <c r="O16" s="3468">
        <f>ROUND(M20/M14,2)</f>
        <v>1195.3900000000001</v>
      </c>
      <c r="Q16" s="3468">
        <f>SUM(Q13:Q15)</f>
        <v>50193.570000000007</v>
      </c>
    </row>
    <row r="20" spans="12:14">
      <c r="L20" s="3469" t="s">
        <v>3391</v>
      </c>
      <c r="M20" s="3469">
        <v>121930</v>
      </c>
      <c r="N20" s="3481">
        <f>SUM(M21:M24)-M20</f>
        <v>0</v>
      </c>
    </row>
    <row r="21" spans="12:14">
      <c r="L21" s="3481" t="s">
        <v>3419</v>
      </c>
      <c r="M21" s="3481">
        <v>33014</v>
      </c>
      <c r="N21" s="3481"/>
    </row>
    <row r="22" spans="12:14">
      <c r="L22" s="3481" t="s">
        <v>3420</v>
      </c>
      <c r="M22" s="3481">
        <v>33499</v>
      </c>
      <c r="N22" s="3481"/>
    </row>
    <row r="23" spans="12:14">
      <c r="L23" s="3481" t="s">
        <v>3421</v>
      </c>
      <c r="M23" s="3481">
        <v>15000</v>
      </c>
      <c r="N23" s="3481"/>
    </row>
    <row r="24" spans="12:14">
      <c r="L24" s="3481" t="s">
        <v>3422</v>
      </c>
      <c r="M24" s="3481">
        <v>40417</v>
      </c>
      <c r="N24" s="3481"/>
    </row>
    <row r="25" spans="12:14">
      <c r="L25" s="3469" t="s">
        <v>3423</v>
      </c>
      <c r="M25" s="3469">
        <v>56386</v>
      </c>
      <c r="N25" s="3481">
        <f>SUM(M26:M31)-M25</f>
        <v>0</v>
      </c>
    </row>
    <row r="26" spans="12:14">
      <c r="L26" s="3481" t="s">
        <v>3422</v>
      </c>
      <c r="M26" s="3481">
        <v>9500</v>
      </c>
      <c r="N26" s="3481"/>
    </row>
    <row r="27" spans="12:14">
      <c r="L27" s="3481" t="s">
        <v>3424</v>
      </c>
      <c r="M27" s="3481">
        <v>3485</v>
      </c>
      <c r="N27" s="3481"/>
    </row>
    <row r="28" spans="12:14">
      <c r="L28" s="3481" t="s">
        <v>3425</v>
      </c>
      <c r="M28" s="3481">
        <v>2208</v>
      </c>
      <c r="N28" s="3481"/>
    </row>
    <row r="29" spans="12:14">
      <c r="L29" s="3481" t="s">
        <v>3426</v>
      </c>
      <c r="M29" s="3481">
        <v>5245</v>
      </c>
      <c r="N29" s="3481"/>
    </row>
    <row r="30" spans="12:14">
      <c r="L30" s="3481" t="s">
        <v>3427</v>
      </c>
      <c r="M30" s="3481">
        <v>3600</v>
      </c>
      <c r="N30" s="3481"/>
    </row>
    <row r="31" spans="12:14">
      <c r="L31" s="3481" t="s">
        <v>3428</v>
      </c>
      <c r="M31" s="3481">
        <v>32348</v>
      </c>
      <c r="N31" s="3481"/>
    </row>
    <row r="40" spans="15:19" ht="14.25" thickBot="1">
      <c r="O40" s="3487"/>
      <c r="P40" s="3487"/>
      <c r="Q40" s="3487">
        <f>'[1]数据-汇总表'!E19</f>
        <v>62397.95</v>
      </c>
      <c r="R40" s="3487">
        <f>'[1]数据-汇总表'!E20</f>
        <v>2580.219999999998</v>
      </c>
      <c r="S40" s="3487">
        <f>SUM(Q40:R40)</f>
        <v>64978.17</v>
      </c>
    </row>
    <row r="41" spans="15:19" ht="13.5" thickTop="1">
      <c r="O41" s="3575" t="s">
        <v>3429</v>
      </c>
      <c r="P41" s="3576"/>
      <c r="Q41" s="3563" t="s">
        <v>3430</v>
      </c>
      <c r="R41" s="3564"/>
      <c r="S41" s="3565" t="s">
        <v>3431</v>
      </c>
    </row>
    <row r="42" spans="15:19" ht="12.75">
      <c r="O42" s="3567" t="s">
        <v>3432</v>
      </c>
      <c r="P42" s="3568"/>
      <c r="Q42" s="3488" t="s">
        <v>3433</v>
      </c>
      <c r="R42" s="3488" t="s">
        <v>3434</v>
      </c>
      <c r="S42" s="3566"/>
    </row>
    <row r="43" spans="15:19" ht="12.75">
      <c r="O43" s="3569" t="s">
        <v>3435</v>
      </c>
      <c r="P43" s="3489" t="s">
        <v>3436</v>
      </c>
      <c r="Q43" s="3490">
        <v>253823</v>
      </c>
      <c r="R43" s="3490">
        <v>166200</v>
      </c>
      <c r="S43" s="3490">
        <v>201249</v>
      </c>
    </row>
    <row r="44" spans="15:19" ht="12.75">
      <c r="O44" s="3570"/>
      <c r="P44" s="3489" t="s">
        <v>3437</v>
      </c>
      <c r="Q44" s="3490">
        <v>40678</v>
      </c>
      <c r="R44" s="3490">
        <v>26635</v>
      </c>
      <c r="S44" s="3490">
        <v>32253</v>
      </c>
    </row>
    <row r="45" spans="15:19" ht="12.75">
      <c r="O45" s="3569" t="s">
        <v>3438</v>
      </c>
      <c r="P45" s="3489" t="s">
        <v>3436</v>
      </c>
      <c r="Q45" s="3490">
        <v>1517</v>
      </c>
      <c r="R45" s="3490">
        <v>577</v>
      </c>
      <c r="S45" s="3490">
        <v>1235</v>
      </c>
    </row>
    <row r="46" spans="15:19" ht="12.75">
      <c r="O46" s="3570"/>
      <c r="P46" s="3489" t="s">
        <v>3437</v>
      </c>
      <c r="Q46" s="3490">
        <v>5879</v>
      </c>
      <c r="R46" s="3490">
        <v>2236</v>
      </c>
      <c r="S46" s="3490">
        <v>4786</v>
      </c>
    </row>
    <row r="47" spans="15:19" ht="12.75">
      <c r="O47" s="3571" t="s">
        <v>3439</v>
      </c>
      <c r="P47" s="3489" t="s">
        <v>3436</v>
      </c>
      <c r="Q47" s="3490">
        <f>Q43+Q45</f>
        <v>255340</v>
      </c>
      <c r="R47" s="3490">
        <f>R43+R45</f>
        <v>166777</v>
      </c>
      <c r="S47" s="3490">
        <f>S43+S45</f>
        <v>202484</v>
      </c>
    </row>
    <row r="48" spans="15:19" ht="13.5" thickBot="1">
      <c r="O48" s="3572"/>
      <c r="P48" s="3491" t="s">
        <v>3437</v>
      </c>
      <c r="Q48" s="3492">
        <f>ROUND(Q47/$S$40*10000,0)</f>
        <v>39296</v>
      </c>
      <c r="R48" s="3492">
        <f>ROUND(R47/$S$40*10000,0)</f>
        <v>25667</v>
      </c>
      <c r="S48" s="3492">
        <f>ROUND(S47/$S$40*10000,0)</f>
        <v>31162</v>
      </c>
    </row>
    <row r="49" ht="12.75" thickTop="1"/>
    <row r="68" spans="2:5" ht="12.75" thickBot="1"/>
    <row r="69" spans="2:5" ht="39.75" thickBot="1">
      <c r="B69" s="3493" t="s">
        <v>3440</v>
      </c>
      <c r="C69" s="3494" t="s">
        <v>3441</v>
      </c>
      <c r="D69" s="3494" t="s">
        <v>3442</v>
      </c>
      <c r="E69" s="3494" t="s">
        <v>3443</v>
      </c>
    </row>
    <row r="70" spans="2:5" ht="13.5" thickBot="1">
      <c r="B70" s="3495" t="s">
        <v>3444</v>
      </c>
      <c r="C70" s="3496">
        <v>6303.4</v>
      </c>
      <c r="D70" s="3496">
        <v>40744</v>
      </c>
      <c r="E70" s="3496">
        <v>25683</v>
      </c>
    </row>
    <row r="71" spans="2:5" ht="13.5" thickBot="1">
      <c r="B71" s="3495" t="s">
        <v>3445</v>
      </c>
      <c r="C71" s="3496">
        <v>6062.4</v>
      </c>
      <c r="D71" s="3496">
        <v>29246</v>
      </c>
      <c r="E71" s="3496">
        <v>17730</v>
      </c>
    </row>
    <row r="72" spans="2:5" ht="13.5" thickBot="1">
      <c r="B72" s="3495" t="s">
        <v>3446</v>
      </c>
      <c r="C72" s="3496">
        <v>6241.09</v>
      </c>
      <c r="D72" s="3496">
        <v>23594</v>
      </c>
      <c r="E72" s="3496">
        <v>14725</v>
      </c>
    </row>
    <row r="73" spans="2:5" ht="13.5" thickBot="1">
      <c r="B73" s="3495" t="s">
        <v>3447</v>
      </c>
      <c r="C73" s="3496">
        <v>6390.5</v>
      </c>
      <c r="D73" s="3496">
        <v>18932</v>
      </c>
      <c r="E73" s="3496">
        <v>12099</v>
      </c>
    </row>
    <row r="74" spans="2:5" ht="13.5" thickBot="1">
      <c r="B74" s="3495" t="s">
        <v>3448</v>
      </c>
      <c r="C74" s="3496">
        <v>4965.2</v>
      </c>
      <c r="D74" s="3496">
        <v>16121</v>
      </c>
      <c r="E74" s="3496">
        <v>8004</v>
      </c>
    </row>
    <row r="75" spans="2:5" ht="13.5" thickBot="1">
      <c r="B75" s="3495" t="s">
        <v>3449</v>
      </c>
      <c r="C75" s="3496">
        <v>3952.09</v>
      </c>
      <c r="D75" s="3496">
        <v>14177</v>
      </c>
      <c r="E75" s="3496">
        <v>5603</v>
      </c>
    </row>
    <row r="76" spans="2:5" ht="13.5" thickBot="1">
      <c r="B76" s="3495" t="s">
        <v>3450</v>
      </c>
      <c r="C76" s="3496">
        <v>12204.38</v>
      </c>
      <c r="D76" s="3496">
        <v>15310</v>
      </c>
      <c r="E76" s="3496">
        <v>18685</v>
      </c>
    </row>
    <row r="77" spans="2:5" ht="13.5" thickBot="1">
      <c r="B77" s="3495" t="s">
        <v>3451</v>
      </c>
      <c r="C77" s="3496">
        <f>SUM(C70:C76)</f>
        <v>46119.06</v>
      </c>
      <c r="D77" s="3496">
        <f>ROUND(E77/C77*10000,0)</f>
        <v>22231</v>
      </c>
      <c r="E77" s="3496">
        <f>SUM(E70:E76)</f>
        <v>102529</v>
      </c>
    </row>
    <row r="78" spans="2:5" ht="13.5" thickBot="1">
      <c r="B78" s="3495" t="s">
        <v>3452</v>
      </c>
      <c r="C78" s="3496">
        <v>3025.6</v>
      </c>
      <c r="D78" s="3496">
        <v>32595</v>
      </c>
      <c r="E78" s="3496">
        <v>9862</v>
      </c>
    </row>
    <row r="79" spans="2:5" ht="13.5" thickBot="1">
      <c r="B79" s="3495" t="s">
        <v>3453</v>
      </c>
      <c r="C79" s="3496">
        <v>2909.92</v>
      </c>
      <c r="D79" s="3496">
        <v>23397</v>
      </c>
      <c r="E79" s="3496">
        <v>6808</v>
      </c>
    </row>
    <row r="80" spans="2:5" ht="13.5" thickBot="1">
      <c r="B80" s="3495" t="s">
        <v>3454</v>
      </c>
      <c r="C80" s="3496">
        <v>2995.69</v>
      </c>
      <c r="D80" s="3496">
        <v>18876</v>
      </c>
      <c r="E80" s="3496">
        <v>5655</v>
      </c>
    </row>
    <row r="81" spans="2:5" ht="13.5" thickBot="1">
      <c r="B81" s="3495" t="s">
        <v>3455</v>
      </c>
      <c r="C81" s="3496">
        <v>3067.42</v>
      </c>
      <c r="D81" s="3496">
        <v>15145</v>
      </c>
      <c r="E81" s="3496">
        <v>4646</v>
      </c>
    </row>
    <row r="82" spans="2:5" ht="13.5" thickBot="1">
      <c r="B82" s="3495" t="s">
        <v>3456</v>
      </c>
      <c r="C82" s="3496">
        <v>2383.2800000000002</v>
      </c>
      <c r="D82" s="3496">
        <v>12897</v>
      </c>
      <c r="E82" s="3496">
        <v>3074</v>
      </c>
    </row>
    <row r="83" spans="2:5" ht="13.5" thickBot="1">
      <c r="B83" s="3495" t="s">
        <v>3457</v>
      </c>
      <c r="C83" s="3496">
        <v>1896.98</v>
      </c>
      <c r="D83" s="3496">
        <v>11341</v>
      </c>
      <c r="E83" s="3496">
        <v>2151</v>
      </c>
    </row>
    <row r="84" spans="2:5" ht="13.5" thickBot="1">
      <c r="B84" s="3495" t="s">
        <v>3451</v>
      </c>
      <c r="C84" s="3496">
        <f>SUM(C78:C83)</f>
        <v>16278.890000000001</v>
      </c>
      <c r="D84" s="3496">
        <f>ROUND(E84/C84*10000,0)</f>
        <v>19778</v>
      </c>
      <c r="E84" s="3496">
        <f>SUM(E78:E83)</f>
        <v>32196</v>
      </c>
    </row>
    <row r="85" spans="2:5" ht="13.5" thickBot="1">
      <c r="B85" s="3495" t="s">
        <v>3458</v>
      </c>
      <c r="C85" s="3496">
        <f>C77+C84</f>
        <v>62397.95</v>
      </c>
      <c r="D85" s="3496">
        <f>ROUND(E85/C85*10000,0)</f>
        <v>21591</v>
      </c>
      <c r="E85" s="3496">
        <f>E77+E84</f>
        <v>134725</v>
      </c>
    </row>
    <row r="86" spans="2:5" ht="13.5" thickBot="1">
      <c r="B86" s="3495" t="s">
        <v>3459</v>
      </c>
      <c r="C86" s="3496">
        <v>2580.2199999999998</v>
      </c>
      <c r="D86" s="3496">
        <v>1188</v>
      </c>
      <c r="E86" s="3496">
        <v>307</v>
      </c>
    </row>
    <row r="87" spans="2:5" ht="13.5" thickBot="1">
      <c r="B87" s="3495" t="s">
        <v>3458</v>
      </c>
      <c r="C87" s="3496">
        <v>2580.2199999999998</v>
      </c>
      <c r="D87" s="3496">
        <v>1188</v>
      </c>
      <c r="E87" s="3496">
        <v>307</v>
      </c>
    </row>
  </sheetData>
  <mergeCells count="10">
    <mergeCell ref="O47:O48"/>
    <mergeCell ref="A1:E1"/>
    <mergeCell ref="A2:A3"/>
    <mergeCell ref="B2:E2"/>
    <mergeCell ref="O41:P41"/>
    <mergeCell ref="Q41:R41"/>
    <mergeCell ref="S41:S42"/>
    <mergeCell ref="O42:P42"/>
    <mergeCell ref="O43:O44"/>
    <mergeCell ref="O45:O46"/>
  </mergeCells>
  <phoneticPr fontId="13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权属信息</vt:lpstr>
      <vt:lpstr>面积汇总表</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基准地价修正</vt:lpstr>
      <vt:lpstr>基准地价修正 (2)</vt:lpstr>
      <vt:lpstr>收益法</vt:lpstr>
      <vt:lpstr>结果表 (2)</vt:lpstr>
      <vt:lpstr>成本法 (2)</vt:lpstr>
      <vt:lpstr>基准地价修正 (3)</vt:lpstr>
      <vt:lpstr>收益法 (2)</vt:lpstr>
      <vt:lpstr>基准地价（汇总）</vt:lpstr>
      <vt:lpstr>收益法（汇总）</vt:lpstr>
      <vt:lpstr>Sheet4</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'结果表 (2)'!Print_Area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2023-04-11T06:25:58Z</dcterms:modified>
</cp:coreProperties>
</file>