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办公" sheetId="83" r:id="rId20"/>
    <sheet name="比较法-办公 (租金)" sheetId="77" r:id="rId21"/>
    <sheet name="结果表仓储" sheetId="9" r:id="rId22"/>
    <sheet name="成本法仓储" sheetId="68" r:id="rId23"/>
    <sheet name="基准地价修正" sheetId="43" r:id="rId24"/>
    <sheet name="收益法仓储" sheetId="15" r:id="rId25"/>
    <sheet name="结果表车库" sheetId="81" r:id="rId26"/>
    <sheet name="成本法车库" sheetId="79" r:id="rId27"/>
    <sheet name="成本法 (元)" sheetId="69" state="hidden" r:id="rId28"/>
    <sheet name="假设开发法" sheetId="12" state="hidden" r:id="rId29"/>
    <sheet name="收益法 (元)" sheetId="67" state="hidden" r:id="rId30"/>
    <sheet name="收益法（汇总）" sheetId="70" state="hidden" r:id="rId31"/>
    <sheet name="酒店收入计算" sheetId="66" state="hidden" r:id="rId32"/>
    <sheet name="比较法-住宅" sheetId="21" state="hidden" r:id="rId33"/>
    <sheet name="收益法车库" sheetId="80"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案例" sheetId="78" r:id="rId51"/>
  </sheets>
  <definedNames>
    <definedName name="_xlnm._FilterDatabase" localSheetId="18" hidden="1">'比较法-办公'!$A$1:$L$50</definedName>
    <definedName name="_xlnm._FilterDatabase" localSheetId="20" hidden="1">'比较法-办公 (租金)'!$A$1:$L$50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19">收益法办公!$A$1:$AK$69</definedName>
    <definedName name="_xlnm.Print_Area" localSheetId="24">收益法仓储!$A$1:$AK$69</definedName>
    <definedName name="_xlnm.Print_Area" localSheetId="33">收益法车库!$A$1:$AK$69</definedName>
    <definedName name="_xlnm.Print_Area" localSheetId="13">'数据-汇总表'!$A$1:$P$32</definedName>
    <definedName name="八级">区片价!$O$1:$O$40</definedName>
    <definedName name="办公层高" localSheetId="20">'比较法-办公 (租金)'!$B$119:$M$119</definedName>
    <definedName name="办公层高">'比较法-办公'!$B$119:$M$119</definedName>
    <definedName name="办公朝向" localSheetId="20">'比较法-办公 (租金)'!$B$91:$M$91</definedName>
    <definedName name="办公朝向">'比较法-办公'!$B$91:$M$91</definedName>
    <definedName name="办公道路级别" localSheetId="20">'比较法-办公 (租金)'!$B$87:$M$87</definedName>
    <definedName name="办公道路级别">'比较法-办公'!$B$87:$M$87</definedName>
    <definedName name="办公公共部分装修" localSheetId="20">'比较法-办公 (租金)'!$B$108:$M$108</definedName>
    <definedName name="办公公共部分装修">'比较法-办公'!$B$108:$M$108</definedName>
    <definedName name="办公基础设施水平" localSheetId="20">'比较法-办公 (租金)'!$B$117:$M$117</definedName>
    <definedName name="办公基础设施水平">'比较法-办公'!$B$117:$M$117</definedName>
    <definedName name="办公集聚程度">定义!$M$1:$M$6</definedName>
    <definedName name="办公建筑结构" localSheetId="20">'比较法-办公 (租金)'!$B$106:$M$106</definedName>
    <definedName name="办公建筑结构">'比较法-办公'!$B$106:$M$106</definedName>
    <definedName name="办公建筑类型" localSheetId="20">'比较法-办公 (租金)'!$B$101:$M$101</definedName>
    <definedName name="办公建筑类型">'比较法-办公'!$B$101:$M$101</definedName>
    <definedName name="办公交易情况" localSheetId="20">'比较法-办公 (租金)'!$A$62:$M$62</definedName>
    <definedName name="办公交易情况">'比较法-办公'!$A$62:$M$62</definedName>
    <definedName name="办公楼层" localSheetId="20">'比较法-办公 (租金)'!$B$89:$M$89</definedName>
    <definedName name="办公楼层">'比较法-办公'!$B$89:$M$89</definedName>
    <definedName name="办公内部装修" localSheetId="20">'比较法-办公 (租金)'!$B$123:$M$123</definedName>
    <definedName name="办公内部装修">'比较法-办公'!$B$123:$M$123</definedName>
    <definedName name="办公物业管理" localSheetId="20">'比较法-办公 (租金)'!$B$115:$M$115</definedName>
    <definedName name="办公物业管理">'比较法-办公'!$B$115:$M$115</definedName>
    <definedName name="办公用途" localSheetId="2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0">'比较法-办公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N17" i="43"/>
  <c r="G20" i="43"/>
  <c r="C20" i="43"/>
  <c r="C39" i="43"/>
  <c r="E39" i="43"/>
  <c r="C6" i="79"/>
  <c r="C7" i="79"/>
  <c r="C5" i="79"/>
  <c r="D9" i="79"/>
  <c r="D10" i="79"/>
  <c r="D19" i="79"/>
  <c r="C19" i="79"/>
  <c r="C20" i="79"/>
  <c r="D5" i="73"/>
  <c r="G1" i="73"/>
  <c r="B40" i="1"/>
  <c r="F22" i="79"/>
  <c r="C23" i="79"/>
  <c r="C24" i="79"/>
  <c r="C25" i="79"/>
  <c r="C22" i="79"/>
  <c r="F27" i="79"/>
  <c r="C28" i="79"/>
  <c r="C27" i="79"/>
  <c r="C26" i="79"/>
  <c r="D22" i="79"/>
  <c r="C29" i="79"/>
  <c r="D27" i="79"/>
  <c r="C31" i="79"/>
  <c r="F34" i="79"/>
  <c r="C34" i="79"/>
  <c r="C35" i="79"/>
  <c r="C36" i="79"/>
  <c r="D37" i="79"/>
  <c r="C37" i="79"/>
  <c r="C38" i="79"/>
  <c r="C33" i="79"/>
  <c r="C39" i="79"/>
  <c r="C42" i="79"/>
  <c r="C43" i="79"/>
  <c r="C41" i="79"/>
  <c r="C46" i="79"/>
  <c r="C45" i="79"/>
  <c r="C44" i="79"/>
  <c r="D41" i="79"/>
  <c r="C47" i="79"/>
  <c r="D45" i="79"/>
  <c r="C49" i="79"/>
  <c r="C51" i="79"/>
  <c r="C52" i="79"/>
  <c r="B2" i="79"/>
  <c r="C19" i="81"/>
  <c r="F6" i="80"/>
  <c r="F8" i="80"/>
  <c r="F7" i="80"/>
  <c r="F9" i="80"/>
  <c r="C6" i="80"/>
  <c r="F4" i="73"/>
  <c r="I1" i="73"/>
  <c r="B39" i="1"/>
  <c r="F11" i="80"/>
  <c r="C10" i="80"/>
  <c r="C5" i="80"/>
  <c r="C32" i="80"/>
  <c r="C14" i="80"/>
  <c r="C15" i="80"/>
  <c r="F16" i="80"/>
  <c r="C16" i="80"/>
  <c r="F43" i="80"/>
  <c r="C17" i="80"/>
  <c r="C18" i="80"/>
  <c r="C19" i="80"/>
  <c r="C20" i="80"/>
  <c r="F24" i="80"/>
  <c r="C23" i="80"/>
  <c r="F26" i="80"/>
  <c r="C26" i="80"/>
  <c r="C24" i="80"/>
  <c r="C27" i="80"/>
  <c r="C29" i="80"/>
  <c r="C33" i="80"/>
  <c r="R8" i="1"/>
  <c r="F35" i="80"/>
  <c r="C34" i="80"/>
  <c r="C31" i="80"/>
  <c r="F36" i="80"/>
  <c r="C36" i="80"/>
  <c r="F13" i="80"/>
  <c r="C13" i="80"/>
  <c r="F37" i="80"/>
  <c r="C37" i="80"/>
  <c r="F38" i="80"/>
  <c r="C38" i="80"/>
  <c r="C30" i="80"/>
  <c r="C39" i="80"/>
  <c r="F42" i="80"/>
  <c r="F40" i="80"/>
  <c r="L48" i="80"/>
  <c r="J53" i="80"/>
  <c r="F1" i="80"/>
  <c r="AE8" i="1"/>
  <c r="F41" i="80"/>
  <c r="C40" i="80"/>
  <c r="M6" i="80"/>
  <c r="M8" i="80"/>
  <c r="M7" i="80"/>
  <c r="M9" i="80"/>
  <c r="J6" i="80"/>
  <c r="M11" i="80"/>
  <c r="J10" i="80"/>
  <c r="J5" i="80"/>
  <c r="J26" i="80"/>
  <c r="J29" i="80"/>
  <c r="J57" i="80"/>
  <c r="J55" i="80"/>
  <c r="J58" i="80"/>
  <c r="J59" i="80"/>
  <c r="J60" i="80"/>
  <c r="L46" i="80"/>
  <c r="B2" i="80"/>
  <c r="D19" i="81"/>
  <c r="G19" i="81"/>
  <c r="D16" i="74"/>
  <c r="G16" i="74"/>
  <c r="C19" i="82"/>
  <c r="F6" i="83"/>
  <c r="F8" i="83"/>
  <c r="F7" i="83"/>
  <c r="F9" i="83"/>
  <c r="C6" i="83"/>
  <c r="F11" i="83"/>
  <c r="C10" i="83"/>
  <c r="C5" i="83"/>
  <c r="C32" i="83"/>
  <c r="C14" i="83"/>
  <c r="C15" i="83"/>
  <c r="F16" i="83"/>
  <c r="C16" i="83"/>
  <c r="F43" i="83"/>
  <c r="C17" i="83"/>
  <c r="C18" i="83"/>
  <c r="C19" i="83"/>
  <c r="C20" i="83"/>
  <c r="F24" i="83"/>
  <c r="C23" i="83"/>
  <c r="F26" i="83"/>
  <c r="C26" i="83"/>
  <c r="C24" i="83"/>
  <c r="C27" i="83"/>
  <c r="C29" i="83"/>
  <c r="C33" i="83"/>
  <c r="R6" i="1"/>
  <c r="F35" i="83"/>
  <c r="C34" i="83"/>
  <c r="C31" i="83"/>
  <c r="F36" i="83"/>
  <c r="C36" i="83"/>
  <c r="F13" i="83"/>
  <c r="C13" i="83"/>
  <c r="F37" i="83"/>
  <c r="C37" i="83"/>
  <c r="F38" i="83"/>
  <c r="C38" i="83"/>
  <c r="C30" i="83"/>
  <c r="C39" i="83"/>
  <c r="F42" i="83"/>
  <c r="F40" i="83"/>
  <c r="L48" i="83"/>
  <c r="J53" i="83"/>
  <c r="F1" i="83"/>
  <c r="AE6" i="1"/>
  <c r="F41" i="83"/>
  <c r="C40" i="83"/>
  <c r="M6" i="83"/>
  <c r="M8" i="83"/>
  <c r="M7" i="83"/>
  <c r="M9" i="83"/>
  <c r="J6" i="83"/>
  <c r="M11" i="83"/>
  <c r="J10" i="83"/>
  <c r="J5" i="83"/>
  <c r="J26" i="83"/>
  <c r="J29" i="83"/>
  <c r="J57" i="83"/>
  <c r="J55" i="83"/>
  <c r="J58" i="83"/>
  <c r="J59" i="83"/>
  <c r="J60" i="83"/>
  <c r="L46" i="83"/>
  <c r="B2" i="83"/>
  <c r="D19" i="82"/>
  <c r="G19" i="82"/>
  <c r="D15" i="74"/>
  <c r="G15" i="74"/>
  <c r="C34" i="34"/>
  <c r="D14" i="81"/>
  <c r="D14" i="9"/>
  <c r="D14" i="82"/>
  <c r="Q72" i="83"/>
  <c r="Q59" i="83"/>
  <c r="K59" i="83"/>
  <c r="P74" i="83"/>
  <c r="F59" i="83"/>
  <c r="Q58" i="83"/>
  <c r="Q51" i="83"/>
  <c r="J50" i="83"/>
  <c r="M47" i="83"/>
  <c r="D46" i="83"/>
  <c r="F33" i="83"/>
  <c r="F61" i="83"/>
  <c r="F31" i="83"/>
  <c r="F23" i="83"/>
  <c r="D24" i="83"/>
  <c r="D22" i="83"/>
  <c r="F21" i="83"/>
  <c r="F20" i="83"/>
  <c r="M19" i="83"/>
  <c r="F18" i="83"/>
  <c r="M17" i="83"/>
  <c r="F17" i="83"/>
  <c r="F15" i="83"/>
  <c r="A126" i="82"/>
  <c r="A124" i="82"/>
  <c r="A122" i="82"/>
  <c r="A120" i="82"/>
  <c r="E111" i="82"/>
  <c r="H112" i="82"/>
  <c r="E109" i="82"/>
  <c r="E107" i="82"/>
  <c r="H106" i="82"/>
  <c r="H103" i="82"/>
  <c r="D120" i="82"/>
  <c r="H105" i="82"/>
  <c r="H104" i="82"/>
  <c r="D101" i="82"/>
  <c r="C101" i="82"/>
  <c r="C91" i="82"/>
  <c r="E90" i="82"/>
  <c r="D89" i="82"/>
  <c r="C89" i="82"/>
  <c r="C87" i="82"/>
  <c r="H77" i="82"/>
  <c r="D77" i="82"/>
  <c r="C76" i="82"/>
  <c r="F59" i="82"/>
  <c r="E59" i="82"/>
  <c r="D59" i="82"/>
  <c r="F56" i="82"/>
  <c r="O55" i="82"/>
  <c r="N55" i="82"/>
  <c r="M55" i="82"/>
  <c r="K55" i="82"/>
  <c r="J55" i="82"/>
  <c r="I55" i="82"/>
  <c r="F55" i="82"/>
  <c r="O53" i="82"/>
  <c r="O54" i="82"/>
  <c r="N54" i="82"/>
  <c r="N53" i="82"/>
  <c r="K49" i="82"/>
  <c r="F48" i="82"/>
  <c r="O52" i="82"/>
  <c r="E48" i="82"/>
  <c r="N52" i="82"/>
  <c r="D48" i="82"/>
  <c r="M52" i="82"/>
  <c r="F33" i="82"/>
  <c r="D27" i="82"/>
  <c r="C25" i="82"/>
  <c r="C24" i="82"/>
  <c r="D17" i="82"/>
  <c r="C17" i="82"/>
  <c r="L4" i="82"/>
  <c r="K4" i="82"/>
  <c r="H1" i="82"/>
  <c r="A126" i="81"/>
  <c r="A124" i="81"/>
  <c r="A122" i="81"/>
  <c r="A120" i="81"/>
  <c r="E111" i="81"/>
  <c r="H112" i="81"/>
  <c r="E109" i="81"/>
  <c r="E107" i="81"/>
  <c r="H106" i="81"/>
  <c r="H105" i="81"/>
  <c r="H104" i="81"/>
  <c r="D101" i="81"/>
  <c r="C101" i="81"/>
  <c r="C91" i="81"/>
  <c r="E90" i="81"/>
  <c r="D89" i="81"/>
  <c r="C89" i="81"/>
  <c r="C87" i="81"/>
  <c r="H77" i="81"/>
  <c r="D77" i="81"/>
  <c r="C76" i="81"/>
  <c r="F59" i="81"/>
  <c r="E59" i="81"/>
  <c r="D59" i="81"/>
  <c r="F56" i="81"/>
  <c r="O55" i="81"/>
  <c r="N55" i="81"/>
  <c r="M55" i="81"/>
  <c r="K55" i="81"/>
  <c r="J55" i="81"/>
  <c r="I55" i="81"/>
  <c r="F55" i="81"/>
  <c r="O53" i="81"/>
  <c r="O54" i="81"/>
  <c r="N54" i="81"/>
  <c r="N53" i="81"/>
  <c r="K49" i="81"/>
  <c r="F48" i="81"/>
  <c r="O52" i="81"/>
  <c r="E48" i="81"/>
  <c r="N52" i="81"/>
  <c r="D48" i="81"/>
  <c r="M52" i="81"/>
  <c r="F33" i="81"/>
  <c r="D27" i="81"/>
  <c r="C25" i="81"/>
  <c r="C24" i="81"/>
  <c r="D17" i="81"/>
  <c r="C17" i="81"/>
  <c r="L4" i="81"/>
  <c r="K4" i="81"/>
  <c r="H1" i="81"/>
  <c r="P74" i="80"/>
  <c r="Q72" i="80"/>
  <c r="Q59" i="80"/>
  <c r="K59" i="80"/>
  <c r="P61" i="80"/>
  <c r="F59" i="80"/>
  <c r="Q58" i="80"/>
  <c r="Q51" i="80"/>
  <c r="J50" i="80"/>
  <c r="M47" i="80"/>
  <c r="D46" i="80"/>
  <c r="F33" i="80"/>
  <c r="F61" i="80"/>
  <c r="F31" i="80"/>
  <c r="F23" i="80"/>
  <c r="D24" i="80"/>
  <c r="D23" i="80"/>
  <c r="D22" i="80"/>
  <c r="F21" i="80"/>
  <c r="F20" i="80"/>
  <c r="M19" i="80"/>
  <c r="F18" i="80"/>
  <c r="M17" i="80"/>
  <c r="F17" i="80"/>
  <c r="F15" i="80"/>
  <c r="F38" i="79"/>
  <c r="E37" i="79"/>
  <c r="F36" i="79"/>
  <c r="F35" i="79"/>
  <c r="F21" i="79"/>
  <c r="C40" i="79"/>
  <c r="F20" i="79"/>
  <c r="E10" i="79"/>
  <c r="E9" i="79"/>
  <c r="C8" i="79"/>
  <c r="F7" i="79"/>
  <c r="B131" i="77"/>
  <c r="B129" i="77"/>
  <c r="B127" i="77"/>
  <c r="D126" i="77"/>
  <c r="E126" i="77"/>
  <c r="F126" i="77"/>
  <c r="G126" i="77"/>
  <c r="D124" i="77"/>
  <c r="E124"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B95" i="77"/>
  <c r="B93" i="77"/>
  <c r="D92" i="77"/>
  <c r="E92" i="77"/>
  <c r="F92" i="77"/>
  <c r="G92" i="77"/>
  <c r="H92" i="77"/>
  <c r="I92" i="77"/>
  <c r="J92" i="77"/>
  <c r="K92" i="77"/>
  <c r="L92" i="77"/>
  <c r="M92" i="77"/>
  <c r="B91" i="77"/>
  <c r="D90" i="77"/>
  <c r="E90" i="77"/>
  <c r="B89" i="77"/>
  <c r="D88" i="77"/>
  <c r="E88" i="77"/>
  <c r="F88" i="77"/>
  <c r="G88" i="77"/>
  <c r="D86" i="77"/>
  <c r="E86" i="77"/>
  <c r="F86" i="77"/>
  <c r="G86" i="77"/>
  <c r="D84" i="77"/>
  <c r="E84" i="77"/>
  <c r="F84" i="77"/>
  <c r="G84" i="77"/>
  <c r="D82" i="77"/>
  <c r="E82" i="77"/>
  <c r="F82" i="77"/>
  <c r="G82" i="77"/>
  <c r="D80" i="77"/>
  <c r="E80" i="77"/>
  <c r="F80" i="77"/>
  <c r="G80" i="77"/>
  <c r="D78" i="77"/>
  <c r="E78" i="77"/>
  <c r="F78" i="77"/>
  <c r="G78" i="77"/>
  <c r="B75" i="77"/>
  <c r="B73" i="77"/>
  <c r="B71" i="77"/>
  <c r="D70" i="77"/>
  <c r="E70" i="77"/>
  <c r="M68" i="77"/>
  <c r="L68" i="77"/>
  <c r="K68" i="77"/>
  <c r="J68" i="77"/>
  <c r="I68" i="77"/>
  <c r="H68" i="77"/>
  <c r="G68" i="77"/>
  <c r="F68" i="77"/>
  <c r="E68" i="77"/>
  <c r="D68" i="77"/>
  <c r="C68" i="77"/>
  <c r="H67" i="77"/>
  <c r="I67" i="77"/>
  <c r="F67" i="77"/>
  <c r="G67" i="77"/>
  <c r="C64" i="77"/>
  <c r="I55" i="77"/>
  <c r="J55" i="77"/>
  <c r="G55" i="77"/>
  <c r="H55" i="77"/>
  <c r="E55" i="77"/>
  <c r="F55" i="77"/>
  <c r="P50" i="77"/>
  <c r="P49" i="77"/>
  <c r="V48" i="77"/>
  <c r="T48" i="77"/>
  <c r="R48" i="77"/>
  <c r="P48" i="77"/>
  <c r="Q47" i="77"/>
  <c r="Z47" i="77"/>
  <c r="J47" i="77"/>
  <c r="AC47" i="77"/>
  <c r="H47" i="77"/>
  <c r="AB47" i="77"/>
  <c r="F47" i="77"/>
  <c r="AA47" i="77"/>
  <c r="Q46" i="77"/>
  <c r="Z46" i="77"/>
  <c r="J46" i="77"/>
  <c r="AC46" i="77"/>
  <c r="H46" i="77"/>
  <c r="AB46" i="77"/>
  <c r="F46" i="77"/>
  <c r="AA46" i="77"/>
  <c r="Q45" i="77"/>
  <c r="Z45" i="77"/>
  <c r="J45" i="77"/>
  <c r="AC45" i="77"/>
  <c r="H45" i="77"/>
  <c r="AB45" i="77"/>
  <c r="F45" i="77"/>
  <c r="AA45" i="77"/>
  <c r="Q44" i="77"/>
  <c r="Z44" i="77"/>
  <c r="J44" i="77"/>
  <c r="AC44" i="77"/>
  <c r="H44" i="77"/>
  <c r="AB44" i="77"/>
  <c r="F44" i="77"/>
  <c r="AA44" i="77"/>
  <c r="Q43" i="77"/>
  <c r="Z43" i="77"/>
  <c r="J43" i="77"/>
  <c r="AC43" i="77"/>
  <c r="H43" i="77"/>
  <c r="AB43" i="77"/>
  <c r="F43" i="77"/>
  <c r="AA43" i="77"/>
  <c r="Q42" i="77"/>
  <c r="Z42" i="77"/>
  <c r="J42" i="77"/>
  <c r="AC42" i="77"/>
  <c r="H42" i="77"/>
  <c r="AB42" i="77"/>
  <c r="F42" i="77"/>
  <c r="AA42" i="77"/>
  <c r="Q41" i="77"/>
  <c r="Z41" i="77"/>
  <c r="J41" i="77"/>
  <c r="AC41" i="77"/>
  <c r="H41" i="77"/>
  <c r="AB41" i="77"/>
  <c r="F41" i="77"/>
  <c r="AA41" i="77"/>
  <c r="Q40" i="77"/>
  <c r="Z40" i="77"/>
  <c r="J40" i="77"/>
  <c r="AC40" i="77"/>
  <c r="H40" i="77"/>
  <c r="AB40" i="77"/>
  <c r="F40" i="77"/>
  <c r="AA40" i="77"/>
  <c r="Q39" i="77"/>
  <c r="Z39" i="77"/>
  <c r="J39" i="77"/>
  <c r="AC39" i="77"/>
  <c r="H39" i="77"/>
  <c r="AB39" i="77"/>
  <c r="F39" i="77"/>
  <c r="AA39" i="77"/>
  <c r="Q38" i="77"/>
  <c r="Z38" i="77"/>
  <c r="J38" i="77"/>
  <c r="AC38" i="77"/>
  <c r="H38" i="77"/>
  <c r="AB38" i="77"/>
  <c r="F38" i="77"/>
  <c r="AA38" i="77"/>
  <c r="Q37" i="77"/>
  <c r="Z37" i="77"/>
  <c r="J37" i="77"/>
  <c r="AC37" i="77"/>
  <c r="H37" i="77"/>
  <c r="AB37" i="77"/>
  <c r="F37" i="77"/>
  <c r="AA37" i="77"/>
  <c r="Q36" i="77"/>
  <c r="Z36" i="77"/>
  <c r="J36" i="77"/>
  <c r="AC36" i="77"/>
  <c r="H36" i="77"/>
  <c r="AB36" i="77"/>
  <c r="F36" i="77"/>
  <c r="AA36" i="77"/>
  <c r="Q35" i="77"/>
  <c r="Z35" i="77"/>
  <c r="J35" i="77"/>
  <c r="AC35" i="77"/>
  <c r="H35" i="77"/>
  <c r="AB35" i="77"/>
  <c r="F35" i="77"/>
  <c r="AA35" i="77"/>
  <c r="Q34" i="77"/>
  <c r="Z34" i="77"/>
  <c r="J34" i="77"/>
  <c r="AC34" i="77"/>
  <c r="H34" i="77"/>
  <c r="AB34" i="77"/>
  <c r="F34" i="77"/>
  <c r="AA34" i="77"/>
  <c r="Q33" i="77"/>
  <c r="Z33" i="77"/>
  <c r="J33" i="77"/>
  <c r="AC33" i="77"/>
  <c r="H33" i="77"/>
  <c r="AB33" i="77"/>
  <c r="F33" i="77"/>
  <c r="AA33" i="77"/>
  <c r="Q32" i="77"/>
  <c r="Z32" i="77"/>
  <c r="J32" i="77"/>
  <c r="AC32" i="77"/>
  <c r="H32" i="77"/>
  <c r="AB32" i="77"/>
  <c r="F32" i="77"/>
  <c r="AA32" i="77"/>
  <c r="Q31" i="77"/>
  <c r="Z31" i="77"/>
  <c r="J31" i="77"/>
  <c r="AC31" i="77"/>
  <c r="H31" i="77"/>
  <c r="AB31" i="77"/>
  <c r="F31" i="77"/>
  <c r="AA31" i="77"/>
  <c r="Q30" i="77"/>
  <c r="Z30" i="77"/>
  <c r="J30" i="77"/>
  <c r="AC30" i="77"/>
  <c r="H30" i="77"/>
  <c r="AB30" i="77"/>
  <c r="F30" i="77"/>
  <c r="AA30" i="77"/>
  <c r="Q29" i="77"/>
  <c r="Z29" i="77"/>
  <c r="J29" i="77"/>
  <c r="AC29" i="77"/>
  <c r="H29" i="77"/>
  <c r="AB29" i="77"/>
  <c r="F29" i="77"/>
  <c r="AA29" i="77"/>
  <c r="Q28" i="77"/>
  <c r="Z28" i="77"/>
  <c r="J28" i="77"/>
  <c r="AC28" i="77"/>
  <c r="H28" i="77"/>
  <c r="AB28" i="77"/>
  <c r="F28" i="77"/>
  <c r="Q27" i="77"/>
  <c r="Z27" i="77"/>
  <c r="J27" i="77"/>
  <c r="F27" i="77"/>
  <c r="AA27" i="77"/>
  <c r="Q25" i="77"/>
  <c r="Z25" i="77"/>
  <c r="Q23" i="77"/>
  <c r="Z23" i="77"/>
  <c r="J23" i="77"/>
  <c r="AC23" i="77"/>
  <c r="H23" i="77"/>
  <c r="AB23" i="77"/>
  <c r="F23" i="77"/>
  <c r="AA23" i="77"/>
  <c r="C23" i="77"/>
  <c r="Q21" i="77"/>
  <c r="Z21" i="77"/>
  <c r="J21" i="77"/>
  <c r="AC21" i="77"/>
  <c r="H21" i="77"/>
  <c r="AB21" i="77"/>
  <c r="F21" i="77"/>
  <c r="AA21" i="77"/>
  <c r="C21" i="77"/>
  <c r="Q19" i="77"/>
  <c r="Z19" i="77"/>
  <c r="J19" i="77"/>
  <c r="AC19" i="77"/>
  <c r="H19" i="77"/>
  <c r="AB19" i="77"/>
  <c r="F19" i="77"/>
  <c r="AA19" i="77"/>
  <c r="C19" i="77"/>
  <c r="Q17" i="77"/>
  <c r="Z17" i="77"/>
  <c r="J17" i="77"/>
  <c r="AC17" i="77"/>
  <c r="H17" i="77"/>
  <c r="AB17" i="77"/>
  <c r="F17" i="77"/>
  <c r="AA17" i="77"/>
  <c r="C17" i="77"/>
  <c r="Q15" i="77"/>
  <c r="Z15" i="77"/>
  <c r="J15" i="77"/>
  <c r="AC15" i="77"/>
  <c r="H15" i="77"/>
  <c r="AB15" i="77"/>
  <c r="F15" i="77"/>
  <c r="AA15" i="77"/>
  <c r="C15" i="77"/>
  <c r="Q14" i="77"/>
  <c r="Z14" i="77"/>
  <c r="J14" i="77"/>
  <c r="AC14" i="77"/>
  <c r="H14" i="77"/>
  <c r="AB14" i="77"/>
  <c r="F14" i="77"/>
  <c r="AA14" i="77"/>
  <c r="Q13" i="77"/>
  <c r="Z13" i="77"/>
  <c r="J13" i="77"/>
  <c r="AC13" i="77"/>
  <c r="H13" i="77"/>
  <c r="AB13" i="77"/>
  <c r="F13" i="77"/>
  <c r="AA13" i="77"/>
  <c r="Q12" i="77"/>
  <c r="Z12" i="77"/>
  <c r="J12" i="77"/>
  <c r="AC12" i="77"/>
  <c r="H12" i="77"/>
  <c r="AB12" i="77"/>
  <c r="F12" i="77"/>
  <c r="AA12" i="77"/>
  <c r="Q11" i="77"/>
  <c r="Z11" i="77"/>
  <c r="Q10" i="77"/>
  <c r="Z10" i="77"/>
  <c r="J10" i="77"/>
  <c r="AC10" i="77"/>
  <c r="H10" i="77"/>
  <c r="AB10" i="77"/>
  <c r="F10" i="77"/>
  <c r="AA10" i="77"/>
  <c r="Q9" i="77"/>
  <c r="Z9" i="77"/>
  <c r="J9" i="77"/>
  <c r="AC9" i="77"/>
  <c r="H9" i="77"/>
  <c r="AB9" i="77"/>
  <c r="F9" i="77"/>
  <c r="AA9" i="77"/>
  <c r="J8" i="77"/>
  <c r="AC8" i="77"/>
  <c r="H8" i="77"/>
  <c r="AB8" i="77"/>
  <c r="F8" i="77"/>
  <c r="AA8" i="77"/>
  <c r="D3" i="77"/>
  <c r="D2" i="77"/>
  <c r="D34" i="82"/>
  <c r="D35" i="82"/>
  <c r="E2" i="79"/>
  <c r="D34" i="81"/>
  <c r="D35" i="81"/>
  <c r="H88" i="77"/>
  <c r="I88" i="77"/>
  <c r="J88" i="77"/>
  <c r="K88" i="77"/>
  <c r="L88" i="77"/>
  <c r="M88" i="77"/>
  <c r="J25" i="77"/>
  <c r="AC25" i="77"/>
  <c r="F25" i="77"/>
  <c r="AA25" i="77"/>
  <c r="H25" i="77"/>
  <c r="AB25" i="77"/>
  <c r="U8" i="77"/>
  <c r="H103" i="81"/>
  <c r="D120" i="81"/>
  <c r="D23" i="83"/>
  <c r="C21" i="79"/>
  <c r="F70" i="77"/>
  <c r="J11" i="77"/>
  <c r="F90" i="77"/>
  <c r="G90" i="77"/>
  <c r="H90" i="77"/>
  <c r="I90" i="77"/>
  <c r="J90" i="77"/>
  <c r="K90" i="77"/>
  <c r="L90" i="77"/>
  <c r="M90" i="77"/>
  <c r="H27" i="77"/>
  <c r="AB27" i="77"/>
  <c r="H111" i="81"/>
  <c r="D126" i="81"/>
  <c r="D127" i="81"/>
  <c r="H111" i="82"/>
  <c r="D126" i="82"/>
  <c r="D127" i="82"/>
  <c r="C18" i="81"/>
  <c r="D18" i="81"/>
  <c r="C18" i="82"/>
  <c r="D18" i="82"/>
  <c r="P61" i="83"/>
  <c r="K120" i="82"/>
  <c r="D121" i="82"/>
  <c r="C92" i="82"/>
  <c r="C94" i="82"/>
  <c r="K120" i="81"/>
  <c r="D121" i="81"/>
  <c r="C92" i="81"/>
  <c r="C94" i="81"/>
  <c r="U9" i="77"/>
  <c r="U13" i="77"/>
  <c r="S8" i="77"/>
  <c r="W8" i="77"/>
  <c r="S9" i="77"/>
  <c r="W9" i="77"/>
  <c r="U10" i="77"/>
  <c r="U12" i="77"/>
  <c r="S13" i="77"/>
  <c r="W13" i="77"/>
  <c r="U14" i="77"/>
  <c r="U15" i="77"/>
  <c r="U17" i="77"/>
  <c r="U19" i="77"/>
  <c r="U21" i="77"/>
  <c r="U23" i="77"/>
  <c r="S25" i="77"/>
  <c r="W25" i="77"/>
  <c r="S10" i="77"/>
  <c r="W10" i="77"/>
  <c r="S12" i="77"/>
  <c r="W12" i="77"/>
  <c r="S14" i="77"/>
  <c r="W14" i="77"/>
  <c r="S15" i="77"/>
  <c r="W15" i="77"/>
  <c r="S17" i="77"/>
  <c r="W17" i="77"/>
  <c r="S19" i="77"/>
  <c r="W19" i="77"/>
  <c r="S21" i="77"/>
  <c r="W21" i="77"/>
  <c r="S23" i="77"/>
  <c r="W23" i="77"/>
  <c r="U25" i="77"/>
  <c r="AC27" i="77"/>
  <c r="W27" i="77"/>
  <c r="S27" i="77"/>
  <c r="AA28"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U4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45" i="77"/>
  <c r="W45" i="77"/>
  <c r="U46" i="77"/>
  <c r="S47" i="77"/>
  <c r="W47" i="77"/>
  <c r="U27" i="77"/>
  <c r="AC11" i="77"/>
  <c r="W11" i="77"/>
  <c r="G70" i="77"/>
  <c r="H70" i="77"/>
  <c r="I70" i="77"/>
  <c r="J70" i="77"/>
  <c r="F11" i="77"/>
  <c r="AA11" i="77"/>
  <c r="S11" i="77"/>
  <c r="K70" i="77"/>
  <c r="L70" i="77"/>
  <c r="M70" i="77"/>
  <c r="H11" i="77"/>
  <c r="AB11" i="77"/>
  <c r="U11" i="77"/>
  <c r="B7" i="4"/>
  <c r="D3" i="4"/>
  <c r="D7" i="71"/>
  <c r="AH5" i="71"/>
  <c r="AG5" i="71"/>
  <c r="AE5" i="71"/>
  <c r="AF5" i="71"/>
  <c r="AD5" i="71"/>
  <c r="Q5" i="71"/>
  <c r="P5" i="71"/>
  <c r="O5" i="71"/>
  <c r="N5" i="71"/>
  <c r="L3" i="71"/>
  <c r="K3" i="71"/>
  <c r="I3" i="71"/>
  <c r="J3" i="71"/>
  <c r="AD6" i="71"/>
  <c r="AG6" i="71"/>
  <c r="AH6" i="71"/>
  <c r="AE6" i="71"/>
  <c r="AF6" i="71"/>
  <c r="N6" i="71"/>
  <c r="Q6" i="71"/>
  <c r="F6" i="71"/>
  <c r="F5" i="71"/>
  <c r="P6" i="71"/>
  <c r="O6" i="71"/>
  <c r="C6" i="71"/>
  <c r="Q7" i="71"/>
  <c r="P7" i="71"/>
  <c r="E6" i="71"/>
  <c r="E5" i="71"/>
  <c r="O7" i="71"/>
  <c r="N7" i="71"/>
  <c r="B6" i="71"/>
  <c r="S6" i="71"/>
  <c r="B5" i="71"/>
  <c r="A2" i="53"/>
  <c r="K59" i="67"/>
  <c r="P61" i="67"/>
  <c r="K59" i="15"/>
  <c r="P74" i="15"/>
  <c r="D116" i="39"/>
  <c r="E116" i="39"/>
  <c r="F116" i="39"/>
  <c r="G116" i="39"/>
  <c r="H116" i="39"/>
  <c r="I116" i="39"/>
  <c r="J116" i="39"/>
  <c r="K116" i="39"/>
  <c r="L116" i="39"/>
  <c r="M116" i="39"/>
  <c r="C116" i="39"/>
  <c r="A21" i="62"/>
  <c r="B67" i="72"/>
  <c r="A20" i="62"/>
  <c r="B66" i="72"/>
  <c r="A22" i="51"/>
  <c r="A21" i="51"/>
  <c r="B16" i="72"/>
  <c r="A20" i="51"/>
  <c r="A15" i="62"/>
  <c r="A14" i="62"/>
  <c r="A13" i="62"/>
  <c r="A19" i="62"/>
  <c r="A12" i="62"/>
  <c r="B58" i="72"/>
  <c r="A120" i="9"/>
  <c r="H2" i="52"/>
  <c r="A1" i="52"/>
  <c r="A3" i="53"/>
  <c r="Q8" i="71"/>
  <c r="P8" i="71"/>
  <c r="O8" i="71"/>
  <c r="N8" i="71"/>
  <c r="D5" i="43"/>
  <c r="A15" i="51"/>
  <c r="B12" i="72"/>
  <c r="C76" i="9"/>
  <c r="I107" i="40"/>
  <c r="K6" i="4"/>
  <c r="B22" i="31"/>
  <c r="N56" i="9"/>
  <c r="E17" i="74"/>
  <c r="F17" i="74"/>
  <c r="E18" i="74"/>
  <c r="F18" i="74"/>
  <c r="E19" i="74"/>
  <c r="F19" i="74"/>
  <c r="E20" i="74"/>
  <c r="F20" i="74"/>
  <c r="E21" i="74"/>
  <c r="F21" i="74"/>
  <c r="E22" i="74"/>
  <c r="F22" i="74"/>
  <c r="E23" i="74"/>
  <c r="F23" i="74"/>
  <c r="B3" i="74"/>
  <c r="C91" i="9"/>
  <c r="B8" i="72"/>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65" i="72"/>
  <c r="B60" i="72"/>
  <c r="B59" i="72"/>
  <c r="B10" i="72"/>
  <c r="C53" i="10"/>
  <c r="B51" i="10"/>
  <c r="B19" i="72"/>
  <c r="A18" i="51"/>
  <c r="B13" i="72"/>
  <c r="C8" i="68"/>
  <c r="B49" i="48"/>
  <c r="B5" i="72"/>
  <c r="I19" i="43"/>
  <c r="D71" i="71"/>
  <c r="F70" i="71"/>
  <c r="E70" i="71"/>
  <c r="E69" i="71"/>
  <c r="E68" i="71"/>
  <c r="C70" i="71"/>
  <c r="D70" i="71"/>
  <c r="B70" i="71"/>
  <c r="F69" i="71"/>
  <c r="F68"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D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C41"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C37" i="71"/>
  <c r="N35" i="71"/>
  <c r="B36" i="71"/>
  <c r="B37" i="71"/>
  <c r="B38" i="71"/>
  <c r="S38" i="71"/>
  <c r="D35" i="71"/>
  <c r="Q34" i="71"/>
  <c r="P34" i="71"/>
  <c r="O34" i="71"/>
  <c r="N34" i="71"/>
  <c r="Q33" i="71"/>
  <c r="P33" i="71"/>
  <c r="O33" i="71"/>
  <c r="N33" i="71"/>
  <c r="Q32" i="71"/>
  <c r="P32" i="71"/>
  <c r="O32" i="71"/>
  <c r="N32" i="71"/>
  <c r="Q31" i="71"/>
  <c r="F32" i="71"/>
  <c r="F33" i="71"/>
  <c r="P31" i="71"/>
  <c r="E32" i="71"/>
  <c r="E33" i="71"/>
  <c r="E34" i="71"/>
  <c r="U34" i="71"/>
  <c r="O31" i="71"/>
  <c r="C32" i="71"/>
  <c r="C33" i="71"/>
  <c r="N31" i="71"/>
  <c r="B32" i="71"/>
  <c r="B33" i="71"/>
  <c r="B34" i="71"/>
  <c r="S34" i="71"/>
  <c r="D31" i="71"/>
  <c r="T30" i="71"/>
  <c r="Q30" i="71"/>
  <c r="P30" i="71"/>
  <c r="O30" i="71"/>
  <c r="N30" i="71"/>
  <c r="D30" i="71"/>
  <c r="Q29" i="71"/>
  <c r="P29" i="71"/>
  <c r="O29" i="71"/>
  <c r="N29" i="71"/>
  <c r="Q28" i="71"/>
  <c r="P28" i="71"/>
  <c r="O28" i="71"/>
  <c r="N28" i="71"/>
  <c r="Q27" i="71"/>
  <c r="F28"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AB21" i="71"/>
  <c r="Q21" i="71"/>
  <c r="P21" i="71"/>
  <c r="O21" i="71"/>
  <c r="Y21" i="71"/>
  <c r="Z21" i="71"/>
  <c r="N21" i="71"/>
  <c r="X21" i="71"/>
  <c r="Q20" i="71"/>
  <c r="AB20" i="71"/>
  <c r="P20" i="71"/>
  <c r="O20" i="71"/>
  <c r="Y20" i="71"/>
  <c r="Z20" i="71"/>
  <c r="N20" i="71"/>
  <c r="Q19" i="71"/>
  <c r="F20" i="71"/>
  <c r="F21" i="71"/>
  <c r="F22" i="71"/>
  <c r="V22" i="71"/>
  <c r="P19" i="71"/>
  <c r="O19" i="71"/>
  <c r="C20" i="71"/>
  <c r="D20" i="71"/>
  <c r="N19" i="71"/>
  <c r="D19" i="71"/>
  <c r="Q18" i="71"/>
  <c r="AB18" i="71"/>
  <c r="P18" i="71"/>
  <c r="O18" i="71"/>
  <c r="Y18" i="71"/>
  <c r="Z18" i="71"/>
  <c r="N18" i="71"/>
  <c r="Q17" i="71"/>
  <c r="P17" i="71"/>
  <c r="AA17" i="71"/>
  <c r="O17" i="71"/>
  <c r="Y17" i="71"/>
  <c r="Z17" i="71"/>
  <c r="N17" i="71"/>
  <c r="Q16" i="71"/>
  <c r="AB16" i="71"/>
  <c r="P16" i="71"/>
  <c r="O16" i="71"/>
  <c r="N16" i="71"/>
  <c r="Q15" i="71"/>
  <c r="F16" i="71"/>
  <c r="P15" i="71"/>
  <c r="E16" i="71"/>
  <c r="E17" i="71"/>
  <c r="E18" i="71"/>
  <c r="U18" i="71"/>
  <c r="O15" i="71"/>
  <c r="N15" i="71"/>
  <c r="D15" i="71"/>
  <c r="Q14" i="71"/>
  <c r="AB14" i="71"/>
  <c r="P14" i="71"/>
  <c r="O14" i="71"/>
  <c r="N14" i="71"/>
  <c r="X13" i="71"/>
  <c r="Q13" i="71"/>
  <c r="P13" i="71"/>
  <c r="O13" i="71"/>
  <c r="Y13" i="71"/>
  <c r="Z13" i="71"/>
  <c r="N13" i="71"/>
  <c r="Q12" i="71"/>
  <c r="AB12" i="71"/>
  <c r="P12" i="71"/>
  <c r="O12" i="71"/>
  <c r="N12" i="71"/>
  <c r="Q11" i="71"/>
  <c r="P11" i="71"/>
  <c r="E12" i="71"/>
  <c r="E13" i="71"/>
  <c r="E14" i="71"/>
  <c r="U14" i="71"/>
  <c r="O11" i="71"/>
  <c r="N11" i="71"/>
  <c r="X9" i="71"/>
  <c r="D11" i="71"/>
  <c r="O10" i="71"/>
  <c r="C10" i="71"/>
  <c r="C9" i="71"/>
  <c r="N10" i="71"/>
  <c r="B12" i="71"/>
  <c r="B13" i="71"/>
  <c r="B14" i="71"/>
  <c r="S14" i="71"/>
  <c r="B16" i="71"/>
  <c r="B17" i="71"/>
  <c r="B18" i="71"/>
  <c r="S18" i="71"/>
  <c r="B20" i="71"/>
  <c r="B21" i="71"/>
  <c r="B22" i="71"/>
  <c r="S22" i="71"/>
  <c r="X19" i="71"/>
  <c r="E20" i="71"/>
  <c r="E21" i="71"/>
  <c r="E22" i="71"/>
  <c r="U22" i="71"/>
  <c r="N50" i="71"/>
  <c r="C12" i="71"/>
  <c r="C13" i="71"/>
  <c r="X12" i="71"/>
  <c r="X14" i="71"/>
  <c r="C16" i="71"/>
  <c r="Y15" i="71"/>
  <c r="Z15" i="71"/>
  <c r="AA16" i="71"/>
  <c r="X18" i="71"/>
  <c r="AA18" i="71"/>
  <c r="Y19" i="71"/>
  <c r="Z19" i="71"/>
  <c r="X20" i="71"/>
  <c r="AA20" i="71"/>
  <c r="F34" i="71"/>
  <c r="V34" i="71"/>
  <c r="X7" i="71"/>
  <c r="X10" i="71"/>
  <c r="D12" i="71"/>
  <c r="C21" i="71"/>
  <c r="C25" i="71"/>
  <c r="C29" i="71"/>
  <c r="D29" i="71"/>
  <c r="D28" i="71"/>
  <c r="D32" i="71"/>
  <c r="P10" i="71"/>
  <c r="E37" i="71"/>
  <c r="E38" i="71"/>
  <c r="U38" i="71"/>
  <c r="E41" i="71"/>
  <c r="E42" i="71"/>
  <c r="U42" i="71"/>
  <c r="U50" i="71"/>
  <c r="Q10" i="71"/>
  <c r="D36" i="71"/>
  <c r="D40" i="71"/>
  <c r="C45" i="71"/>
  <c r="D45" i="71"/>
  <c r="N49" i="71"/>
  <c r="B48" i="71"/>
  <c r="T50" i="71"/>
  <c r="O50" i="71"/>
  <c r="D50" i="71"/>
  <c r="C49" i="71"/>
  <c r="Q50" i="71"/>
  <c r="C53" i="71"/>
  <c r="E53" i="71"/>
  <c r="E52" i="71"/>
  <c r="D54" i="71"/>
  <c r="C57" i="71"/>
  <c r="E57" i="71"/>
  <c r="E56" i="71"/>
  <c r="D58" i="71"/>
  <c r="C61" i="71"/>
  <c r="E61" i="71"/>
  <c r="E60" i="71"/>
  <c r="D62" i="71"/>
  <c r="C65" i="71"/>
  <c r="C64" i="71"/>
  <c r="C69" i="71"/>
  <c r="F10" i="71"/>
  <c r="F9" i="71"/>
  <c r="F8" i="71"/>
  <c r="AB3" i="71"/>
  <c r="AB7" i="71"/>
  <c r="AB8" i="71"/>
  <c r="AB9" i="71"/>
  <c r="AB10" i="71"/>
  <c r="E10" i="71"/>
  <c r="E9" i="71"/>
  <c r="E8" i="71"/>
  <c r="AA3" i="71"/>
  <c r="AA7" i="71"/>
  <c r="AA8" i="71"/>
  <c r="AA9" i="71"/>
  <c r="AA10" i="71"/>
  <c r="C48" i="71"/>
  <c r="O49" i="71"/>
  <c r="D49" i="71"/>
  <c r="D65" i="71"/>
  <c r="D64" i="71"/>
  <c r="D57" i="71"/>
  <c r="C56" i="71"/>
  <c r="D56" i="71"/>
  <c r="N47" i="71"/>
  <c r="N48" i="71"/>
  <c r="D69" i="71"/>
  <c r="C68" i="71"/>
  <c r="D68" i="71"/>
  <c r="D61" i="71"/>
  <c r="C60" i="71"/>
  <c r="D60" i="71"/>
  <c r="D53" i="71"/>
  <c r="C52" i="71"/>
  <c r="D52" i="71"/>
  <c r="C42" i="71"/>
  <c r="T42" i="71"/>
  <c r="D41" i="71"/>
  <c r="C38" i="71"/>
  <c r="T38" i="71"/>
  <c r="D37" i="71"/>
  <c r="C34" i="71"/>
  <c r="T34" i="71"/>
  <c r="D33" i="71"/>
  <c r="C26" i="71"/>
  <c r="T26" i="71"/>
  <c r="D25" i="71"/>
  <c r="C22" i="71"/>
  <c r="T22" i="71"/>
  <c r="D21" i="71"/>
  <c r="C14" i="71"/>
  <c r="T14" i="71"/>
  <c r="D13" i="71"/>
  <c r="V10" i="71"/>
  <c r="O48" i="71"/>
  <c r="D48" i="71"/>
  <c r="O47" i="71"/>
  <c r="D14" i="71"/>
  <c r="D22" i="71"/>
  <c r="M19" i="43"/>
  <c r="D26" i="71"/>
  <c r="D34" i="71"/>
  <c r="D38" i="71"/>
  <c r="D42"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U18" i="36"/>
  <c r="F94" i="40"/>
  <c r="H25" i="40"/>
  <c r="G94" i="40"/>
  <c r="J25" i="40"/>
  <c r="H29" i="39"/>
  <c r="AB29" i="39"/>
  <c r="J29" i="39"/>
  <c r="AC29" i="39"/>
  <c r="J18" i="36"/>
  <c r="AC18" i="36"/>
  <c r="F68" i="35"/>
  <c r="G68" i="35"/>
  <c r="H18" i="35"/>
  <c r="AB18" i="35"/>
  <c r="S18" i="35"/>
  <c r="J18" i="35"/>
  <c r="AC18" i="35"/>
  <c r="F77" i="37"/>
  <c r="G77" i="37"/>
  <c r="H21" i="37"/>
  <c r="U21" i="37"/>
  <c r="F21" i="37"/>
  <c r="AA21" i="37"/>
  <c r="H21" i="34"/>
  <c r="AB21" i="34"/>
  <c r="H21" i="33"/>
  <c r="U21" i="33"/>
  <c r="F21" i="33"/>
  <c r="E83" i="21"/>
  <c r="F83" i="21"/>
  <c r="G83" i="21"/>
  <c r="S21" i="21"/>
  <c r="H1" i="69"/>
  <c r="AC25" i="40"/>
  <c r="W25" i="40"/>
  <c r="AB25" i="40"/>
  <c r="U25" i="40"/>
  <c r="U29" i="39"/>
  <c r="W29" i="39"/>
  <c r="W18" i="36"/>
  <c r="AB21" i="37"/>
  <c r="S21" i="37"/>
  <c r="AA21" i="33"/>
  <c r="S21" i="33"/>
  <c r="U18" i="35"/>
  <c r="W18" i="35"/>
  <c r="J21" i="37"/>
  <c r="W21" i="37"/>
  <c r="J21" i="34"/>
  <c r="W21" i="34"/>
  <c r="J21" i="33"/>
  <c r="W21" i="33"/>
  <c r="H21" i="21"/>
  <c r="U21" i="21"/>
  <c r="F38" i="69"/>
  <c r="E37" i="69"/>
  <c r="F36" i="69"/>
  <c r="F35" i="69"/>
  <c r="F21" i="69"/>
  <c r="C21" i="69"/>
  <c r="F20" i="69"/>
  <c r="E10" i="69"/>
  <c r="E9" i="69"/>
  <c r="F7" i="69"/>
  <c r="C7" i="69"/>
  <c r="AC21" i="37"/>
  <c r="AC21" i="33"/>
  <c r="AB21" i="21"/>
  <c r="J21" i="21"/>
  <c r="AC21" i="21"/>
  <c r="F38" i="68"/>
  <c r="E37" i="68"/>
  <c r="F36" i="68"/>
  <c r="F35" i="68"/>
  <c r="F21" i="68"/>
  <c r="C21" i="68"/>
  <c r="F20" i="68"/>
  <c r="E10" i="68"/>
  <c r="E9" i="68"/>
  <c r="F7" i="68"/>
  <c r="W21" i="21"/>
  <c r="Q72" i="67"/>
  <c r="Q59" i="67"/>
  <c r="Q58" i="67"/>
  <c r="Q51" i="67"/>
  <c r="J50" i="67"/>
  <c r="M47" i="67"/>
  <c r="D46" i="67"/>
  <c r="F33" i="67"/>
  <c r="F61" i="67"/>
  <c r="F23" i="67"/>
  <c r="D24" i="67"/>
  <c r="F21" i="67"/>
  <c r="F20" i="67"/>
  <c r="M19" i="67"/>
  <c r="F18" i="67"/>
  <c r="F17" i="67"/>
  <c r="F15" i="67"/>
  <c r="S2" i="4"/>
  <c r="A13" i="51"/>
  <c r="B11" i="72"/>
  <c r="S1" i="4"/>
  <c r="B1" i="4"/>
  <c r="B37" i="48"/>
  <c r="B2" i="72"/>
  <c r="C31" i="66"/>
  <c r="C27" i="66"/>
  <c r="C32" i="66"/>
  <c r="I23" i="66"/>
  <c r="D20" i="66"/>
  <c r="I19" i="66"/>
  <c r="I18" i="66"/>
  <c r="I17" i="66"/>
  <c r="I20" i="66"/>
  <c r="E15" i="66"/>
  <c r="I14" i="66"/>
  <c r="I13" i="66"/>
  <c r="I12"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M64" i="43"/>
  <c r="N64" i="43"/>
  <c r="K64" i="43"/>
  <c r="D64" i="43"/>
  <c r="M63" i="43"/>
  <c r="D63" i="43"/>
  <c r="K63" i="43"/>
  <c r="J63" i="43"/>
  <c r="M62" i="43"/>
  <c r="N62" i="43"/>
  <c r="K62" i="43"/>
  <c r="J62" i="43"/>
  <c r="M61" i="43"/>
  <c r="N61" i="43"/>
  <c r="K61" i="43"/>
  <c r="D61" i="43"/>
  <c r="M60" i="43"/>
  <c r="N60" i="43"/>
  <c r="K60" i="43"/>
  <c r="J60" i="43"/>
  <c r="M59" i="43"/>
  <c r="N59" i="43"/>
  <c r="K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c r="R35" i="4"/>
  <c r="Q35" i="4"/>
  <c r="P35" i="4"/>
  <c r="O35" i="4"/>
  <c r="N35" i="4"/>
  <c r="M35" i="4"/>
  <c r="L35" i="4"/>
  <c r="K34" i="4"/>
  <c r="T34" i="4"/>
  <c r="T35" i="4"/>
  <c r="A19" i="51"/>
  <c r="B14" i="72"/>
  <c r="G13" i="1"/>
  <c r="G11" i="1"/>
  <c r="I15" i="4"/>
  <c r="H15" i="4"/>
  <c r="G15" i="4"/>
  <c r="F8" i="1"/>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3" i="43"/>
  <c r="J20" i="43"/>
  <c r="C18" i="43"/>
  <c r="F15" i="43"/>
  <c r="E15" i="43"/>
  <c r="D15" i="43"/>
  <c r="C15" i="43"/>
  <c r="C10" i="43"/>
  <c r="C11" i="43"/>
  <c r="C9" i="43"/>
  <c r="A7" i="43"/>
  <c r="F33" i="15"/>
  <c r="F61" i="15"/>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c r="B15" i="74"/>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E19" i="79"/>
  <c r="B52" i="1"/>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AB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H27" i="35"/>
  <c r="U27" i="35"/>
  <c r="F27" i="35"/>
  <c r="AA27" i="35"/>
  <c r="J22" i="35"/>
  <c r="AC22" i="35"/>
  <c r="B101" i="35"/>
  <c r="H36" i="35"/>
  <c r="AB36" i="35"/>
  <c r="B99" i="35"/>
  <c r="B97" i="35"/>
  <c r="H34" i="35"/>
  <c r="B77" i="35"/>
  <c r="B75" i="35"/>
  <c r="J24" i="35"/>
  <c r="AC24" i="35"/>
  <c r="B73" i="35"/>
  <c r="H23" i="35"/>
  <c r="U23" i="35"/>
  <c r="B57" i="35"/>
  <c r="B61" i="35"/>
  <c r="B59" i="35"/>
  <c r="B131" i="34"/>
  <c r="B129" i="34"/>
  <c r="B127" i="34"/>
  <c r="B99" i="34"/>
  <c r="B97" i="34"/>
  <c r="B95" i="34"/>
  <c r="B93" i="34"/>
  <c r="B75" i="34"/>
  <c r="B73" i="34"/>
  <c r="B71" i="34"/>
  <c r="H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D85" i="33"/>
  <c r="E85" i="33"/>
  <c r="F85" i="33"/>
  <c r="D81" i="33"/>
  <c r="E81" i="33"/>
  <c r="F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J29" i="21"/>
  <c r="AC29" i="21"/>
  <c r="B92" i="21"/>
  <c r="B90" i="21"/>
  <c r="J27"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0" i="6"/>
  <c r="D38" i="43"/>
  <c r="I4" i="6"/>
  <c r="G3"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E21" i="6"/>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S39" i="37"/>
  <c r="U14" i="37"/>
  <c r="F29" i="36"/>
  <c r="AA29" i="36"/>
  <c r="W8" i="36"/>
  <c r="F16" i="36"/>
  <c r="AA16" i="36"/>
  <c r="U9" i="36"/>
  <c r="W28" i="36"/>
  <c r="S30" i="36"/>
  <c r="AC31" i="36"/>
  <c r="W31" i="36"/>
  <c r="U31" i="36"/>
  <c r="H22" i="35"/>
  <c r="AB22" i="35"/>
  <c r="W28" i="35"/>
  <c r="U31" i="35"/>
  <c r="S34" i="35"/>
  <c r="W34" i="35"/>
  <c r="W22" i="35"/>
  <c r="S31" i="35"/>
  <c r="F36" i="34"/>
  <c r="J35" i="34"/>
  <c r="S34" i="34"/>
  <c r="U34" i="34"/>
  <c r="H39" i="33"/>
  <c r="AB39" i="33"/>
  <c r="F26" i="33"/>
  <c r="AA26" i="33"/>
  <c r="U33" i="33"/>
  <c r="U35" i="33"/>
  <c r="S40" i="33"/>
  <c r="W33" i="33"/>
  <c r="W39" i="33"/>
  <c r="H39" i="37"/>
  <c r="AB39" i="37"/>
  <c r="S27" i="35"/>
  <c r="F11" i="40"/>
  <c r="AA11" i="40"/>
  <c r="H11" i="40"/>
  <c r="AB11" i="40"/>
  <c r="W8"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F28" i="34"/>
  <c r="AA28" i="34"/>
  <c r="F27" i="34"/>
  <c r="AA27" i="34"/>
  <c r="H23" i="34"/>
  <c r="U23" i="34"/>
  <c r="J23" i="34"/>
  <c r="AC23" i="34"/>
  <c r="F19" i="34"/>
  <c r="H17" i="34"/>
  <c r="U17" i="34"/>
  <c r="F15" i="34"/>
  <c r="AA15" i="34"/>
  <c r="J15" i="34"/>
  <c r="AC15" i="34"/>
  <c r="H15" i="34"/>
  <c r="AB15"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3" i="35"/>
  <c r="F29" i="35"/>
  <c r="S29" i="35"/>
  <c r="H29" i="35"/>
  <c r="AB29"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J42" i="21"/>
  <c r="AC42" i="21"/>
  <c r="H42" i="21"/>
  <c r="U42" i="21"/>
  <c r="J44" i="34"/>
  <c r="AC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B30" i="21"/>
  <c r="AC13" i="36"/>
  <c r="S11" i="36"/>
  <c r="W11" i="35"/>
  <c r="AC30" i="34"/>
  <c r="S45" i="33"/>
  <c r="AB31" i="33"/>
  <c r="W29" i="33"/>
  <c r="AC28" i="21"/>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AZ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AZ530" i="3"/>
  <c r="BA528" i="3"/>
  <c r="AZ528" i="3"/>
  <c r="BA526" i="3"/>
  <c r="AZ526" i="3"/>
  <c r="BA524" i="3"/>
  <c r="AZ524" i="3"/>
  <c r="BA522" i="3"/>
  <c r="BA520" i="3"/>
  <c r="BA518" i="3"/>
  <c r="AZ518" i="3"/>
  <c r="BA516" i="3"/>
  <c r="AZ516" i="3"/>
  <c r="BA514" i="3"/>
  <c r="AZ514" i="3"/>
  <c r="BA512" i="3"/>
  <c r="AZ512" i="3"/>
  <c r="BA510" i="3"/>
  <c r="AZ510" i="3"/>
  <c r="BA508" i="3"/>
  <c r="BA506" i="3"/>
  <c r="BA504" i="3"/>
  <c r="AZ504" i="3"/>
  <c r="BA502" i="3"/>
  <c r="BA500" i="3"/>
  <c r="AZ500" i="3"/>
  <c r="BA498" i="3"/>
  <c r="AZ498" i="3"/>
  <c r="BA496" i="3"/>
  <c r="BA494" i="3"/>
  <c r="AZ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BQ517" i="3"/>
  <c r="BL517" i="3"/>
  <c r="BQ515" i="3"/>
  <c r="BL515" i="3"/>
  <c r="AZ515" i="3"/>
  <c r="BQ513" i="3"/>
  <c r="BL513" i="3"/>
  <c r="BQ511" i="3"/>
  <c r="BL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U43" i="33"/>
  <c r="S28" i="31"/>
  <c r="S27" i="31"/>
  <c r="S26" i="31"/>
  <c r="U14" i="40"/>
  <c r="U35" i="35"/>
  <c r="W23" i="35"/>
  <c r="W14" i="37"/>
  <c r="U33" i="37"/>
  <c r="U39" i="37"/>
  <c r="W26" i="37"/>
  <c r="AC8" i="37"/>
  <c r="U26" i="37"/>
  <c r="AB13" i="34"/>
  <c r="AB37" i="34"/>
  <c r="AC31" i="33"/>
  <c r="W44" i="33"/>
  <c r="U11" i="33"/>
  <c r="U19" i="21"/>
  <c r="U2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H5" i="3"/>
  <c r="C12" i="43"/>
  <c r="H19" i="40"/>
  <c r="U19" i="40"/>
  <c r="F88" i="40"/>
  <c r="G88" i="40"/>
  <c r="F19" i="40"/>
  <c r="S19" i="40"/>
  <c r="S14"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G4" i="4"/>
  <c r="I4" i="4"/>
  <c r="K5" i="4"/>
  <c r="B47" i="48"/>
  <c r="A2" i="9"/>
  <c r="N2" i="43"/>
  <c r="AZ24" i="3"/>
  <c r="AZ28" i="3"/>
  <c r="BL549" i="3"/>
  <c r="AZ549" i="3"/>
  <c r="AZ502" i="3"/>
  <c r="AZ522" i="3"/>
  <c r="AZ546" i="3"/>
  <c r="G546" i="3"/>
  <c r="G524" i="3"/>
  <c r="G303" i="3"/>
  <c r="BL304" i="3"/>
  <c r="G305" i="3"/>
  <c r="BL306" i="3"/>
  <c r="BA308" i="3"/>
  <c r="AZ308" i="3"/>
  <c r="BA309" i="3"/>
  <c r="BL309" i="3"/>
  <c r="AZ309" i="3"/>
  <c r="G310" i="3"/>
  <c r="BA311" i="3"/>
  <c r="AZ311" i="3"/>
  <c r="G319" i="3"/>
  <c r="BL320" i="3"/>
  <c r="G321" i="3"/>
  <c r="BL322" i="3"/>
  <c r="BA324" i="3"/>
  <c r="BA325" i="3"/>
  <c r="BL325" i="3"/>
  <c r="AZ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AZ120" i="3"/>
  <c r="G121" i="3"/>
  <c r="BA123" i="3"/>
  <c r="AZ123" i="3"/>
  <c r="BL124" i="3"/>
  <c r="AZ124" i="3"/>
  <c r="G125" i="3"/>
  <c r="BA127" i="3"/>
  <c r="AZ127" i="3"/>
  <c r="BL128" i="3"/>
  <c r="G129" i="3"/>
  <c r="BA131" i="3"/>
  <c r="AZ131" i="3"/>
  <c r="BL132" i="3"/>
  <c r="AZ132" i="3"/>
  <c r="G133" i="3"/>
  <c r="BA135" i="3"/>
  <c r="AZ135" i="3"/>
  <c r="BL136" i="3"/>
  <c r="G137" i="3"/>
  <c r="BA139" i="3"/>
  <c r="AZ139" i="3"/>
  <c r="BL140" i="3"/>
  <c r="G141" i="3"/>
  <c r="BA143" i="3"/>
  <c r="AZ143" i="3"/>
  <c r="BL144" i="3"/>
  <c r="G145" i="3"/>
  <c r="BA147" i="3"/>
  <c r="AZ147" i="3"/>
  <c r="BL148" i="3"/>
  <c r="G149" i="3"/>
  <c r="BA151" i="3"/>
  <c r="AZ151" i="3"/>
  <c r="BL152" i="3"/>
  <c r="AZ152" i="3"/>
  <c r="G153" i="3"/>
  <c r="BA155" i="3"/>
  <c r="AZ155" i="3"/>
  <c r="BL156" i="3"/>
  <c r="AZ156" i="3"/>
  <c r="G157" i="3"/>
  <c r="BA159" i="3"/>
  <c r="AZ159" i="3"/>
  <c r="BL160" i="3"/>
  <c r="G161" i="3"/>
  <c r="BA163" i="3"/>
  <c r="AZ163" i="3"/>
  <c r="BL164" i="3"/>
  <c r="G165" i="3"/>
  <c r="BA167" i="3"/>
  <c r="AZ167" i="3"/>
  <c r="BL168" i="3"/>
  <c r="G169" i="3"/>
  <c r="BA171" i="3"/>
  <c r="AZ171" i="3"/>
  <c r="BL172" i="3"/>
  <c r="AZ172" i="3"/>
  <c r="G173" i="3"/>
  <c r="BA175" i="3"/>
  <c r="AZ175" i="3"/>
  <c r="BL176" i="3"/>
  <c r="G177" i="3"/>
  <c r="BA179" i="3"/>
  <c r="AZ179" i="3"/>
  <c r="BL180" i="3"/>
  <c r="G181" i="3"/>
  <c r="BA183" i="3"/>
  <c r="AZ183" i="3"/>
  <c r="BL184" i="3"/>
  <c r="AZ184" i="3"/>
  <c r="G185" i="3"/>
  <c r="BA187" i="3"/>
  <c r="AZ187" i="3"/>
  <c r="BL188" i="3"/>
  <c r="AZ188" i="3"/>
  <c r="G189" i="3"/>
  <c r="BA191" i="3"/>
  <c r="AZ191" i="3"/>
  <c r="BL192" i="3"/>
  <c r="G193" i="3"/>
  <c r="BA195" i="3"/>
  <c r="AZ195" i="3"/>
  <c r="BL196" i="3"/>
  <c r="G197" i="3"/>
  <c r="BA199" i="3"/>
  <c r="AZ199" i="3"/>
  <c r="BL200" i="3"/>
  <c r="G201" i="3"/>
  <c r="BA203" i="3"/>
  <c r="AZ203" i="3"/>
  <c r="BL204" i="3"/>
  <c r="AZ204" i="3"/>
  <c r="AZ51" i="3"/>
  <c r="AZ55" i="3"/>
  <c r="AZ67" i="3"/>
  <c r="AZ71" i="3"/>
  <c r="AZ83" i="3"/>
  <c r="AZ136" i="3"/>
  <c r="AZ144" i="3"/>
  <c r="AZ160" i="3"/>
  <c r="AZ168" i="3"/>
  <c r="AZ176" i="3"/>
  <c r="AZ192" i="3"/>
  <c r="AZ200" i="3"/>
  <c r="AZ85" i="3"/>
  <c r="AZ93" i="3"/>
  <c r="AZ105" i="3"/>
  <c r="G534" i="3"/>
  <c r="G530" i="3"/>
  <c r="G522" i="3"/>
  <c r="G516" i="3"/>
  <c r="G512" i="3"/>
  <c r="G506" i="3"/>
  <c r="G498" i="3"/>
  <c r="G494" i="3"/>
  <c r="G16" i="3"/>
  <c r="G15" i="3"/>
  <c r="BA304" i="3"/>
  <c r="AZ304" i="3"/>
  <c r="BA305" i="3"/>
  <c r="AZ305" i="3"/>
  <c r="BL305" i="3"/>
  <c r="G306" i="3"/>
  <c r="G309" i="3"/>
  <c r="BL310" i="3"/>
  <c r="BA312" i="3"/>
  <c r="BA313" i="3"/>
  <c r="BL313" i="3"/>
  <c r="AZ313" i="3"/>
  <c r="G314" i="3"/>
  <c r="G317" i="3"/>
  <c r="BL318" i="3"/>
  <c r="BA320" i="3"/>
  <c r="AZ320" i="3"/>
  <c r="BA321" i="3"/>
  <c r="AZ321" i="3"/>
  <c r="BL321" i="3"/>
  <c r="G322" i="3"/>
  <c r="G325" i="3"/>
  <c r="BL326" i="3"/>
  <c r="BA328" i="3"/>
  <c r="AZ328" i="3"/>
  <c r="BA329" i="3"/>
  <c r="BL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BL351" i="3"/>
  <c r="G352" i="3"/>
  <c r="G354" i="3"/>
  <c r="BA355" i="3"/>
  <c r="AZ355" i="3"/>
  <c r="BA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AZ382" i="3"/>
  <c r="BL382" i="3"/>
  <c r="G383" i="3"/>
  <c r="G386" i="3"/>
  <c r="BL387" i="3"/>
  <c r="BA389" i="3"/>
  <c r="AZ389" i="3"/>
  <c r="BA390" i="3"/>
  <c r="BL390" i="3"/>
  <c r="AZ390" i="3"/>
  <c r="G391" i="3"/>
  <c r="G394" i="3"/>
  <c r="AZ142" i="3"/>
  <c r="AZ150" i="3"/>
  <c r="AZ154" i="3"/>
  <c r="AZ158" i="3"/>
  <c r="AZ166" i="3"/>
  <c r="AZ170" i="3"/>
  <c r="AZ174" i="3"/>
  <c r="AZ182" i="3"/>
  <c r="AZ186" i="3"/>
  <c r="AZ190" i="3"/>
  <c r="AZ198" i="3"/>
  <c r="AZ202" i="3"/>
  <c r="AZ206" i="3"/>
  <c r="BA16" i="3"/>
  <c r="AZ16" i="3"/>
  <c r="BL303" i="3"/>
  <c r="G304" i="3"/>
  <c r="BA306" i="3"/>
  <c r="BL307" i="3"/>
  <c r="G308" i="3"/>
  <c r="BA310" i="3"/>
  <c r="AZ310" i="3"/>
  <c r="BL311" i="3"/>
  <c r="G312" i="3"/>
  <c r="BA314" i="3"/>
  <c r="AZ314" i="3"/>
  <c r="BL315" i="3"/>
  <c r="AZ315" i="3"/>
  <c r="G316" i="3"/>
  <c r="BA318" i="3"/>
  <c r="AZ318" i="3"/>
  <c r="BL319" i="3"/>
  <c r="AZ319" i="3"/>
  <c r="G320" i="3"/>
  <c r="BA322" i="3"/>
  <c r="AZ322" i="3"/>
  <c r="BL323" i="3"/>
  <c r="AZ323" i="3"/>
  <c r="G324" i="3"/>
  <c r="BA326" i="3"/>
  <c r="AZ326" i="3"/>
  <c r="BL327" i="3"/>
  <c r="G328" i="3"/>
  <c r="BA330" i="3"/>
  <c r="BL331" i="3"/>
  <c r="AZ331" i="3"/>
  <c r="G332" i="3"/>
  <c r="BA334" i="3"/>
  <c r="BL335" i="3"/>
  <c r="G336" i="3"/>
  <c r="BA338" i="3"/>
  <c r="AZ338" i="3"/>
  <c r="BL339" i="3"/>
  <c r="G340" i="3"/>
  <c r="BL343" i="3"/>
  <c r="G344" i="3"/>
  <c r="G348" i="3"/>
  <c r="G355" i="3"/>
  <c r="AZ218" i="3"/>
  <c r="G342" i="3"/>
  <c r="BL345" i="3"/>
  <c r="AZ345" i="3"/>
  <c r="G346"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G375" i="3"/>
  <c r="BA377" i="3"/>
  <c r="AZ377" i="3"/>
  <c r="AZ229" i="3"/>
  <c r="AZ241" i="3"/>
  <c r="AZ245" i="3"/>
  <c r="AZ257" i="3"/>
  <c r="AZ261" i="3"/>
  <c r="AZ265" i="3"/>
  <c r="BA379" i="3"/>
  <c r="AZ379" i="3"/>
  <c r="BL380" i="3"/>
  <c r="G381" i="3"/>
  <c r="BA383" i="3"/>
  <c r="AZ383" i="3"/>
  <c r="BL384" i="3"/>
  <c r="G385" i="3"/>
  <c r="BA387" i="3"/>
  <c r="AZ387" i="3"/>
  <c r="BL388" i="3"/>
  <c r="G389" i="3"/>
  <c r="BA391" i="3"/>
  <c r="AZ391" i="3"/>
  <c r="BL392" i="3"/>
  <c r="G393" i="3"/>
  <c r="AZ263" i="3"/>
  <c r="AZ279" i="3"/>
  <c r="AZ283" i="3"/>
  <c r="AZ291" i="3"/>
  <c r="BO5" i="3"/>
  <c r="BM5" i="3"/>
  <c r="F29" i="6"/>
  <c r="BJ5" i="3"/>
  <c r="BH5" i="3"/>
  <c r="BF5" i="3"/>
  <c r="BD5" i="3"/>
  <c r="AZ333" i="3"/>
  <c r="BQ5" i="3"/>
  <c r="AZ506" i="3"/>
  <c r="AZ496" i="3"/>
  <c r="G548" i="3"/>
  <c r="G538" i="3"/>
  <c r="G520" i="3"/>
  <c r="G502" i="3"/>
  <c r="BS5" i="3"/>
  <c r="BP5" i="3"/>
  <c r="BN5" i="3"/>
  <c r="AZ343" i="3"/>
  <c r="BK5" i="3"/>
  <c r="BI5" i="3"/>
  <c r="BG5" i="3"/>
  <c r="BE5" i="3"/>
  <c r="BC5" i="3"/>
  <c r="G17" i="3"/>
  <c r="BA17" i="3"/>
  <c r="BT5" i="3"/>
  <c r="AZ350" i="3"/>
  <c r="AZ356" i="3"/>
  <c r="AZ368" i="3"/>
  <c r="BA15" i="3"/>
  <c r="AZ15" i="3"/>
  <c r="BB5" i="3"/>
  <c r="E12" i="6"/>
  <c r="BR5" i="3"/>
  <c r="G28" i="6"/>
  <c r="AZ384" i="3"/>
  <c r="AZ388" i="3"/>
  <c r="AZ392" i="3"/>
  <c r="AZ396" i="3"/>
  <c r="AZ499" i="3"/>
  <c r="E8" i="6"/>
  <c r="F27" i="6"/>
  <c r="G509" i="3"/>
  <c r="BL493" i="3"/>
  <c r="AZ493" i="3"/>
  <c r="AZ376"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9" i="1"/>
  <c r="G10" i="1"/>
  <c r="F48" i="9"/>
  <c r="O52" i="9"/>
  <c r="AZ563" i="3"/>
  <c r="AZ501" i="3"/>
  <c r="W37" i="37"/>
  <c r="S15" i="37"/>
  <c r="U13" i="37"/>
  <c r="U12" i="40"/>
  <c r="AA12" i="40"/>
  <c r="J37" i="33"/>
  <c r="W37" i="33"/>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C40" i="11"/>
  <c r="AZ215" i="3"/>
  <c r="AZ227" i="3"/>
  <c r="AZ232" i="3"/>
  <c r="AZ243" i="3"/>
  <c r="AZ248" i="3"/>
  <c r="AZ259" i="3"/>
  <c r="AZ268" i="3"/>
  <c r="AZ296" i="3"/>
  <c r="AZ114" i="3"/>
  <c r="AZ130" i="3"/>
  <c r="AZ21" i="3"/>
  <c r="AZ50" i="3"/>
  <c r="AZ53" i="3"/>
  <c r="AZ66" i="3"/>
  <c r="AZ69" i="3"/>
  <c r="AZ72" i="3"/>
  <c r="AZ74" i="3"/>
  <c r="AZ82" i="3"/>
  <c r="AZ86" i="3"/>
  <c r="AZ94"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G29" i="6"/>
  <c r="G30" i="6"/>
  <c r="AC26" i="33"/>
  <c r="W26" i="33"/>
  <c r="W27" i="34"/>
  <c r="AB34" i="36"/>
  <c r="U34" i="36"/>
  <c r="AC12" i="39"/>
  <c r="W12" i="39"/>
  <c r="AC39" i="40"/>
  <c r="W39" i="40"/>
  <c r="AZ401" i="3"/>
  <c r="AZ417" i="3"/>
  <c r="AZ433" i="3"/>
  <c r="AZ465" i="3"/>
  <c r="W12" i="33"/>
  <c r="AC12" i="33"/>
  <c r="AA32" i="36"/>
  <c r="S32" i="36"/>
  <c r="AZ408" i="3"/>
  <c r="AZ457" i="3"/>
  <c r="AZ473" i="3"/>
  <c r="F28" i="6"/>
  <c r="BL14" i="3"/>
  <c r="AZ266" i="3"/>
  <c r="U30" i="33"/>
  <c r="AC13" i="34"/>
  <c r="AA47" i="34"/>
  <c r="W28" i="37"/>
  <c r="S19" i="39"/>
  <c r="F12" i="33"/>
  <c r="H12" i="39"/>
  <c r="AB12" i="39"/>
  <c r="F39" i="40"/>
  <c r="BA14" i="3"/>
  <c r="AZ213" i="3"/>
  <c r="AZ234" i="3"/>
  <c r="AZ250" i="3"/>
  <c r="AZ281" i="3"/>
  <c r="AZ149" i="3"/>
  <c r="AZ165" i="3"/>
  <c r="AZ181" i="3"/>
  <c r="AZ197" i="3"/>
  <c r="AZ19" i="3"/>
  <c r="AZ26" i="3"/>
  <c r="S12" i="1"/>
  <c r="AQ12" i="1"/>
  <c r="R12" i="1"/>
  <c r="B12" i="1"/>
  <c r="E12" i="1"/>
  <c r="S10" i="1"/>
  <c r="AQ10" i="1"/>
  <c r="R10" i="1"/>
  <c r="B10" i="1"/>
  <c r="E10" i="1"/>
  <c r="AZ80" i="3"/>
  <c r="AZ84" i="3"/>
  <c r="AZ88" i="3"/>
  <c r="AZ107" i="3"/>
  <c r="K12" i="1"/>
  <c r="M12" i="1"/>
  <c r="O12" i="1"/>
  <c r="P12" i="1"/>
  <c r="S13" i="1"/>
  <c r="AR13" i="1"/>
  <c r="R13" i="1"/>
  <c r="S11" i="1"/>
  <c r="AQ11" i="1"/>
  <c r="R11" i="1"/>
  <c r="S9" i="1"/>
  <c r="AR9" i="1"/>
  <c r="R9" i="1"/>
  <c r="J51" i="67"/>
  <c r="C42" i="1"/>
  <c r="H100" i="43"/>
  <c r="C30" i="66"/>
  <c r="E26" i="66"/>
  <c r="AC34" i="33"/>
  <c r="B41" i="1"/>
  <c r="F30" i="11"/>
  <c r="C48" i="11"/>
  <c r="S22" i="31"/>
  <c r="J100" i="43"/>
  <c r="AB37" i="40"/>
  <c r="S35" i="40"/>
  <c r="AC36" i="40"/>
  <c r="AA32" i="40"/>
  <c r="S17" i="40"/>
  <c r="S23" i="40"/>
  <c r="AC17" i="40"/>
  <c r="AC15" i="40"/>
  <c r="S30" i="40"/>
  <c r="AA19" i="40"/>
  <c r="S28" i="40"/>
  <c r="U21" i="40"/>
  <c r="AB19" i="40"/>
  <c r="W42" i="39"/>
  <c r="U37" i="39"/>
  <c r="W39" i="39"/>
  <c r="S43" i="39"/>
  <c r="S37" i="39"/>
  <c r="U35" i="39"/>
  <c r="F32" i="39"/>
  <c r="AA32" i="39"/>
  <c r="F107" i="39"/>
  <c r="G107" i="39"/>
  <c r="U25" i="39"/>
  <c r="AB27" i="39"/>
  <c r="U31" i="39"/>
  <c r="S25" i="39"/>
  <c r="J21" i="39"/>
  <c r="AC21" i="39"/>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S9" i="35"/>
  <c r="H9" i="35"/>
  <c r="F26" i="35"/>
  <c r="AA26" i="35"/>
  <c r="J26" i="35"/>
  <c r="H26" i="35"/>
  <c r="U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G75" i="37"/>
  <c r="F19" i="37"/>
  <c r="F79" i="37"/>
  <c r="F23" i="37"/>
  <c r="S23" i="37"/>
  <c r="U23" i="37"/>
  <c r="U15" i="37"/>
  <c r="AC13" i="37"/>
  <c r="U9" i="37"/>
  <c r="AA13" i="37"/>
  <c r="AA12" i="37"/>
  <c r="AA9" i="37"/>
  <c r="H10" i="37"/>
  <c r="H60" i="37"/>
  <c r="F63" i="37"/>
  <c r="F11" i="37"/>
  <c r="S11" i="37"/>
  <c r="AB8" i="34"/>
  <c r="AA33" i="34"/>
  <c r="U43" i="34"/>
  <c r="AC39" i="34"/>
  <c r="W41" i="34"/>
  <c r="AC42" i="34"/>
  <c r="AB35" i="34"/>
  <c r="U39" i="34"/>
  <c r="AB41" i="34"/>
  <c r="AA45" i="34"/>
  <c r="W34" i="34"/>
  <c r="S17" i="34"/>
  <c r="AA29" i="34"/>
  <c r="S23" i="34"/>
  <c r="U15" i="34"/>
  <c r="S13" i="34"/>
  <c r="H10" i="34"/>
  <c r="AB10" i="34"/>
  <c r="F11" i="34"/>
  <c r="S11" i="34"/>
  <c r="W42" i="33"/>
  <c r="S27" i="33"/>
  <c r="S32" i="33"/>
  <c r="AA29" i="33"/>
  <c r="AB29" i="33"/>
  <c r="W38" i="33"/>
  <c r="H41" i="33"/>
  <c r="F121" i="33"/>
  <c r="G121" i="33"/>
  <c r="H121" i="33"/>
  <c r="I121" i="33"/>
  <c r="J121" i="33"/>
  <c r="K121" i="33"/>
  <c r="L121" i="33"/>
  <c r="M121" i="33"/>
  <c r="U42" i="33"/>
  <c r="S42" i="33"/>
  <c r="F36" i="33"/>
  <c r="AA36" i="33"/>
  <c r="G111" i="33"/>
  <c r="J35" i="33"/>
  <c r="AC35" i="33"/>
  <c r="S37" i="33"/>
  <c r="AA37" i="33"/>
  <c r="S39" i="33"/>
  <c r="J32" i="33"/>
  <c r="W32" i="33"/>
  <c r="S46" i="33"/>
  <c r="W43" i="33"/>
  <c r="S43" i="33"/>
  <c r="F91" i="33"/>
  <c r="H27" i="33"/>
  <c r="H25" i="33"/>
  <c r="U25" i="33"/>
  <c r="F25" i="33"/>
  <c r="J23" i="33"/>
  <c r="W23" i="33"/>
  <c r="H23" i="33"/>
  <c r="F19" i="33"/>
  <c r="S19" i="33"/>
  <c r="W19" i="33"/>
  <c r="J17" i="33"/>
  <c r="S15" i="33"/>
  <c r="W15" i="33"/>
  <c r="U9" i="33"/>
  <c r="I66" i="33"/>
  <c r="J10" i="33"/>
  <c r="W10" i="33"/>
  <c r="H10" i="33"/>
  <c r="AA10" i="33"/>
  <c r="AC11"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c r="F34" i="67"/>
  <c r="F62" i="67"/>
  <c r="M20" i="67"/>
  <c r="F34" i="15"/>
  <c r="F62" i="15"/>
  <c r="G13" i="3"/>
  <c r="BA13" i="3"/>
  <c r="AZ13" i="3"/>
  <c r="E10" i="6"/>
  <c r="E11" i="6"/>
  <c r="E61" i="39"/>
  <c r="BL17" i="3"/>
  <c r="AZ17" i="3"/>
  <c r="BL13" i="3"/>
  <c r="E65" i="39"/>
  <c r="J56" i="9"/>
  <c r="J57" i="9"/>
  <c r="J59" i="9"/>
  <c r="J61" i="9"/>
  <c r="A24" i="51"/>
  <c r="B18" i="72"/>
  <c r="U29" i="34"/>
  <c r="E14" i="6"/>
  <c r="E64" i="39"/>
  <c r="E5" i="6"/>
  <c r="D9" i="11"/>
  <c r="C9" i="11"/>
  <c r="P10" i="1"/>
  <c r="E32" i="6"/>
  <c r="L19" i="6"/>
  <c r="G1" i="68"/>
  <c r="K1" i="12"/>
  <c r="E28" i="6"/>
  <c r="K14" i="1"/>
  <c r="E56" i="40"/>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F59" i="43"/>
  <c r="M5" i="43"/>
  <c r="C6" i="43"/>
  <c r="M12" i="43"/>
  <c r="M4" i="43"/>
  <c r="B19" i="53"/>
  <c r="B37" i="72"/>
  <c r="C7" i="39"/>
  <c r="C68" i="39"/>
  <c r="C7" i="35"/>
  <c r="C48" i="35"/>
  <c r="D48" i="35"/>
  <c r="E48" i="35"/>
  <c r="F48" i="35"/>
  <c r="G48" i="35"/>
  <c r="C7" i="33"/>
  <c r="C58" i="33"/>
  <c r="C7" i="21"/>
  <c r="C7" i="40"/>
  <c r="C63" i="40"/>
  <c r="M47" i="9"/>
  <c r="G19" i="43"/>
  <c r="C46" i="36"/>
  <c r="D46" i="36"/>
  <c r="E46" i="36"/>
  <c r="F46" i="36"/>
  <c r="G46" i="36"/>
  <c r="H46" i="36"/>
  <c r="C59" i="34"/>
  <c r="D59" i="34"/>
  <c r="C52" i="37"/>
  <c r="D52" i="37"/>
  <c r="A4" i="51"/>
  <c r="B6" i="72"/>
  <c r="C58" i="21"/>
  <c r="D58" i="21"/>
  <c r="E58" i="21"/>
  <c r="C94" i="9"/>
  <c r="C4" i="12"/>
  <c r="C92" i="9"/>
  <c r="H55" i="43"/>
  <c r="H51" i="43"/>
  <c r="H56" i="43"/>
  <c r="H76" i="43"/>
  <c r="H72" i="43"/>
  <c r="H77" i="43"/>
  <c r="L20" i="6"/>
  <c r="E56" i="39"/>
  <c r="E51" i="40"/>
  <c r="B6" i="1"/>
  <c r="E6" i="1"/>
  <c r="K11" i="1"/>
  <c r="M11" i="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AB36" i="34"/>
  <c r="W33" i="34"/>
  <c r="AC14" i="34"/>
  <c r="AC32" i="34"/>
  <c r="AC29" i="34"/>
  <c r="W29" i="34"/>
  <c r="W46" i="34"/>
  <c r="AC46" i="34"/>
  <c r="S32" i="34"/>
  <c r="AA32" i="34"/>
  <c r="U30" i="34"/>
  <c r="AB30" i="34"/>
  <c r="S37" i="34"/>
  <c r="W40" i="34"/>
  <c r="AA19" i="34"/>
  <c r="S19" i="34"/>
  <c r="AA36" i="34"/>
  <c r="S36" i="34"/>
  <c r="AA8" i="34"/>
  <c r="S8"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c r="J33" i="2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U45" i="21"/>
  <c r="F29" i="21"/>
  <c r="S29" i="21"/>
  <c r="F13" i="21"/>
  <c r="AA13" i="21"/>
  <c r="AC38" i="21"/>
  <c r="H32" i="21"/>
  <c r="AB32" i="21"/>
  <c r="H9" i="21"/>
  <c r="J9" i="21"/>
  <c r="W9" i="21"/>
  <c r="J32" i="21"/>
  <c r="F32" i="21"/>
  <c r="AA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D23" i="15"/>
  <c r="D22" i="15"/>
  <c r="J53" i="67"/>
  <c r="Q52" i="67"/>
  <c r="AQ13" i="1"/>
  <c r="F30" i="68"/>
  <c r="C30" i="68"/>
  <c r="F28" i="67"/>
  <c r="C28" i="67"/>
  <c r="F52" i="9"/>
  <c r="M18" i="67"/>
  <c r="F30" i="69"/>
  <c r="C48" i="69"/>
  <c r="M18" i="15"/>
  <c r="T11" i="1"/>
  <c r="AQ9" i="1"/>
  <c r="AR11" i="1"/>
  <c r="E59" i="40"/>
  <c r="T9" i="1"/>
  <c r="T13" i="1"/>
  <c r="C48" i="68"/>
  <c r="C77" i="9"/>
  <c r="C74" i="9"/>
  <c r="C30" i="69"/>
  <c r="C24" i="12"/>
  <c r="AA39" i="40"/>
  <c r="S39" i="40"/>
  <c r="S12" i="33"/>
  <c r="AA12" i="33"/>
  <c r="D68" i="9"/>
  <c r="F54" i="9"/>
  <c r="J32" i="39"/>
  <c r="AC32" i="39"/>
  <c r="H107" i="39"/>
  <c r="I107" i="39"/>
  <c r="J107" i="39"/>
  <c r="K107" i="39"/>
  <c r="L107" i="39"/>
  <c r="M107" i="39"/>
  <c r="H32" i="39"/>
  <c r="U32" i="39"/>
  <c r="S32" i="39"/>
  <c r="AB21" i="39"/>
  <c r="U21" i="39"/>
  <c r="AA21" i="39"/>
  <c r="S21" i="39"/>
  <c r="W21" i="39"/>
  <c r="U9" i="35"/>
  <c r="AB9" i="35"/>
  <c r="AA9" i="35"/>
  <c r="AC26" i="35"/>
  <c r="W26" i="35"/>
  <c r="AB26" i="35"/>
  <c r="AC17" i="37"/>
  <c r="J19" i="37"/>
  <c r="W19" i="37"/>
  <c r="S19" i="37"/>
  <c r="AA19" i="37"/>
  <c r="AA23" i="37"/>
  <c r="J23" i="37"/>
  <c r="G79" i="37"/>
  <c r="J10" i="37"/>
  <c r="I60" i="37"/>
  <c r="G63" i="37"/>
  <c r="H11" i="37"/>
  <c r="AB11" i="37"/>
  <c r="AB10" i="37"/>
  <c r="U10" i="37"/>
  <c r="H11" i="34"/>
  <c r="AB11" i="34"/>
  <c r="U10" i="34"/>
  <c r="J10" i="34"/>
  <c r="AB41" i="33"/>
  <c r="U41" i="33"/>
  <c r="W35" i="33"/>
  <c r="H111" i="33"/>
  <c r="I111" i="33"/>
  <c r="J111" i="33"/>
  <c r="K111" i="33"/>
  <c r="L111" i="33"/>
  <c r="M111" i="33"/>
  <c r="J36" i="33"/>
  <c r="AC36" i="33"/>
  <c r="H36" i="33"/>
  <c r="S36" i="33"/>
  <c r="AC32" i="33"/>
  <c r="U27" i="33"/>
  <c r="AB27" i="33"/>
  <c r="G91" i="33"/>
  <c r="H91" i="33"/>
  <c r="I91" i="33"/>
  <c r="J91" i="33"/>
  <c r="K91" i="33"/>
  <c r="L91" i="33"/>
  <c r="M91" i="33"/>
  <c r="J27" i="33"/>
  <c r="W27" i="33"/>
  <c r="AB25" i="33"/>
  <c r="S25" i="33"/>
  <c r="AA25" i="33"/>
  <c r="G87" i="33"/>
  <c r="H87" i="33"/>
  <c r="I87" i="33"/>
  <c r="J87" i="33"/>
  <c r="K87" i="33"/>
  <c r="L87" i="33"/>
  <c r="M87" i="33"/>
  <c r="J25" i="33"/>
  <c r="AB23" i="33"/>
  <c r="U23" i="33"/>
  <c r="F23" i="33"/>
  <c r="AA23" i="33"/>
  <c r="G85" i="33"/>
  <c r="AC23" i="33"/>
  <c r="AA19" i="33"/>
  <c r="H19" i="33"/>
  <c r="G81" i="33"/>
  <c r="G79" i="33"/>
  <c r="H17" i="33"/>
  <c r="U17" i="33"/>
  <c r="F17" i="33"/>
  <c r="W17" i="33"/>
  <c r="AC17" i="33"/>
  <c r="U10" i="33"/>
  <c r="AB10" i="33"/>
  <c r="AC10" i="33"/>
  <c r="AC37" i="21"/>
  <c r="S37" i="21"/>
  <c r="AA23" i="21"/>
  <c r="AB15" i="21"/>
  <c r="J23" i="21"/>
  <c r="F85" i="21"/>
  <c r="G85" i="21"/>
  <c r="H23" i="21"/>
  <c r="U23" i="21"/>
  <c r="D6" i="52"/>
  <c r="D121" i="9"/>
  <c r="D7" i="52"/>
  <c r="K120" i="9"/>
  <c r="R22" i="31"/>
  <c r="B21" i="31"/>
  <c r="O19" i="43"/>
  <c r="E52" i="37"/>
  <c r="F52" i="37"/>
  <c r="E59" i="34"/>
  <c r="F59" i="34"/>
  <c r="C65" i="40"/>
  <c r="D63" i="40"/>
  <c r="L27" i="6"/>
  <c r="AP7" i="1"/>
  <c r="AB45" i="21"/>
  <c r="AC33" i="21"/>
  <c r="W33" i="21"/>
  <c r="AA33" i="21"/>
  <c r="W32" i="21"/>
  <c r="AC32" i="21"/>
  <c r="AB9" i="21"/>
  <c r="U9" i="21"/>
  <c r="S32" i="21"/>
  <c r="AC9" i="21"/>
  <c r="U32" i="21"/>
  <c r="AA10" i="21"/>
  <c r="S10" i="21"/>
  <c r="A18" i="62"/>
  <c r="B64" i="72"/>
  <c r="AB32" i="39"/>
  <c r="W32" i="39"/>
  <c r="AC19" i="37"/>
  <c r="W23" i="37"/>
  <c r="AC23" i="37"/>
  <c r="U11" i="37"/>
  <c r="H63" i="37"/>
  <c r="I63" i="37"/>
  <c r="J63" i="37"/>
  <c r="K63" i="37"/>
  <c r="L63" i="37"/>
  <c r="M63" i="37"/>
  <c r="J11" i="37"/>
  <c r="W10" i="37"/>
  <c r="AC10" i="37"/>
  <c r="AC10" i="34"/>
  <c r="W10" i="34"/>
  <c r="J11" i="34"/>
  <c r="AC11" i="34"/>
  <c r="W36" i="33"/>
  <c r="U36" i="33"/>
  <c r="AB36" i="33"/>
  <c r="AC27" i="33"/>
  <c r="W25" i="33"/>
  <c r="AC25" i="33"/>
  <c r="S23" i="33"/>
  <c r="AB19" i="33"/>
  <c r="U19" i="33"/>
  <c r="AA17" i="33"/>
  <c r="S17" i="33"/>
  <c r="AB17" i="33"/>
  <c r="AB23" i="21"/>
  <c r="AC23" i="21"/>
  <c r="W23" i="21"/>
  <c r="E63" i="40"/>
  <c r="E65" i="40"/>
  <c r="D65" i="40"/>
  <c r="F1" i="67"/>
  <c r="AC11" i="37"/>
  <c r="W11" i="37"/>
  <c r="C13" i="12"/>
  <c r="F34" i="11"/>
  <c r="C36" i="11"/>
  <c r="F11" i="12"/>
  <c r="F63" i="40"/>
  <c r="F65" i="40"/>
  <c r="AG6" i="1"/>
  <c r="H112" i="9"/>
  <c r="D21" i="53"/>
  <c r="B39" i="72"/>
  <c r="H111" i="9"/>
  <c r="D126" i="9"/>
  <c r="D19" i="53"/>
  <c r="D20" i="53"/>
  <c r="B40" i="72"/>
  <c r="D59" i="9"/>
  <c r="M55" i="9"/>
  <c r="B38" i="72"/>
  <c r="AD3" i="71"/>
  <c r="P22" i="43"/>
  <c r="F31" i="15"/>
  <c r="F31" i="67"/>
  <c r="F34" i="68"/>
  <c r="F37" i="67"/>
  <c r="E2" i="68"/>
  <c r="D35" i="9"/>
  <c r="F37" i="15"/>
  <c r="E12" i="76"/>
  <c r="D2" i="34"/>
  <c r="D2" i="35"/>
  <c r="E2" i="69"/>
  <c r="M9" i="15"/>
  <c r="M26" i="15"/>
  <c r="M8" i="15"/>
  <c r="L48" i="15"/>
  <c r="E8" i="76"/>
  <c r="E9" i="76"/>
  <c r="J15" i="67"/>
  <c r="F7" i="67"/>
  <c r="F13" i="15"/>
  <c r="F6" i="67"/>
  <c r="M9" i="67"/>
  <c r="M26" i="67"/>
  <c r="F8" i="15"/>
  <c r="F38" i="15"/>
  <c r="D2" i="37"/>
  <c r="F9" i="15"/>
  <c r="F16" i="67"/>
  <c r="M6" i="15"/>
  <c r="D34" i="9"/>
  <c r="F40" i="67"/>
  <c r="F13" i="67"/>
  <c r="F8" i="67"/>
  <c r="D2" i="36"/>
  <c r="F26" i="67"/>
  <c r="M22" i="15"/>
  <c r="F35" i="67"/>
  <c r="F43" i="67"/>
  <c r="AO10" i="1"/>
  <c r="F6" i="15"/>
  <c r="L47" i="67"/>
  <c r="AO13" i="1"/>
  <c r="C76" i="67"/>
  <c r="B11" i="76"/>
  <c r="AO12" i="1"/>
  <c r="F9" i="67"/>
  <c r="D2" i="21"/>
  <c r="F27" i="68"/>
  <c r="C36" i="68"/>
  <c r="M22" i="67"/>
  <c r="M27" i="15"/>
  <c r="F20" i="31"/>
  <c r="B7" i="76"/>
  <c r="C76" i="15"/>
  <c r="M24" i="15"/>
  <c r="L47" i="15"/>
  <c r="F26" i="15"/>
  <c r="M8" i="67"/>
  <c r="M28" i="15"/>
  <c r="M27" i="67"/>
  <c r="E13" i="76"/>
  <c r="M29" i="67"/>
  <c r="F38" i="67"/>
  <c r="F36" i="67"/>
  <c r="M28" i="67"/>
  <c r="M6" i="67"/>
  <c r="F16" i="15"/>
  <c r="E11" i="76"/>
  <c r="F40" i="15"/>
  <c r="B8" i="76"/>
  <c r="AO9" i="1"/>
  <c r="M23" i="15"/>
  <c r="F36" i="15"/>
  <c r="L48" i="67"/>
  <c r="F42" i="67"/>
  <c r="M24" i="67"/>
  <c r="B9" i="76"/>
  <c r="F42" i="15"/>
  <c r="AO11" i="1"/>
  <c r="F41" i="67"/>
  <c r="M21" i="67"/>
  <c r="D2" i="33"/>
  <c r="J15" i="15"/>
  <c r="B10" i="76"/>
  <c r="B13" i="76"/>
  <c r="E7" i="76"/>
  <c r="M23" i="67"/>
  <c r="B12" i="76"/>
  <c r="E10" i="76"/>
  <c r="W44" i="34"/>
  <c r="H28" i="34"/>
  <c r="J28" i="34"/>
  <c r="W28" i="34"/>
  <c r="W37" i="34"/>
  <c r="AZ509" i="3"/>
  <c r="AB34" i="35"/>
  <c r="U34" i="35"/>
  <c r="C23" i="12"/>
  <c r="G39" i="43"/>
  <c r="S13" i="21"/>
  <c r="U33" i="21"/>
  <c r="S17" i="37"/>
  <c r="S26" i="35"/>
  <c r="D19" i="12"/>
  <c r="C19" i="12"/>
  <c r="F28" i="15"/>
  <c r="C28" i="15"/>
  <c r="F32" i="15"/>
  <c r="F60" i="15"/>
  <c r="F32" i="67"/>
  <c r="F60" i="67"/>
  <c r="F31" i="12"/>
  <c r="C31" i="12"/>
  <c r="AA11" i="37"/>
  <c r="AB23" i="39"/>
  <c r="AR10" i="1"/>
  <c r="AA35" i="33"/>
  <c r="AC27" i="36"/>
  <c r="AA27" i="40"/>
  <c r="AB27" i="40"/>
  <c r="U35" i="40"/>
  <c r="AA34" i="33"/>
  <c r="AC11" i="39"/>
  <c r="AC5" i="3"/>
  <c r="AZ362" i="3"/>
  <c r="AZ334" i="3"/>
  <c r="AZ306" i="3"/>
  <c r="AZ351" i="3"/>
  <c r="AZ329" i="3"/>
  <c r="AZ380" i="3"/>
  <c r="AZ360" i="3"/>
  <c r="S11" i="39"/>
  <c r="W14" i="39"/>
  <c r="AC13" i="40"/>
  <c r="AC12" i="37"/>
  <c r="AC46" i="21"/>
  <c r="W44" i="21"/>
  <c r="AC45" i="33"/>
  <c r="AA13" i="33"/>
  <c r="AB28" i="37"/>
  <c r="AC32" i="36"/>
  <c r="AZ511" i="3"/>
  <c r="AZ519" i="3"/>
  <c r="AZ569" i="3"/>
  <c r="AZ577" i="3"/>
  <c r="AZ495" i="3"/>
  <c r="AZ513" i="3"/>
  <c r="AZ517" i="3"/>
  <c r="AZ567" i="3"/>
  <c r="AZ571" i="3"/>
  <c r="AZ575" i="3"/>
  <c r="AZ579" i="3"/>
  <c r="AZ568" i="3"/>
  <c r="AZ576" i="3"/>
  <c r="U13" i="33"/>
  <c r="AB45" i="33"/>
  <c r="AA14" i="34"/>
  <c r="AB46" i="34"/>
  <c r="W11" i="36"/>
  <c r="AA14" i="37"/>
  <c r="AB11" i="35"/>
  <c r="S41" i="33"/>
  <c r="U30" i="35"/>
  <c r="S34" i="21"/>
  <c r="K8" i="1"/>
  <c r="M8" i="1"/>
  <c r="M18" i="81"/>
  <c r="B118" i="81"/>
  <c r="F9" i="33"/>
  <c r="E107" i="34"/>
  <c r="F107" i="34"/>
  <c r="G107" i="34"/>
  <c r="H107" i="34"/>
  <c r="I107" i="34"/>
  <c r="J107" i="34"/>
  <c r="K107" i="34"/>
  <c r="L107" i="34"/>
  <c r="M107" i="34"/>
  <c r="F35" i="34"/>
  <c r="J12" i="36"/>
  <c r="H12" i="36"/>
  <c r="S31" i="36"/>
  <c r="AA31" i="36"/>
  <c r="F53" i="9"/>
  <c r="F32" i="83"/>
  <c r="F60" i="83"/>
  <c r="F28" i="83"/>
  <c r="M18" i="83"/>
  <c r="F52" i="82"/>
  <c r="F52" i="81"/>
  <c r="F32" i="80"/>
  <c r="F60" i="80"/>
  <c r="F28" i="80"/>
  <c r="M18" i="80"/>
  <c r="F30" i="79"/>
  <c r="D68" i="82"/>
  <c r="F54" i="82"/>
  <c r="F53" i="82"/>
  <c r="D68" i="81"/>
  <c r="F54" i="81"/>
  <c r="F53" i="81"/>
  <c r="AZ327" i="3"/>
  <c r="AZ581" i="3"/>
  <c r="J12" i="35"/>
  <c r="F12" i="35"/>
  <c r="W27" i="35"/>
  <c r="AC27" i="35"/>
  <c r="H33" i="36"/>
  <c r="J33" i="36"/>
  <c r="BA551" i="3"/>
  <c r="AZ551" i="3"/>
  <c r="BL550" i="3"/>
  <c r="BA550" i="3"/>
  <c r="AZ550" i="3"/>
  <c r="BL548" i="3"/>
  <c r="AZ548" i="3"/>
  <c r="M20" i="15"/>
  <c r="F34" i="83"/>
  <c r="F62" i="83"/>
  <c r="F34" i="80"/>
  <c r="F62" i="80"/>
  <c r="M20" i="83"/>
  <c r="M20" i="80"/>
  <c r="E19" i="6"/>
  <c r="G41" i="79"/>
  <c r="G22" i="79"/>
  <c r="W25" i="37"/>
  <c r="B16" i="74"/>
  <c r="D39" i="43"/>
  <c r="H39" i="43"/>
  <c r="BL586" i="3"/>
  <c r="AZ586" i="3"/>
  <c r="D1" i="43"/>
  <c r="J38" i="40"/>
  <c r="H39" i="40"/>
  <c r="G574" i="3"/>
  <c r="G558" i="3"/>
  <c r="G542" i="3"/>
  <c r="E20" i="6"/>
  <c r="K7" i="1"/>
  <c r="D78" i="9"/>
  <c r="D93" i="82"/>
  <c r="D93" i="81"/>
  <c r="D78" i="82"/>
  <c r="D78" i="81"/>
  <c r="H38" i="43"/>
  <c r="G399" i="3"/>
  <c r="G401" i="3"/>
  <c r="G402" i="3"/>
  <c r="G406" i="3"/>
  <c r="G408" i="3"/>
  <c r="G409" i="3"/>
  <c r="BL409" i="3"/>
  <c r="BA410" i="3"/>
  <c r="AZ410" i="3"/>
  <c r="BL412" i="3"/>
  <c r="AZ412" i="3"/>
  <c r="BA413" i="3"/>
  <c r="AZ413" i="3"/>
  <c r="G416" i="3"/>
  <c r="BL416" i="3"/>
  <c r="BA419" i="3"/>
  <c r="BL419" i="3"/>
  <c r="BA420" i="3"/>
  <c r="AZ420" i="3"/>
  <c r="G425" i="3"/>
  <c r="BL425" i="3"/>
  <c r="BA426" i="3"/>
  <c r="AZ426" i="3"/>
  <c r="BL428" i="3"/>
  <c r="AZ428" i="3"/>
  <c r="BA429" i="3"/>
  <c r="AZ429" i="3"/>
  <c r="G432" i="3"/>
  <c r="BL432" i="3"/>
  <c r="BA435" i="3"/>
  <c r="BL435" i="3"/>
  <c r="BA436" i="3"/>
  <c r="AZ436" i="3"/>
  <c r="BA437" i="3"/>
  <c r="AZ437" i="3"/>
  <c r="BA438" i="3"/>
  <c r="BL438" i="3"/>
  <c r="BA439" i="3"/>
  <c r="AZ439" i="3"/>
  <c r="BL441" i="3"/>
  <c r="AZ441" i="3"/>
  <c r="G443" i="3"/>
  <c r="G445" i="3"/>
  <c r="BL445" i="3"/>
  <c r="G447" i="3"/>
  <c r="BL447" i="3"/>
  <c r="BA448" i="3"/>
  <c r="AZ448" i="3"/>
  <c r="BA451" i="3"/>
  <c r="BL451" i="3"/>
  <c r="BA452" i="3"/>
  <c r="AZ452" i="3"/>
  <c r="G457" i="3"/>
  <c r="G458" i="3"/>
  <c r="G462" i="3"/>
  <c r="G464" i="3"/>
  <c r="BL464" i="3"/>
  <c r="G467" i="3"/>
  <c r="BL467" i="3"/>
  <c r="BA468" i="3"/>
  <c r="AZ468" i="3"/>
  <c r="BA469" i="3"/>
  <c r="AZ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G362" i="3"/>
  <c r="G366" i="3"/>
  <c r="BA367" i="3"/>
  <c r="AZ367" i="3"/>
  <c r="BA370" i="3"/>
  <c r="AZ370" i="3"/>
  <c r="BA374" i="3"/>
  <c r="AZ374" i="3"/>
  <c r="G380" i="3"/>
  <c r="G384" i="3"/>
  <c r="BA386" i="3"/>
  <c r="AZ386" i="3"/>
  <c r="G396" i="3"/>
  <c r="G397" i="3"/>
  <c r="BL397" i="3"/>
  <c r="BA208" i="3"/>
  <c r="AZ208" i="3"/>
  <c r="BA209" i="3"/>
  <c r="AZ209" i="3"/>
  <c r="G212" i="3"/>
  <c r="BL212" i="3"/>
  <c r="BL214" i="3"/>
  <c r="AZ214" i="3"/>
  <c r="G217" i="3"/>
  <c r="BL217" i="3"/>
  <c r="G220" i="3"/>
  <c r="BL220" i="3"/>
  <c r="BA221" i="3"/>
  <c r="AZ221" i="3"/>
  <c r="BA222" i="3"/>
  <c r="AZ222" i="3"/>
  <c r="BA223" i="3"/>
  <c r="AZ223" i="3"/>
  <c r="BA224" i="3"/>
  <c r="AZ224" i="3"/>
  <c r="G227" i="3"/>
  <c r="G228" i="3"/>
  <c r="BL228" i="3"/>
  <c r="G231" i="3"/>
  <c r="BL231" i="3"/>
  <c r="BL233" i="3"/>
  <c r="AZ233" i="3"/>
  <c r="BL235" i="3"/>
  <c r="AZ235" i="3"/>
  <c r="BA236" i="3"/>
  <c r="AZ236" i="3"/>
  <c r="BA237" i="3"/>
  <c r="AZ237" i="3"/>
  <c r="BA238" i="3"/>
  <c r="AZ238" i="3"/>
  <c r="BL240" i="3"/>
  <c r="AZ240" i="3"/>
  <c r="G243" i="3"/>
  <c r="G244" i="3"/>
  <c r="BL244" i="3"/>
  <c r="G247" i="3"/>
  <c r="BL247" i="3"/>
  <c r="BL249" i="3"/>
  <c r="AZ249" i="3"/>
  <c r="BL251" i="3"/>
  <c r="AZ251" i="3"/>
  <c r="BA252" i="3"/>
  <c r="AZ252" i="3"/>
  <c r="BA253" i="3"/>
  <c r="AZ253" i="3"/>
  <c r="BA254" i="3"/>
  <c r="AZ254" i="3"/>
  <c r="BL256" i="3"/>
  <c r="AZ256" i="3"/>
  <c r="G259" i="3"/>
  <c r="G260" i="3"/>
  <c r="BL260" i="3"/>
  <c r="G263" i="3"/>
  <c r="G264" i="3"/>
  <c r="BL264" i="3"/>
  <c r="G265" i="3"/>
  <c r="G266" i="3"/>
  <c r="G267" i="3"/>
  <c r="BL267" i="3"/>
  <c r="BL269" i="3"/>
  <c r="AZ269" i="3"/>
  <c r="BA270" i="3"/>
  <c r="AZ270" i="3"/>
  <c r="BA271" i="3"/>
  <c r="AZ271" i="3"/>
  <c r="BL273" i="3"/>
  <c r="AZ273" i="3"/>
  <c r="BA274" i="3"/>
  <c r="AZ274" i="3"/>
  <c r="BA275" i="3"/>
  <c r="AZ275" i="3"/>
  <c r="G278" i="3"/>
  <c r="BL278" i="3"/>
  <c r="BL280" i="3"/>
  <c r="AZ280" i="3"/>
  <c r="G283" i="3"/>
  <c r="G284" i="3"/>
  <c r="BL284" i="3"/>
  <c r="BA285" i="3"/>
  <c r="AZ285" i="3"/>
  <c r="BA286" i="3"/>
  <c r="AZ286" i="3"/>
  <c r="BA287" i="3"/>
  <c r="AZ287" i="3"/>
  <c r="BA288" i="3"/>
  <c r="AZ288" i="3"/>
  <c r="G291" i="3"/>
  <c r="G292" i="3"/>
  <c r="BL292" i="3"/>
  <c r="BA293" i="3"/>
  <c r="AZ293" i="3"/>
  <c r="BL295" i="3"/>
  <c r="AZ295" i="3"/>
  <c r="BL297" i="3"/>
  <c r="AZ297" i="3"/>
  <c r="BA298" i="3"/>
  <c r="AZ298" i="3"/>
  <c r="BA299" i="3"/>
  <c r="AZ299" i="3"/>
  <c r="G302" i="3"/>
  <c r="BL302" i="3"/>
  <c r="BL113" i="3"/>
  <c r="G116" i="3"/>
  <c r="BA117" i="3"/>
  <c r="AZ117" i="3"/>
  <c r="G120" i="3"/>
  <c r="G123" i="3"/>
  <c r="G126" i="3"/>
  <c r="BL126" i="3"/>
  <c r="BA128" i="3"/>
  <c r="AZ128" i="3"/>
  <c r="BL129" i="3"/>
  <c r="G132" i="3"/>
  <c r="BA133" i="3"/>
  <c r="AZ133" i="3"/>
  <c r="AZ403" i="3"/>
  <c r="AZ416" i="3"/>
  <c r="AZ418" i="3"/>
  <c r="AZ422" i="3"/>
  <c r="AZ425" i="3"/>
  <c r="AZ432" i="3"/>
  <c r="AZ434" i="3"/>
  <c r="AZ445" i="3"/>
  <c r="AZ447" i="3"/>
  <c r="AZ450" i="3"/>
  <c r="AZ454" i="3"/>
  <c r="AZ459" i="3"/>
  <c r="AZ464" i="3"/>
  <c r="AZ467" i="3"/>
  <c r="AZ474" i="3"/>
  <c r="AZ477" i="3"/>
  <c r="AZ480" i="3"/>
  <c r="AZ482" i="3"/>
  <c r="AZ486" i="3"/>
  <c r="AZ488" i="3"/>
  <c r="AZ397" i="3"/>
  <c r="AZ212" i="3"/>
  <c r="AZ217" i="3"/>
  <c r="AZ220" i="3"/>
  <c r="AZ228" i="3"/>
  <c r="AZ231" i="3"/>
  <c r="AZ244" i="3"/>
  <c r="AZ247" i="3"/>
  <c r="AZ260" i="3"/>
  <c r="AZ264" i="3"/>
  <c r="G136" i="3"/>
  <c r="BL138" i="3"/>
  <c r="AZ138" i="3"/>
  <c r="BA140" i="3"/>
  <c r="AZ140" i="3"/>
  <c r="BL141" i="3"/>
  <c r="G144" i="3"/>
  <c r="BL146" i="3"/>
  <c r="AZ146" i="3"/>
  <c r="BA148" i="3"/>
  <c r="AZ148" i="3"/>
  <c r="G150" i="3"/>
  <c r="G151" i="3"/>
  <c r="G154" i="3"/>
  <c r="G155" i="3"/>
  <c r="BL157" i="3"/>
  <c r="AZ157" i="3"/>
  <c r="G160" i="3"/>
  <c r="BL162" i="3"/>
  <c r="AZ162" i="3"/>
  <c r="BA164" i="3"/>
  <c r="AZ164" i="3"/>
  <c r="G166" i="3"/>
  <c r="G167" i="3"/>
  <c r="G170" i="3"/>
  <c r="G171" i="3"/>
  <c r="BL173" i="3"/>
  <c r="AZ173" i="3"/>
  <c r="G176" i="3"/>
  <c r="BL178" i="3"/>
  <c r="AZ178" i="3"/>
  <c r="BA180" i="3"/>
  <c r="AZ180" i="3"/>
  <c r="G182" i="3"/>
  <c r="G183" i="3"/>
  <c r="G186" i="3"/>
  <c r="G187" i="3"/>
  <c r="BL189" i="3"/>
  <c r="AZ189" i="3"/>
  <c r="G192" i="3"/>
  <c r="BL194" i="3"/>
  <c r="AZ194" i="3"/>
  <c r="BA196" i="3"/>
  <c r="AZ196" i="3"/>
  <c r="G198" i="3"/>
  <c r="G199" i="3"/>
  <c r="G202" i="3"/>
  <c r="G203" i="3"/>
  <c r="G205" i="3"/>
  <c r="BL205" i="3"/>
  <c r="G18" i="3"/>
  <c r="BL18" i="3"/>
  <c r="BL20" i="3"/>
  <c r="AZ20" i="3"/>
  <c r="G23" i="3"/>
  <c r="BL23" i="3"/>
  <c r="G26" i="3"/>
  <c r="G27" i="3"/>
  <c r="BL27" i="3"/>
  <c r="BL29" i="3"/>
  <c r="AZ29" i="3"/>
  <c r="BA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G55" i="3"/>
  <c r="G56" i="3"/>
  <c r="BL56" i="3"/>
  <c r="BA57" i="3"/>
  <c r="AZ57" i="3"/>
  <c r="BA58" i="3"/>
  <c r="AZ58" i="3"/>
  <c r="BA59" i="3"/>
  <c r="AZ59" i="3"/>
  <c r="BL61" i="3"/>
  <c r="AZ61" i="3"/>
  <c r="BA62" i="3"/>
  <c r="AZ62" i="3"/>
  <c r="BA63" i="3"/>
  <c r="AZ63" i="3"/>
  <c r="G66" i="3"/>
  <c r="G67" i="3"/>
  <c r="G68" i="3"/>
  <c r="BL68" i="3"/>
  <c r="G71" i="3"/>
  <c r="G72" i="3"/>
  <c r="G73" i="3"/>
  <c r="BL73" i="3"/>
  <c r="BL75" i="3"/>
  <c r="AZ75" i="3"/>
  <c r="BA76" i="3"/>
  <c r="AZ76" i="3"/>
  <c r="BA77" i="3"/>
  <c r="AZ77" i="3"/>
  <c r="BL79" i="3"/>
  <c r="AZ79" i="3"/>
  <c r="G82" i="3"/>
  <c r="G83" i="3"/>
  <c r="G84" i="3"/>
  <c r="G85" i="3"/>
  <c r="G86" i="3"/>
  <c r="G87" i="3"/>
  <c r="BL87" i="3"/>
  <c r="C8" i="71"/>
  <c r="D8" i="71"/>
  <c r="D9" i="71"/>
  <c r="G1" i="83"/>
  <c r="G1" i="80"/>
  <c r="G1" i="79"/>
  <c r="D65" i="43"/>
  <c r="C46" i="71"/>
  <c r="BL89" i="3"/>
  <c r="AZ89" i="3"/>
  <c r="BA90" i="3"/>
  <c r="AZ90" i="3"/>
  <c r="G93" i="3"/>
  <c r="G94" i="3"/>
  <c r="G95" i="3"/>
  <c r="BL95" i="3"/>
  <c r="BA96" i="3"/>
  <c r="AZ96" i="3"/>
  <c r="BA97" i="3"/>
  <c r="AZ97" i="3"/>
  <c r="G100" i="3"/>
  <c r="BL100" i="3"/>
  <c r="BA101" i="3"/>
  <c r="AZ101" i="3"/>
  <c r="BA102" i="3"/>
  <c r="AZ102" i="3"/>
  <c r="G105" i="3"/>
  <c r="G106" i="3"/>
  <c r="BL106" i="3"/>
  <c r="AZ106" i="3"/>
  <c r="BA108" i="3"/>
  <c r="AZ108" i="3"/>
  <c r="BA109" i="3"/>
  <c r="AZ109" i="3"/>
  <c r="BA110" i="3"/>
  <c r="AZ110" i="3"/>
  <c r="BA111" i="3"/>
  <c r="AZ111" i="3"/>
  <c r="J51" i="15"/>
  <c r="J61" i="43"/>
  <c r="N63" i="43"/>
  <c r="I15" i="66"/>
  <c r="D1" i="66"/>
  <c r="E10" i="66"/>
  <c r="AB21" i="33"/>
  <c r="B55" i="43"/>
  <c r="T10" i="71"/>
  <c r="D10" i="71"/>
  <c r="U10" i="71"/>
  <c r="T6" i="71"/>
  <c r="C5" i="71"/>
  <c r="D5" i="71"/>
  <c r="D6" i="71"/>
  <c r="U6" i="71"/>
  <c r="AB19" i="71"/>
  <c r="AB15" i="71"/>
  <c r="AA11" i="71"/>
  <c r="AB11" i="71"/>
  <c r="Y12" i="71"/>
  <c r="Z12" i="71"/>
  <c r="X11" i="71"/>
  <c r="AB13" i="71"/>
  <c r="Y14" i="71"/>
  <c r="Z14" i="71"/>
  <c r="F17" i="71"/>
  <c r="F18" i="71"/>
  <c r="V18" i="71"/>
  <c r="Y16" i="71"/>
  <c r="Z16" i="71"/>
  <c r="AB17" i="71"/>
  <c r="F29" i="71"/>
  <c r="F30" i="71"/>
  <c r="V30" i="71"/>
  <c r="AH10" i="43"/>
  <c r="AD10" i="43"/>
  <c r="Z10" i="43"/>
  <c r="AG10" i="43"/>
  <c r="AC10" i="43"/>
  <c r="M56" i="9"/>
  <c r="M56" i="82"/>
  <c r="J56" i="82"/>
  <c r="J57" i="82"/>
  <c r="J59" i="82"/>
  <c r="J61" i="82"/>
  <c r="M56" i="81"/>
  <c r="J56" i="81"/>
  <c r="J57" i="81"/>
  <c r="J59" i="81"/>
  <c r="J61" i="81"/>
  <c r="N56" i="82"/>
  <c r="K56" i="82"/>
  <c r="N56" i="81"/>
  <c r="K56" i="81"/>
  <c r="P74" i="67"/>
  <c r="V6" i="71"/>
  <c r="D58" i="33"/>
  <c r="E58" i="33"/>
  <c r="F58" i="33"/>
  <c r="G58" i="33"/>
  <c r="H58" i="33"/>
  <c r="I58" i="33"/>
  <c r="J58" i="33"/>
  <c r="K58" i="33"/>
  <c r="L58" i="33"/>
  <c r="M58" i="33"/>
  <c r="N58" i="33"/>
  <c r="O58" i="33"/>
  <c r="J7" i="33"/>
  <c r="F58" i="21"/>
  <c r="G58" i="21"/>
  <c r="H58" i="21"/>
  <c r="I58" i="21"/>
  <c r="J58" i="21"/>
  <c r="K58" i="21"/>
  <c r="L58" i="21"/>
  <c r="M58" i="21"/>
  <c r="N58" i="21"/>
  <c r="O58" i="21"/>
  <c r="G8" i="1"/>
  <c r="C28" i="80"/>
  <c r="C48" i="79"/>
  <c r="C77" i="81"/>
  <c r="C74" i="81"/>
  <c r="C28" i="83"/>
  <c r="C77" i="82"/>
  <c r="C74" i="82"/>
  <c r="C30" i="79"/>
  <c r="I20" i="43"/>
  <c r="M47" i="81"/>
  <c r="C7" i="77"/>
  <c r="C59" i="77"/>
  <c r="M47" i="82"/>
  <c r="J51" i="80"/>
  <c r="J51" i="83"/>
  <c r="O8" i="1"/>
  <c r="P8" i="1"/>
  <c r="O6" i="1"/>
  <c r="C40" i="68"/>
  <c r="C40" i="69"/>
  <c r="B9" i="49"/>
  <c r="E4" i="4"/>
  <c r="B5" i="62"/>
  <c r="B73" i="72"/>
  <c r="U11" i="34"/>
  <c r="S27" i="34"/>
  <c r="P61" i="15"/>
  <c r="J53" i="15"/>
  <c r="C51" i="10"/>
  <c r="A118" i="82"/>
  <c r="A2" i="82"/>
  <c r="A118" i="81"/>
  <c r="A2" i="81"/>
  <c r="J67" i="43"/>
  <c r="J64" i="43"/>
  <c r="D60" i="43"/>
  <c r="E59" i="43"/>
  <c r="B57" i="43"/>
  <c r="C24" i="43"/>
  <c r="J59" i="43"/>
  <c r="C30" i="11"/>
  <c r="D22" i="67"/>
  <c r="G31" i="6"/>
  <c r="C29" i="68"/>
  <c r="D27" i="68"/>
  <c r="E5" i="49"/>
  <c r="B10" i="49"/>
  <c r="C16" i="43"/>
  <c r="C5" i="43"/>
  <c r="AA41" i="34"/>
  <c r="AA39" i="34"/>
  <c r="U44" i="34"/>
  <c r="S44" i="34"/>
  <c r="AA40" i="34"/>
  <c r="U38" i="34"/>
  <c r="AB33" i="34"/>
  <c r="H88" i="34"/>
  <c r="I88" i="34"/>
  <c r="J88" i="34"/>
  <c r="K88" i="34"/>
  <c r="L88" i="34"/>
  <c r="M88" i="34"/>
  <c r="F25" i="34"/>
  <c r="J25" i="34"/>
  <c r="H25" i="34"/>
  <c r="E4" i="49"/>
  <c r="E8" i="49"/>
  <c r="E7" i="49"/>
  <c r="B67" i="43"/>
  <c r="C25" i="39"/>
  <c r="C29" i="39"/>
  <c r="B66" i="43"/>
  <c r="AB23" i="34"/>
  <c r="AC21" i="34"/>
  <c r="S21" i="34"/>
  <c r="U21" i="34"/>
  <c r="AB17" i="34"/>
  <c r="AC17" i="34"/>
  <c r="B4" i="49"/>
  <c r="E10" i="49"/>
  <c r="E16" i="49"/>
  <c r="E6" i="49"/>
  <c r="B16" i="49"/>
  <c r="C4" i="4"/>
  <c r="B4" i="62"/>
  <c r="B71" i="72"/>
  <c r="S43" i="34"/>
  <c r="AC36" i="34"/>
  <c r="S28" i="34"/>
  <c r="U27" i="34"/>
  <c r="W11" i="34"/>
  <c r="S10" i="34"/>
  <c r="AA11" i="34"/>
  <c r="S9" i="34"/>
  <c r="W8" i="34"/>
  <c r="C47" i="68"/>
  <c r="D45" i="68"/>
  <c r="G5" i="3"/>
  <c r="B3" i="3"/>
  <c r="C36" i="69"/>
  <c r="AZ14" i="3"/>
  <c r="E57" i="40"/>
  <c r="E62" i="39"/>
  <c r="M14" i="1"/>
  <c r="M7" i="1"/>
  <c r="O7" i="1"/>
  <c r="P7" i="1"/>
  <c r="D9" i="69"/>
  <c r="C9" i="69"/>
  <c r="P11" i="1"/>
  <c r="E13" i="6"/>
  <c r="E16" i="6"/>
  <c r="B113" i="43"/>
  <c r="G101" i="43"/>
  <c r="J101" i="43"/>
  <c r="L101" i="43"/>
  <c r="D101" i="43"/>
  <c r="M101" i="43"/>
  <c r="I101" i="43"/>
  <c r="E101" i="43"/>
  <c r="AJ11" i="43"/>
  <c r="AJ13" i="43"/>
  <c r="AF11" i="43"/>
  <c r="AF13" i="43"/>
  <c r="AB11" i="43"/>
  <c r="AB13" i="43"/>
  <c r="Z7" i="43"/>
  <c r="AI11" i="43"/>
  <c r="AI13" i="43"/>
  <c r="AE11" i="43"/>
  <c r="AE13" i="43"/>
  <c r="AA11" i="43"/>
  <c r="AA13" i="43"/>
  <c r="F22" i="43"/>
  <c r="K101" i="43"/>
  <c r="F101" i="43"/>
  <c r="N101" i="43"/>
  <c r="E22" i="43"/>
  <c r="C101" i="43"/>
  <c r="N104" i="46"/>
  <c r="H22" i="43"/>
  <c r="H101" i="43"/>
  <c r="G22" i="43"/>
  <c r="AH11" i="43"/>
  <c r="AH13" i="43"/>
  <c r="AD11" i="43"/>
  <c r="AD13" i="43"/>
  <c r="Z11" i="43"/>
  <c r="Z13" i="43"/>
  <c r="AG11" i="43"/>
  <c r="AG13" i="43"/>
  <c r="AC11" i="43"/>
  <c r="AC13" i="43"/>
  <c r="Y11" i="43"/>
  <c r="Y13" i="43"/>
  <c r="J22" i="43"/>
  <c r="H62" i="43"/>
  <c r="H61" i="43"/>
  <c r="H60" i="43"/>
  <c r="H59" i="43"/>
  <c r="H67" i="43"/>
  <c r="H66" i="43"/>
  <c r="H65" i="43"/>
  <c r="H64" i="43"/>
  <c r="H63" i="43"/>
  <c r="E11" i="49"/>
  <c r="B8" i="49"/>
  <c r="B6" i="49"/>
  <c r="E9" i="49"/>
  <c r="E21" i="49"/>
  <c r="B11" i="49"/>
  <c r="B13" i="49"/>
  <c r="B5" i="49"/>
  <c r="E22" i="49"/>
  <c r="B14" i="49"/>
  <c r="B7" i="49"/>
  <c r="B22" i="49"/>
  <c r="K56" i="9"/>
  <c r="C70" i="39"/>
  <c r="D68" i="39"/>
  <c r="B20" i="31"/>
  <c r="J20" i="67"/>
  <c r="F69" i="67"/>
  <c r="F63" i="67"/>
  <c r="C62" i="67"/>
  <c r="C34" i="67"/>
  <c r="C27" i="15"/>
  <c r="F51" i="15"/>
  <c r="F64" i="15"/>
  <c r="I54" i="67"/>
  <c r="J57" i="67"/>
  <c r="J55" i="67"/>
  <c r="J58" i="67"/>
  <c r="Q50" i="67"/>
  <c r="L56" i="67"/>
  <c r="C27" i="67"/>
  <c r="F68" i="67"/>
  <c r="F66" i="67"/>
  <c r="N59" i="67"/>
  <c r="M59" i="67"/>
  <c r="L58" i="67"/>
  <c r="L59" i="67"/>
  <c r="F68" i="15"/>
  <c r="L58" i="15"/>
  <c r="N59" i="15"/>
  <c r="M59" i="15"/>
  <c r="L59" i="15"/>
  <c r="F65" i="15"/>
  <c r="Q71" i="67"/>
  <c r="F70" i="67"/>
  <c r="F64" i="67"/>
  <c r="F65" i="67"/>
  <c r="I54" i="15"/>
  <c r="L56" i="15"/>
  <c r="J57" i="15"/>
  <c r="J55" i="15"/>
  <c r="J58" i="15"/>
  <c r="Q50" i="15"/>
  <c r="Q71" i="15"/>
  <c r="F71" i="67"/>
  <c r="M7" i="67"/>
  <c r="F50" i="67"/>
  <c r="F66" i="15"/>
  <c r="F51" i="67"/>
  <c r="C6" i="67"/>
  <c r="B10" i="70"/>
  <c r="B11" i="70"/>
  <c r="B12" i="70"/>
  <c r="B13" i="70"/>
  <c r="B9" i="70"/>
  <c r="I14" i="74"/>
  <c r="D127" i="9"/>
  <c r="D13" i="52"/>
  <c r="D12" i="52"/>
  <c r="P21" i="43"/>
  <c r="P23" i="43"/>
  <c r="B71" i="39"/>
  <c r="P24" i="43"/>
  <c r="B66" i="40"/>
  <c r="P25" i="43"/>
  <c r="W7" i="33"/>
  <c r="AC7" i="33"/>
  <c r="V48" i="33"/>
  <c r="I48" i="33"/>
  <c r="G63" i="40"/>
  <c r="G59" i="34"/>
  <c r="O14" i="1"/>
  <c r="P14" i="1"/>
  <c r="P6" i="1"/>
  <c r="H48" i="35"/>
  <c r="I48" i="35"/>
  <c r="J48" i="35"/>
  <c r="K48" i="35"/>
  <c r="L48" i="35"/>
  <c r="M48" i="35"/>
  <c r="N48" i="35"/>
  <c r="O48" i="35"/>
  <c r="I46" i="36"/>
  <c r="J46" i="36"/>
  <c r="K46" i="36"/>
  <c r="L46" i="36"/>
  <c r="M46" i="36"/>
  <c r="N46" i="36"/>
  <c r="O46" i="36"/>
  <c r="G52" i="37"/>
  <c r="H52" i="37"/>
  <c r="I52" i="37"/>
  <c r="J52" i="37"/>
  <c r="K52" i="37"/>
  <c r="L52" i="37"/>
  <c r="M52" i="37"/>
  <c r="N52" i="37"/>
  <c r="O52" i="37"/>
  <c r="H7" i="21"/>
  <c r="J7" i="21"/>
  <c r="H7" i="36"/>
  <c r="H7" i="35"/>
  <c r="H7" i="37"/>
  <c r="O9" i="1"/>
  <c r="F30" i="6"/>
  <c r="F31" i="6"/>
  <c r="E29" i="6"/>
  <c r="AZ557" i="3"/>
  <c r="W27" i="21"/>
  <c r="AC27" i="21"/>
  <c r="D9" i="53"/>
  <c r="B25" i="72"/>
  <c r="B24" i="72"/>
  <c r="S12" i="21"/>
  <c r="AA12" i="21"/>
  <c r="W9" i="34"/>
  <c r="AC9" i="34"/>
  <c r="D117" i="43"/>
  <c r="E117" i="43"/>
  <c r="F117" i="43"/>
  <c r="G117" i="43"/>
  <c r="H117" i="43"/>
  <c r="AA25" i="21"/>
  <c r="W31" i="34"/>
  <c r="AA13" i="35"/>
  <c r="AZ409" i="3"/>
  <c r="H9" i="34"/>
  <c r="J36" i="35"/>
  <c r="F25" i="37"/>
  <c r="AZ399" i="3"/>
  <c r="AZ404" i="3"/>
  <c r="AZ411" i="3"/>
  <c r="AZ414" i="3"/>
  <c r="AZ421" i="3"/>
  <c r="AZ423" i="3"/>
  <c r="AZ427" i="3"/>
  <c r="AZ430" i="3"/>
  <c r="AZ440" i="3"/>
  <c r="AZ449" i="3"/>
  <c r="AZ453" i="3"/>
  <c r="AZ455" i="3"/>
  <c r="AZ460" i="3"/>
  <c r="AZ471" i="3"/>
  <c r="AZ476" i="3"/>
  <c r="AZ478" i="3"/>
  <c r="AZ484" i="3"/>
  <c r="AZ492" i="3"/>
  <c r="AZ385" i="3"/>
  <c r="AZ210" i="3"/>
  <c r="AZ225" i="3"/>
  <c r="AZ239" i="3"/>
  <c r="AZ255" i="3"/>
  <c r="AZ267" i="3"/>
  <c r="AZ278" i="3"/>
  <c r="AZ284" i="3"/>
  <c r="AZ292" i="3"/>
  <c r="AZ302" i="3"/>
  <c r="AZ113" i="3"/>
  <c r="AZ126" i="3"/>
  <c r="AZ129" i="3"/>
  <c r="AZ141" i="3"/>
  <c r="AZ205" i="3"/>
  <c r="AZ18" i="3"/>
  <c r="AZ23" i="3"/>
  <c r="AZ27" i="3"/>
  <c r="AZ52" i="3"/>
  <c r="AZ56" i="3"/>
  <c r="AZ68" i="3"/>
  <c r="AZ73" i="3"/>
  <c r="AZ87" i="3"/>
  <c r="AZ95" i="3"/>
  <c r="AZ100" i="3"/>
  <c r="AZ112" i="3"/>
  <c r="F3" i="35"/>
  <c r="C17" i="71"/>
  <c r="D16" i="71"/>
  <c r="X15" i="71"/>
  <c r="X16" i="71"/>
  <c r="X17" i="71"/>
  <c r="AA21" i="71"/>
  <c r="AA19" i="71"/>
  <c r="M100" i="43"/>
  <c r="I100" i="43"/>
  <c r="E100" i="43"/>
  <c r="D100" i="43"/>
  <c r="D23" i="67"/>
  <c r="B10" i="71"/>
  <c r="X8" i="71"/>
  <c r="X3" i="71"/>
  <c r="Y11" i="71"/>
  <c r="Z11" i="71"/>
  <c r="Y3" i="71"/>
  <c r="Z3" i="71"/>
  <c r="Y7" i="71"/>
  <c r="Z7" i="71"/>
  <c r="Y8" i="71"/>
  <c r="Z8" i="71"/>
  <c r="Y9" i="71"/>
  <c r="Z9" i="71"/>
  <c r="Y10" i="71"/>
  <c r="Z10" i="71"/>
  <c r="F12" i="71"/>
  <c r="F13" i="71"/>
  <c r="F14" i="71"/>
  <c r="V14" i="71"/>
  <c r="AA12" i="71"/>
  <c r="AA13" i="71"/>
  <c r="AA15" i="71"/>
  <c r="AA14" i="71"/>
  <c r="P50" i="71"/>
  <c r="E49" i="71"/>
  <c r="Y6" i="71"/>
  <c r="Z6" i="71"/>
  <c r="AB6" i="71"/>
  <c r="V50" i="71"/>
  <c r="F49" i="71"/>
  <c r="AA5" i="71"/>
  <c r="X6" i="71"/>
  <c r="AB5" i="71"/>
  <c r="J1" i="73"/>
  <c r="AA6" i="71"/>
  <c r="Y5" i="71"/>
  <c r="Z5" i="71"/>
  <c r="X5" i="71"/>
  <c r="F59" i="67"/>
  <c r="M17" i="15"/>
  <c r="M17" i="67"/>
  <c r="F59" i="15"/>
  <c r="F6" i="73"/>
  <c r="D9" i="68"/>
  <c r="C17" i="67"/>
  <c r="M29" i="15"/>
  <c r="F7" i="73"/>
  <c r="F5" i="73"/>
  <c r="C16" i="15"/>
  <c r="F7" i="15"/>
  <c r="F43" i="15"/>
  <c r="C16" i="67"/>
  <c r="C14" i="67"/>
  <c r="F3" i="73"/>
  <c r="AC28" i="34"/>
  <c r="AB28" i="34"/>
  <c r="U28" i="34"/>
  <c r="F71" i="15"/>
  <c r="F50" i="15"/>
  <c r="C49" i="15"/>
  <c r="C6" i="15"/>
  <c r="M7" i="15"/>
  <c r="J6" i="15"/>
  <c r="U39" i="40"/>
  <c r="AB39" i="40"/>
  <c r="AB33" i="36"/>
  <c r="U33" i="36"/>
  <c r="W12" i="35"/>
  <c r="AC12" i="35"/>
  <c r="U12" i="36"/>
  <c r="AB12" i="36"/>
  <c r="AA35" i="34"/>
  <c r="S35" i="34"/>
  <c r="AA9" i="33"/>
  <c r="S9" i="33"/>
  <c r="F7" i="36"/>
  <c r="F7" i="35"/>
  <c r="J7" i="37"/>
  <c r="F7" i="37"/>
  <c r="J7" i="36"/>
  <c r="J7" i="35"/>
  <c r="D46" i="71"/>
  <c r="T46" i="71"/>
  <c r="AZ30" i="3"/>
  <c r="BA5" i="3"/>
  <c r="E27" i="6"/>
  <c r="BL5" i="3"/>
  <c r="AZ451" i="3"/>
  <c r="AZ438" i="3"/>
  <c r="AZ435" i="3"/>
  <c r="AZ419" i="3"/>
  <c r="AC38" i="40"/>
  <c r="W38" i="40"/>
  <c r="M18" i="82"/>
  <c r="B118" i="82"/>
  <c r="K6" i="1"/>
  <c r="W33" i="36"/>
  <c r="AC33" i="36"/>
  <c r="S12" i="35"/>
  <c r="AA12" i="35"/>
  <c r="AC12" i="36"/>
  <c r="W12" i="36"/>
  <c r="I39" i="43"/>
  <c r="D59" i="77"/>
  <c r="E59" i="77"/>
  <c r="F59" i="77"/>
  <c r="G59" i="77"/>
  <c r="H59" i="77"/>
  <c r="I59" i="77"/>
  <c r="J59" i="77"/>
  <c r="K59" i="77"/>
  <c r="L59" i="77"/>
  <c r="M59" i="77"/>
  <c r="N59" i="77"/>
  <c r="O59" i="77"/>
  <c r="H7" i="77"/>
  <c r="F7" i="21"/>
  <c r="H7" i="33"/>
  <c r="F7" i="33"/>
  <c r="Q52" i="15"/>
  <c r="F1" i="15"/>
  <c r="C49" i="67"/>
  <c r="C9" i="68"/>
  <c r="AB25" i="34"/>
  <c r="U25" i="34"/>
  <c r="S25" i="34"/>
  <c r="AA25" i="34"/>
  <c r="AC25" i="34"/>
  <c r="W25" i="34"/>
  <c r="K4" i="4"/>
  <c r="B46" i="48"/>
  <c r="B4" i="72"/>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350" i="3"/>
  <c r="E382" i="3"/>
  <c r="E303" i="3"/>
  <c r="E263" i="3"/>
  <c r="E301" i="3"/>
  <c r="E245" i="3"/>
  <c r="E159" i="3"/>
  <c r="E191" i="3"/>
  <c r="E99" i="3"/>
  <c r="E18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493" i="3"/>
  <c r="E534" i="3"/>
  <c r="E564" i="3"/>
  <c r="T6" i="3"/>
  <c r="E543" i="3"/>
  <c r="E405" i="3"/>
  <c r="E427" i="3"/>
  <c r="E456" i="3"/>
  <c r="E486" i="3"/>
  <c r="E469" i="3"/>
  <c r="E507" i="3"/>
  <c r="E512" i="3"/>
  <c r="E422" i="3"/>
  <c r="E408" i="3"/>
  <c r="E440" i="3"/>
  <c r="E451" i="3"/>
  <c r="E490" i="3"/>
  <c r="E360" i="3"/>
  <c r="E376" i="3"/>
  <c r="E556" i="3"/>
  <c r="AH6" i="3"/>
  <c r="E497" i="3"/>
  <c r="J6" i="3"/>
  <c r="E13"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K6" i="3"/>
  <c r="E532" i="3"/>
  <c r="Q6" i="3"/>
  <c r="E573" i="3"/>
  <c r="E560" i="3"/>
  <c r="E529" i="3"/>
  <c r="E437" i="3"/>
  <c r="E458" i="3"/>
  <c r="E472" i="3"/>
  <c r="E474" i="3"/>
  <c r="E481" i="3"/>
  <c r="E527" i="3"/>
  <c r="E406" i="3"/>
  <c r="E438" i="3"/>
  <c r="E424" i="3"/>
  <c r="E457" i="3"/>
  <c r="E465" i="3"/>
  <c r="E288" i="3"/>
  <c r="E344" i="3"/>
  <c r="E562" i="3"/>
  <c r="E587" i="3"/>
  <c r="W6" i="3"/>
  <c r="AE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341" i="3"/>
  <c r="Y6" i="3"/>
  <c r="E51" i="3"/>
  <c r="E19" i="3"/>
  <c r="E154" i="3"/>
  <c r="E179" i="3"/>
  <c r="E222" i="3"/>
  <c r="E323" i="3"/>
  <c r="E373" i="3"/>
  <c r="E82" i="3"/>
  <c r="E21" i="3"/>
  <c r="E381" i="3"/>
  <c r="E68" i="3"/>
  <c r="E63" i="3"/>
  <c r="E81" i="3"/>
  <c r="E118" i="3"/>
  <c r="E264" i="3"/>
  <c r="E283" i="3"/>
  <c r="E309" i="3"/>
  <c r="E513" i="3"/>
  <c r="E101" i="3"/>
  <c r="E83" i="3"/>
  <c r="O16" i="1"/>
  <c r="D22" i="43"/>
  <c r="E58" i="40"/>
  <c r="E63" i="39"/>
  <c r="E66" i="39"/>
  <c r="H107" i="43"/>
  <c r="H106" i="43"/>
  <c r="H105" i="43"/>
  <c r="H109" i="43"/>
  <c r="H102" i="43"/>
  <c r="H103" i="43"/>
  <c r="H104" i="43"/>
  <c r="F104" i="43"/>
  <c r="F102" i="43"/>
  <c r="F103" i="43"/>
  <c r="F107" i="43"/>
  <c r="F106" i="43"/>
  <c r="F105" i="43"/>
  <c r="F109" i="43"/>
  <c r="E104" i="43"/>
  <c r="E107" i="43"/>
  <c r="E105" i="43"/>
  <c r="E102" i="43"/>
  <c r="E106" i="43"/>
  <c r="E103" i="43"/>
  <c r="E109" i="43"/>
  <c r="M104" i="43"/>
  <c r="M107" i="43"/>
  <c r="M105" i="43"/>
  <c r="M109" i="43"/>
  <c r="M102" i="43"/>
  <c r="M106" i="43"/>
  <c r="M103" i="43"/>
  <c r="L109" i="43"/>
  <c r="L106" i="43"/>
  <c r="L107" i="43"/>
  <c r="L103" i="43"/>
  <c r="L102" i="43"/>
  <c r="L105" i="43"/>
  <c r="L104" i="43"/>
  <c r="G105" i="43"/>
  <c r="G107" i="43"/>
  <c r="G104" i="43"/>
  <c r="G109" i="43"/>
  <c r="G102" i="43"/>
  <c r="G103" i="43"/>
  <c r="G106" i="43"/>
  <c r="C104" i="43"/>
  <c r="C106" i="43"/>
  <c r="C107" i="43"/>
  <c r="C103" i="43"/>
  <c r="C102" i="43"/>
  <c r="C109" i="43"/>
  <c r="C105" i="43"/>
  <c r="N102" i="43"/>
  <c r="N105" i="43"/>
  <c r="N107" i="43"/>
  <c r="N103" i="43"/>
  <c r="N106" i="43"/>
  <c r="N104" i="43"/>
  <c r="N109" i="43"/>
  <c r="K103" i="43"/>
  <c r="K102" i="43"/>
  <c r="K106" i="43"/>
  <c r="K107" i="43"/>
  <c r="K104" i="43"/>
  <c r="K105" i="43"/>
  <c r="K109" i="43"/>
  <c r="I104" i="43"/>
  <c r="I107" i="43"/>
  <c r="I105" i="43"/>
  <c r="I109" i="43"/>
  <c r="I102" i="43"/>
  <c r="I106" i="43"/>
  <c r="I103" i="43"/>
  <c r="D105" i="43"/>
  <c r="D106" i="43"/>
  <c r="D102" i="43"/>
  <c r="D109" i="43"/>
  <c r="D103" i="43"/>
  <c r="D104" i="43"/>
  <c r="D107" i="43"/>
  <c r="J104" i="43"/>
  <c r="J107" i="43"/>
  <c r="J102" i="43"/>
  <c r="J106" i="43"/>
  <c r="J105" i="43"/>
  <c r="J103" i="43"/>
  <c r="J109" i="43"/>
  <c r="B115" i="43"/>
  <c r="I115" i="43"/>
  <c r="J115" i="43"/>
  <c r="K115" i="43"/>
  <c r="L115" i="43"/>
  <c r="M115" i="43"/>
  <c r="D118" i="43"/>
  <c r="E118" i="43"/>
  <c r="F118" i="43"/>
  <c r="G118" i="43"/>
  <c r="H118" i="43"/>
  <c r="B118" i="43"/>
  <c r="C118" i="43"/>
  <c r="I116" i="43"/>
  <c r="J116" i="43"/>
  <c r="K116" i="43"/>
  <c r="L116" i="43"/>
  <c r="M116"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D70" i="39"/>
  <c r="E68" i="39"/>
  <c r="C15" i="67"/>
  <c r="C18" i="67"/>
  <c r="E48" i="71"/>
  <c r="P49" i="71"/>
  <c r="W36" i="35"/>
  <c r="AC36" i="35"/>
  <c r="AB7" i="37"/>
  <c r="T42" i="37"/>
  <c r="G42" i="37"/>
  <c r="U7" i="37"/>
  <c r="AB7" i="35"/>
  <c r="T38" i="35"/>
  <c r="G38" i="35"/>
  <c r="U7" i="35"/>
  <c r="U7" i="36"/>
  <c r="AB7" i="36"/>
  <c r="T36" i="36"/>
  <c r="G36" i="36"/>
  <c r="S7" i="37"/>
  <c r="AA7" i="37"/>
  <c r="R42" i="37"/>
  <c r="W7" i="36"/>
  <c r="AC7" i="36"/>
  <c r="V36" i="36"/>
  <c r="I36" i="36"/>
  <c r="AC7" i="35"/>
  <c r="V38" i="35"/>
  <c r="I38" i="35"/>
  <c r="W7" i="35"/>
  <c r="H59" i="34"/>
  <c r="G65" i="40"/>
  <c r="H63" i="40"/>
  <c r="Q73" i="15"/>
  <c r="Q60" i="15"/>
  <c r="Q61" i="67"/>
  <c r="Q74" i="67"/>
  <c r="Q49" i="71"/>
  <c r="F48" i="71"/>
  <c r="S10" i="71"/>
  <c r="B9" i="71"/>
  <c r="B8" i="71"/>
  <c r="D17" i="71"/>
  <c r="C18" i="71"/>
  <c r="AZ5" i="3"/>
  <c r="AA25" i="37"/>
  <c r="S25" i="37"/>
  <c r="U9" i="34"/>
  <c r="AB9" i="34"/>
  <c r="K15" i="1"/>
  <c r="K16" i="1"/>
  <c r="E30" i="6"/>
  <c r="E31" i="6"/>
  <c r="P9" i="1"/>
  <c r="P16" i="1"/>
  <c r="C11" i="12"/>
  <c r="S7" i="36"/>
  <c r="AA7" i="36"/>
  <c r="R36" i="36"/>
  <c r="S7" i="35"/>
  <c r="AA7" i="35"/>
  <c r="R38" i="35"/>
  <c r="AC7" i="37"/>
  <c r="V42" i="37"/>
  <c r="I42" i="37"/>
  <c r="W7" i="37"/>
  <c r="W7" i="21"/>
  <c r="AC7" i="21"/>
  <c r="V48" i="21"/>
  <c r="I48" i="21"/>
  <c r="U7" i="21"/>
  <c r="AB7" i="21"/>
  <c r="T48" i="21"/>
  <c r="G48" i="21"/>
  <c r="I52" i="33"/>
  <c r="J52" i="33"/>
  <c r="J6" i="67"/>
  <c r="Q74" i="15"/>
  <c r="Q61" i="15"/>
  <c r="Q73" i="67"/>
  <c r="Q60" i="67"/>
  <c r="M23" i="80"/>
  <c r="M24" i="80"/>
  <c r="M22" i="80"/>
  <c r="C76" i="83"/>
  <c r="L47" i="83"/>
  <c r="M22" i="83"/>
  <c r="D3" i="73"/>
  <c r="D7" i="73"/>
  <c r="M26" i="80"/>
  <c r="M27" i="83"/>
  <c r="J15" i="83"/>
  <c r="M26" i="83"/>
  <c r="M29" i="83"/>
  <c r="AE7" i="1"/>
  <c r="C76" i="80"/>
  <c r="L47" i="80"/>
  <c r="M28" i="83"/>
  <c r="M27" i="80"/>
  <c r="M29" i="80"/>
  <c r="M23" i="83"/>
  <c r="M24" i="83"/>
  <c r="D6" i="73"/>
  <c r="J15" i="80"/>
  <c r="M28" i="80"/>
  <c r="Q52" i="83"/>
  <c r="L56" i="83"/>
  <c r="Q50" i="83"/>
  <c r="I54" i="83"/>
  <c r="F71" i="83"/>
  <c r="F64" i="83"/>
  <c r="F51" i="83"/>
  <c r="F66" i="83"/>
  <c r="Q52" i="80"/>
  <c r="I54" i="80"/>
  <c r="Q50" i="80"/>
  <c r="L56" i="80"/>
  <c r="F65" i="80"/>
  <c r="L58" i="80"/>
  <c r="M59" i="80"/>
  <c r="N59" i="80"/>
  <c r="L59" i="80"/>
  <c r="Q74" i="80"/>
  <c r="F71" i="80"/>
  <c r="F66" i="80"/>
  <c r="F64" i="80"/>
  <c r="Q71" i="80"/>
  <c r="F50" i="80"/>
  <c r="F68" i="83"/>
  <c r="F50" i="83"/>
  <c r="L58" i="83"/>
  <c r="N59" i="83"/>
  <c r="M59" i="83"/>
  <c r="L59" i="83"/>
  <c r="Q74" i="83"/>
  <c r="F65" i="83"/>
  <c r="Q71" i="83"/>
  <c r="C9" i="79"/>
  <c r="F68" i="80"/>
  <c r="F51" i="80"/>
  <c r="M6" i="1"/>
  <c r="G16" i="1"/>
  <c r="C34" i="69"/>
  <c r="H16" i="1"/>
  <c r="Q16" i="1"/>
  <c r="K22" i="6"/>
  <c r="M22" i="6"/>
  <c r="I22" i="6"/>
  <c r="S22" i="6"/>
  <c r="K23" i="6"/>
  <c r="M23" i="6"/>
  <c r="I23" i="6"/>
  <c r="S23" i="6"/>
  <c r="K24" i="6"/>
  <c r="M24" i="6"/>
  <c r="I24" i="6"/>
  <c r="S24" i="6"/>
  <c r="K25" i="6"/>
  <c r="M25" i="6"/>
  <c r="I25" i="6"/>
  <c r="S25" i="6"/>
  <c r="K21" i="6"/>
  <c r="K26" i="6"/>
  <c r="M26" i="6"/>
  <c r="I26" i="6"/>
  <c r="S26" i="6"/>
  <c r="K19" i="6"/>
  <c r="K20" i="6"/>
  <c r="AB7" i="33"/>
  <c r="T48" i="33"/>
  <c r="G48" i="33"/>
  <c r="U7" i="33"/>
  <c r="J7" i="77"/>
  <c r="F7" i="77"/>
  <c r="S7" i="33"/>
  <c r="AA7" i="33"/>
  <c r="R48" i="33"/>
  <c r="S7" i="21"/>
  <c r="AA7" i="21"/>
  <c r="R48" i="21"/>
  <c r="AB7" i="77"/>
  <c r="T49" i="77"/>
  <c r="G49" i="77"/>
  <c r="U7" i="77"/>
  <c r="AC6" i="3"/>
  <c r="H6" i="3"/>
  <c r="C115" i="43"/>
  <c r="D113" i="43"/>
  <c r="S3" i="43"/>
  <c r="C23" i="43"/>
  <c r="C21" i="43"/>
  <c r="S2" i="43"/>
  <c r="S5" i="43"/>
  <c r="S6" i="43"/>
  <c r="S7" i="43"/>
  <c r="S4" i="43"/>
  <c r="C19" i="67"/>
  <c r="C20" i="67"/>
  <c r="C26" i="67"/>
  <c r="F68" i="39"/>
  <c r="E70" i="39"/>
  <c r="K1" i="73"/>
  <c r="C15" i="12"/>
  <c r="C12" i="12"/>
  <c r="G52" i="21"/>
  <c r="H52" i="21"/>
  <c r="G53" i="21"/>
  <c r="H53" i="21"/>
  <c r="I52" i="21"/>
  <c r="J52" i="21"/>
  <c r="E38" i="35"/>
  <c r="R39" i="35"/>
  <c r="R37" i="36"/>
  <c r="E36" i="36"/>
  <c r="T18" i="71"/>
  <c r="D18" i="71"/>
  <c r="M20" i="43"/>
  <c r="C19" i="43"/>
  <c r="Q48" i="71"/>
  <c r="Q47" i="71"/>
  <c r="I59" i="34"/>
  <c r="I41" i="36"/>
  <c r="J41" i="36"/>
  <c r="I40" i="36"/>
  <c r="J40" i="36"/>
  <c r="E42" i="37"/>
  <c r="I47" i="37"/>
  <c r="J47" i="37"/>
  <c r="R43" i="37"/>
  <c r="G42" i="35"/>
  <c r="H42" i="35"/>
  <c r="G43" i="35"/>
  <c r="H43" i="35"/>
  <c r="G46" i="37"/>
  <c r="H46" i="37"/>
  <c r="G47" i="37"/>
  <c r="H47" i="37"/>
  <c r="P48" i="71"/>
  <c r="P47" i="71"/>
  <c r="M11" i="15"/>
  <c r="J10" i="15"/>
  <c r="J5" i="15"/>
  <c r="F11" i="67"/>
  <c r="M11" i="67"/>
  <c r="J10" i="67"/>
  <c r="J5" i="67"/>
  <c r="F11" i="15"/>
  <c r="I46" i="37"/>
  <c r="J46" i="37"/>
  <c r="AY6" i="3"/>
  <c r="E3" i="6"/>
  <c r="H65" i="40"/>
  <c r="I63" i="40"/>
  <c r="I42" i="35"/>
  <c r="J42" i="35"/>
  <c r="I43" i="35"/>
  <c r="J43" i="35"/>
  <c r="G40" i="36"/>
  <c r="H40" i="36"/>
  <c r="G41" i="36"/>
  <c r="H41" i="36"/>
  <c r="F41" i="15"/>
  <c r="Q61" i="80"/>
  <c r="C49" i="80"/>
  <c r="Q61" i="83"/>
  <c r="C49" i="83"/>
  <c r="S6" i="1"/>
  <c r="M19" i="6"/>
  <c r="K27" i="6"/>
  <c r="S8" i="1"/>
  <c r="M21" i="6"/>
  <c r="I21" i="6"/>
  <c r="H10" i="40"/>
  <c r="J10" i="40"/>
  <c r="J10" i="39"/>
  <c r="F10" i="40"/>
  <c r="F10" i="39"/>
  <c r="H10" i="39"/>
  <c r="M16" i="1"/>
  <c r="Q73" i="83"/>
  <c r="Q60" i="83"/>
  <c r="Q73" i="80"/>
  <c r="Q60" i="80"/>
  <c r="S7" i="1"/>
  <c r="M20" i="6"/>
  <c r="I20" i="6"/>
  <c r="S20" i="6"/>
  <c r="F27" i="69"/>
  <c r="F28" i="12"/>
  <c r="C29" i="12"/>
  <c r="D28" i="12"/>
  <c r="F27" i="11"/>
  <c r="C35" i="69"/>
  <c r="C38" i="69"/>
  <c r="R49" i="21"/>
  <c r="E48" i="21"/>
  <c r="E48" i="33"/>
  <c r="R49" i="33"/>
  <c r="AA7" i="77"/>
  <c r="R49" i="77"/>
  <c r="S7" i="77"/>
  <c r="G54" i="77"/>
  <c r="H54" i="77"/>
  <c r="G53" i="77"/>
  <c r="H53" i="77"/>
  <c r="W7" i="77"/>
  <c r="AC7" i="77"/>
  <c r="V49" i="77"/>
  <c r="I49" i="77"/>
  <c r="I53" i="77"/>
  <c r="J53" i="77"/>
  <c r="G52" i="33"/>
  <c r="H52" i="33"/>
  <c r="G53" i="33"/>
  <c r="H53" i="33"/>
  <c r="F69" i="15"/>
  <c r="C53" i="83"/>
  <c r="C53" i="80"/>
  <c r="E6" i="3"/>
  <c r="G68" i="39"/>
  <c r="F70" i="39"/>
  <c r="J18" i="67"/>
  <c r="J26" i="67"/>
  <c r="J29" i="67"/>
  <c r="J24"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c r="C10" i="15"/>
  <c r="C5" i="15"/>
  <c r="C53" i="67"/>
  <c r="C48" i="67"/>
  <c r="C10" i="67"/>
  <c r="C5" i="67"/>
  <c r="C42" i="37"/>
  <c r="C43" i="37"/>
  <c r="C37" i="36"/>
  <c r="B2" i="36"/>
  <c r="B3" i="36"/>
  <c r="C36" i="36"/>
  <c r="E42" i="35"/>
  <c r="F42" i="35"/>
  <c r="E43" i="35"/>
  <c r="F43" i="35"/>
  <c r="J63" i="40"/>
  <c r="I65" i="40"/>
  <c r="D3" i="34"/>
  <c r="D3" i="33"/>
  <c r="E6" i="6"/>
  <c r="C17" i="4"/>
  <c r="B4" i="52"/>
  <c r="B43" i="72"/>
  <c r="L18" i="9"/>
  <c r="D3" i="37"/>
  <c r="D3" i="21"/>
  <c r="D19" i="11"/>
  <c r="C19" i="11"/>
  <c r="D37" i="11"/>
  <c r="C37" i="11"/>
  <c r="D14" i="12"/>
  <c r="M18" i="9"/>
  <c r="B118" i="9"/>
  <c r="B14" i="74"/>
  <c r="B1" i="74"/>
  <c r="J18" i="15"/>
  <c r="J24" i="15"/>
  <c r="J26" i="15"/>
  <c r="J29" i="15"/>
  <c r="E46" i="37"/>
  <c r="F46" i="37"/>
  <c r="E47" i="37"/>
  <c r="F47" i="37"/>
  <c r="J59" i="34"/>
  <c r="E40" i="36"/>
  <c r="F40" i="36"/>
  <c r="E41" i="36"/>
  <c r="F41" i="36"/>
  <c r="C38" i="35"/>
  <c r="C39" i="35"/>
  <c r="B2" i="35"/>
  <c r="B3" i="35"/>
  <c r="P17" i="43"/>
  <c r="C36" i="43"/>
  <c r="M17" i="43"/>
  <c r="O17" i="43"/>
  <c r="C17" i="15"/>
  <c r="J24" i="80"/>
  <c r="J24" i="83"/>
  <c r="C48" i="80"/>
  <c r="C60" i="80"/>
  <c r="C48" i="83"/>
  <c r="C66" i="83"/>
  <c r="J18" i="83"/>
  <c r="C10" i="79"/>
  <c r="J18" i="80"/>
  <c r="C47" i="11"/>
  <c r="D45" i="11"/>
  <c r="C29" i="11"/>
  <c r="D27" i="11"/>
  <c r="C47" i="69"/>
  <c r="D45" i="69"/>
  <c r="C29" i="69"/>
  <c r="D27" i="69"/>
  <c r="AQ7" i="1"/>
  <c r="AR7" i="1"/>
  <c r="T7" i="1"/>
  <c r="E7" i="70"/>
  <c r="N16" i="1"/>
  <c r="C34" i="11"/>
  <c r="L16" i="1"/>
  <c r="S10" i="39"/>
  <c r="AA10" i="39"/>
  <c r="W10" i="39"/>
  <c r="AC10" i="39"/>
  <c r="U10" i="40"/>
  <c r="AB10" i="40"/>
  <c r="S16" i="1"/>
  <c r="E8" i="70"/>
  <c r="AQ8" i="1"/>
  <c r="AR8" i="1"/>
  <c r="T8" i="1"/>
  <c r="I19" i="6"/>
  <c r="M27" i="6"/>
  <c r="U10" i="39"/>
  <c r="AB10" i="39"/>
  <c r="AA10" i="40"/>
  <c r="S10" i="40"/>
  <c r="W10" i="40"/>
  <c r="AC10" i="40"/>
  <c r="S21" i="6"/>
  <c r="L18" i="81"/>
  <c r="AQ6" i="1"/>
  <c r="AR6" i="1"/>
  <c r="T6" i="1"/>
  <c r="E6" i="70"/>
  <c r="E2" i="70"/>
  <c r="F69" i="83"/>
  <c r="F69" i="80"/>
  <c r="C49" i="33"/>
  <c r="C48" i="33"/>
  <c r="E52" i="21"/>
  <c r="F52" i="21"/>
  <c r="I53" i="21"/>
  <c r="J53" i="21"/>
  <c r="E53" i="21"/>
  <c r="F53" i="21"/>
  <c r="B2" i="33"/>
  <c r="B3" i="33"/>
  <c r="E49" i="77"/>
  <c r="R50" i="77"/>
  <c r="I53" i="33"/>
  <c r="J53" i="33"/>
  <c r="E53" i="33"/>
  <c r="F53" i="33"/>
  <c r="E52" i="33"/>
  <c r="F52" i="33"/>
  <c r="C49" i="21"/>
  <c r="B2" i="21"/>
  <c r="B3" i="21"/>
  <c r="C48" i="21"/>
  <c r="C66" i="80"/>
  <c r="T6" i="43"/>
  <c r="V6" i="43"/>
  <c r="T10" i="43"/>
  <c r="V10" i="43"/>
  <c r="T15" i="43"/>
  <c r="V15" i="43"/>
  <c r="T2" i="43"/>
  <c r="V2" i="43"/>
  <c r="T3" i="43"/>
  <c r="V3" i="43"/>
  <c r="T12" i="43"/>
  <c r="V12" i="43"/>
  <c r="T16" i="43"/>
  <c r="V16" i="43"/>
  <c r="C38" i="43"/>
  <c r="E38" i="43"/>
  <c r="C6" i="68"/>
  <c r="C33" i="43"/>
  <c r="E33" i="43"/>
  <c r="C34" i="43"/>
  <c r="G34" i="43"/>
  <c r="I34" i="43"/>
  <c r="C37" i="43"/>
  <c r="G37" i="43"/>
  <c r="I37" i="43"/>
  <c r="T4" i="43"/>
  <c r="V4" i="43"/>
  <c r="T5" i="43"/>
  <c r="V5" i="43"/>
  <c r="T13" i="43"/>
  <c r="V13" i="43"/>
  <c r="T8" i="43"/>
  <c r="V8" i="43"/>
  <c r="T7" i="43"/>
  <c r="V7" i="43"/>
  <c r="T9" i="43"/>
  <c r="V9" i="43"/>
  <c r="T14" i="43"/>
  <c r="V14" i="43"/>
  <c r="T11" i="43"/>
  <c r="V11" i="43"/>
  <c r="C35" i="43"/>
  <c r="G35" i="43"/>
  <c r="I35" i="43"/>
  <c r="C29" i="43"/>
  <c r="E29" i="43"/>
  <c r="G70" i="39"/>
  <c r="H68" i="39"/>
  <c r="D10" i="69"/>
  <c r="D10" i="11"/>
  <c r="C10" i="11"/>
  <c r="D20" i="12"/>
  <c r="C20" i="12"/>
  <c r="C18" i="12"/>
  <c r="J65" i="40"/>
  <c r="K63" i="40"/>
  <c r="B2" i="37"/>
  <c r="B3" i="37"/>
  <c r="C38" i="67"/>
  <c r="C32" i="67"/>
  <c r="C38" i="15"/>
  <c r="C32" i="15"/>
  <c r="D19" i="6"/>
  <c r="D26" i="6"/>
  <c r="C18" i="4"/>
  <c r="D8" i="6"/>
  <c r="D23" i="6"/>
  <c r="D14" i="6"/>
  <c r="D5" i="6"/>
  <c r="D12" i="6"/>
  <c r="D11" i="6"/>
  <c r="D13" i="6"/>
  <c r="D28" i="6"/>
  <c r="E61" i="40"/>
  <c r="H23" i="6"/>
  <c r="H26" i="6"/>
  <c r="H20" i="6"/>
  <c r="D25" i="6"/>
  <c r="D15" i="6"/>
  <c r="D22" i="6"/>
  <c r="D21" i="6"/>
  <c r="D24" i="6"/>
  <c r="D20" i="6"/>
  <c r="R20" i="6"/>
  <c r="R7" i="1"/>
  <c r="D6" i="6"/>
  <c r="D9" i="6"/>
  <c r="D10" i="6"/>
  <c r="L19" i="9"/>
  <c r="D29" i="6"/>
  <c r="H25" i="6"/>
  <c r="H22" i="6"/>
  <c r="H21" i="6"/>
  <c r="H24" i="6"/>
  <c r="H19" i="6"/>
  <c r="H27" i="6"/>
  <c r="E36" i="43"/>
  <c r="G36" i="43"/>
  <c r="I36" i="43"/>
  <c r="K59" i="34"/>
  <c r="D17" i="12"/>
  <c r="C17" i="12"/>
  <c r="C14" i="12"/>
  <c r="C16" i="12"/>
  <c r="C20" i="11"/>
  <c r="C60" i="67"/>
  <c r="C66" i="67"/>
  <c r="C66" i="15"/>
  <c r="C60" i="15"/>
  <c r="F24" i="15"/>
  <c r="F22" i="11"/>
  <c r="F22" i="69"/>
  <c r="F25" i="12"/>
  <c r="C26" i="12"/>
  <c r="D25" i="12"/>
  <c r="F24" i="67"/>
  <c r="F22" i="68"/>
  <c r="F35" i="15"/>
  <c r="C34" i="68"/>
  <c r="M21" i="15"/>
  <c r="C14" i="15"/>
  <c r="D10" i="68"/>
  <c r="C60" i="83"/>
  <c r="C15" i="15"/>
  <c r="C18" i="15"/>
  <c r="C38" i="68"/>
  <c r="C35" i="68"/>
  <c r="C15" i="74"/>
  <c r="L19" i="82"/>
  <c r="M19" i="82"/>
  <c r="C118" i="82"/>
  <c r="M19" i="9"/>
  <c r="C118" i="9"/>
  <c r="C14" i="74"/>
  <c r="L18" i="82"/>
  <c r="I27" i="6"/>
  <c r="S19" i="6"/>
  <c r="S27" i="6"/>
  <c r="F50" i="79"/>
  <c r="F50" i="69"/>
  <c r="F50" i="11"/>
  <c r="F50" i="68"/>
  <c r="C16" i="74"/>
  <c r="L19" i="81"/>
  <c r="M19" i="81"/>
  <c r="C118" i="81"/>
  <c r="T16" i="1"/>
  <c r="C38" i="11"/>
  <c r="C35" i="11"/>
  <c r="I54" i="77"/>
  <c r="J54" i="77"/>
  <c r="E53" i="77"/>
  <c r="F53" i="77"/>
  <c r="E54" i="77"/>
  <c r="F54" i="77"/>
  <c r="C50" i="77"/>
  <c r="C49" i="77"/>
  <c r="J20" i="15"/>
  <c r="F63" i="15"/>
  <c r="C62" i="15"/>
  <c r="C34" i="15"/>
  <c r="C7" i="68"/>
  <c r="C5" i="68"/>
  <c r="C23" i="68"/>
  <c r="G33" i="43"/>
  <c r="I33" i="43"/>
  <c r="D16" i="6"/>
  <c r="D30" i="6"/>
  <c r="E34" i="43"/>
  <c r="E35" i="43"/>
  <c r="C30" i="43"/>
  <c r="E30" i="43"/>
  <c r="E37" i="43"/>
  <c r="G38" i="43"/>
  <c r="I38" i="43"/>
  <c r="H70" i="39"/>
  <c r="I68" i="39"/>
  <c r="C21" i="12"/>
  <c r="C22" i="12"/>
  <c r="C27" i="12"/>
  <c r="C25" i="12"/>
  <c r="C25" i="11"/>
  <c r="C26" i="68"/>
  <c r="D22" i="68"/>
  <c r="C44" i="68"/>
  <c r="D41" i="68"/>
  <c r="C26" i="11"/>
  <c r="D22" i="11"/>
  <c r="C23" i="11"/>
  <c r="C44" i="11"/>
  <c r="D41" i="11"/>
  <c r="C24" i="11"/>
  <c r="R24" i="6"/>
  <c r="R22" i="6"/>
  <c r="R25" i="6"/>
  <c r="R26" i="6"/>
  <c r="C10" i="68"/>
  <c r="D19" i="68"/>
  <c r="C24" i="67"/>
  <c r="C23" i="67"/>
  <c r="C26" i="69"/>
  <c r="D22" i="69"/>
  <c r="C44" i="69"/>
  <c r="D41" i="69"/>
  <c r="C24" i="15"/>
  <c r="C28" i="11"/>
  <c r="C27" i="11"/>
  <c r="L59" i="34"/>
  <c r="R21" i="6"/>
  <c r="R23" i="6"/>
  <c r="A7" i="51"/>
  <c r="B7" i="72"/>
  <c r="C4" i="52"/>
  <c r="B45" i="72"/>
  <c r="A10" i="51"/>
  <c r="B9" i="72"/>
  <c r="D27" i="6"/>
  <c r="R19" i="6"/>
  <c r="K65" i="40"/>
  <c r="L63" i="40"/>
  <c r="C10" i="69"/>
  <c r="C8" i="69"/>
  <c r="C5" i="69"/>
  <c r="D19" i="69"/>
  <c r="M21" i="80"/>
  <c r="C19" i="15"/>
  <c r="C20" i="15"/>
  <c r="C26" i="15"/>
  <c r="C33" i="11"/>
  <c r="B2" i="74"/>
  <c r="B3" i="77"/>
  <c r="B2" i="77"/>
  <c r="J20" i="80"/>
  <c r="F63" i="80"/>
  <c r="C62" i="80"/>
  <c r="C26" i="43"/>
  <c r="B2" i="43"/>
  <c r="R27" i="6"/>
  <c r="D31" i="6"/>
  <c r="I5" i="6"/>
  <c r="C27" i="43"/>
  <c r="J68" i="39"/>
  <c r="I70" i="39"/>
  <c r="C29" i="67"/>
  <c r="Q49" i="67"/>
  <c r="C19" i="69"/>
  <c r="C24" i="69"/>
  <c r="D37" i="69"/>
  <c r="C37" i="69"/>
  <c r="C33" i="69"/>
  <c r="L65" i="40"/>
  <c r="M63" i="40"/>
  <c r="M59" i="34"/>
  <c r="C30" i="12"/>
  <c r="C28" i="12"/>
  <c r="C32" i="12"/>
  <c r="B2" i="12"/>
  <c r="B3" i="12"/>
  <c r="C19" i="68"/>
  <c r="D37" i="68"/>
  <c r="C37" i="68"/>
  <c r="C33" i="68"/>
  <c r="C22" i="11"/>
  <c r="C31" i="11"/>
  <c r="C23" i="69"/>
  <c r="I6" i="6"/>
  <c r="B6" i="76"/>
  <c r="M21" i="83"/>
  <c r="E6" i="76"/>
  <c r="C23" i="15"/>
  <c r="C29" i="15"/>
  <c r="C33" i="15"/>
  <c r="C31" i="15"/>
  <c r="C39" i="11"/>
  <c r="C42" i="11"/>
  <c r="F63" i="83"/>
  <c r="C62" i="83"/>
  <c r="J20" i="83"/>
  <c r="R16" i="1"/>
  <c r="E2" i="76"/>
  <c r="C20" i="69"/>
  <c r="C25" i="69"/>
  <c r="C22" i="69"/>
  <c r="J59" i="67"/>
  <c r="J60" i="67"/>
  <c r="L46" i="67"/>
  <c r="J70" i="39"/>
  <c r="K68" i="39"/>
  <c r="C57" i="67"/>
  <c r="C61" i="67"/>
  <c r="C59" i="67"/>
  <c r="C36" i="67"/>
  <c r="J14" i="67"/>
  <c r="J13" i="67"/>
  <c r="J23" i="67"/>
  <c r="C33" i="67"/>
  <c r="C31" i="67"/>
  <c r="C13" i="67"/>
  <c r="C56" i="67"/>
  <c r="C65" i="67"/>
  <c r="J19" i="67"/>
  <c r="J17" i="67"/>
  <c r="B2" i="76"/>
  <c r="M65" i="40"/>
  <c r="N63" i="40"/>
  <c r="C42" i="69"/>
  <c r="C39" i="69"/>
  <c r="C43" i="69"/>
  <c r="C42" i="68"/>
  <c r="C39" i="68"/>
  <c r="C43" i="68"/>
  <c r="B3" i="43"/>
  <c r="C24" i="68"/>
  <c r="C20" i="68"/>
  <c r="C25" i="68"/>
  <c r="N59" i="34"/>
  <c r="J59" i="15"/>
  <c r="J60" i="15"/>
  <c r="Q48" i="15"/>
  <c r="C36" i="15"/>
  <c r="J19" i="15"/>
  <c r="J17" i="15"/>
  <c r="J19" i="80"/>
  <c r="J17" i="80"/>
  <c r="Q70" i="80"/>
  <c r="C57" i="80"/>
  <c r="C61" i="80"/>
  <c r="C59" i="80"/>
  <c r="Q49" i="80"/>
  <c r="J14" i="80"/>
  <c r="J13" i="80"/>
  <c r="J23" i="80"/>
  <c r="C57" i="15"/>
  <c r="C64" i="15"/>
  <c r="J14" i="15"/>
  <c r="J13" i="15"/>
  <c r="J23" i="15"/>
  <c r="C13" i="15"/>
  <c r="C56" i="15"/>
  <c r="C65" i="15"/>
  <c r="Q49" i="15"/>
  <c r="C46" i="11"/>
  <c r="C45" i="11"/>
  <c r="C43" i="11"/>
  <c r="C41" i="11"/>
  <c r="C49" i="11"/>
  <c r="C51" i="11"/>
  <c r="J14" i="83"/>
  <c r="Q49" i="83"/>
  <c r="Q48" i="83"/>
  <c r="C57" i="83"/>
  <c r="J19" i="83"/>
  <c r="J17" i="83"/>
  <c r="Q48" i="80"/>
  <c r="C64" i="80"/>
  <c r="B3" i="76"/>
  <c r="C37" i="67"/>
  <c r="C30" i="67"/>
  <c r="C39" i="67"/>
  <c r="Q69" i="67"/>
  <c r="Q48" i="67"/>
  <c r="C28" i="69"/>
  <c r="C27" i="69"/>
  <c r="C31" i="69"/>
  <c r="Q70" i="67"/>
  <c r="J22" i="67"/>
  <c r="J16" i="67"/>
  <c r="J25" i="67"/>
  <c r="C75" i="67"/>
  <c r="C64" i="67"/>
  <c r="C58" i="67"/>
  <c r="C67" i="67"/>
  <c r="C68" i="67"/>
  <c r="L68" i="39"/>
  <c r="K70" i="39"/>
  <c r="C41" i="69"/>
  <c r="C28" i="68"/>
  <c r="C27" i="68"/>
  <c r="O59" i="34"/>
  <c r="H7" i="34"/>
  <c r="C22" i="68"/>
  <c r="C46" i="68"/>
  <c r="C45" i="68"/>
  <c r="C46" i="69"/>
  <c r="C45" i="69"/>
  <c r="O63" i="40"/>
  <c r="O65" i="40"/>
  <c r="N65" i="40"/>
  <c r="C41" i="68"/>
  <c r="B3" i="79"/>
  <c r="C20" i="81"/>
  <c r="C61" i="15"/>
  <c r="C59" i="15"/>
  <c r="C58" i="15"/>
  <c r="C67" i="15"/>
  <c r="C68" i="15"/>
  <c r="C71" i="15"/>
  <c r="C75" i="80"/>
  <c r="Q70" i="15"/>
  <c r="C75" i="15"/>
  <c r="C37" i="15"/>
  <c r="C30" i="15"/>
  <c r="C39" i="15"/>
  <c r="C40" i="15"/>
  <c r="C56" i="80"/>
  <c r="C65" i="80"/>
  <c r="C58" i="80"/>
  <c r="C67" i="80"/>
  <c r="C68" i="80"/>
  <c r="C71" i="80"/>
  <c r="J22" i="80"/>
  <c r="J16" i="80"/>
  <c r="J25" i="80"/>
  <c r="C57" i="79"/>
  <c r="C56" i="79"/>
  <c r="C21" i="81"/>
  <c r="C102" i="81"/>
  <c r="C52" i="11"/>
  <c r="B2" i="11"/>
  <c r="B3" i="11"/>
  <c r="J22" i="15"/>
  <c r="J16" i="15"/>
  <c r="J25" i="15"/>
  <c r="J13" i="83"/>
  <c r="J23" i="83"/>
  <c r="J22" i="83"/>
  <c r="C75" i="83"/>
  <c r="Q69" i="83"/>
  <c r="Q70" i="83"/>
  <c r="C56" i="83"/>
  <c r="C65" i="83"/>
  <c r="C64" i="83"/>
  <c r="C61" i="83"/>
  <c r="C59" i="83"/>
  <c r="C103" i="81"/>
  <c r="L57" i="83"/>
  <c r="L60" i="83"/>
  <c r="C80" i="67"/>
  <c r="C79" i="67"/>
  <c r="C49" i="69"/>
  <c r="C51" i="69"/>
  <c r="C52" i="69"/>
  <c r="B2" i="69"/>
  <c r="B3" i="69"/>
  <c r="C40" i="67"/>
  <c r="Q65" i="67"/>
  <c r="Q68" i="67"/>
  <c r="C49" i="68"/>
  <c r="C51" i="68"/>
  <c r="L70" i="39"/>
  <c r="M68" i="39"/>
  <c r="C31" i="68"/>
  <c r="L57" i="15"/>
  <c r="L60" i="15"/>
  <c r="L46" i="15"/>
  <c r="C71" i="67"/>
  <c r="U7" i="34"/>
  <c r="AB7" i="34"/>
  <c r="T49" i="34"/>
  <c r="G49" i="34"/>
  <c r="F7" i="40"/>
  <c r="H7" i="40"/>
  <c r="J7" i="40"/>
  <c r="F7" i="34"/>
  <c r="J7" i="34"/>
  <c r="L51" i="15"/>
  <c r="L51" i="67"/>
  <c r="L51" i="80"/>
  <c r="Q69" i="80"/>
  <c r="Q68" i="80"/>
  <c r="C83" i="83"/>
  <c r="C82" i="83"/>
  <c r="Q69" i="15"/>
  <c r="Q68" i="15"/>
  <c r="C80" i="15"/>
  <c r="C79" i="15"/>
  <c r="C80" i="80"/>
  <c r="C79" i="80"/>
  <c r="C46" i="15"/>
  <c r="Q67" i="15"/>
  <c r="C80" i="83"/>
  <c r="C79" i="83"/>
  <c r="J16" i="83"/>
  <c r="J25" i="83"/>
  <c r="C58" i="83"/>
  <c r="C67" i="83"/>
  <c r="C68" i="83"/>
  <c r="C71" i="83"/>
  <c r="Q68" i="83"/>
  <c r="C56" i="11"/>
  <c r="C57" i="11"/>
  <c r="L57" i="67"/>
  <c r="L60" i="67"/>
  <c r="Q57" i="67"/>
  <c r="Q67" i="67"/>
  <c r="Q66" i="83"/>
  <c r="Q57" i="83"/>
  <c r="C46" i="80"/>
  <c r="Q67" i="80"/>
  <c r="L57" i="80"/>
  <c r="L60" i="80"/>
  <c r="Q47" i="80"/>
  <c r="Q53" i="80"/>
  <c r="Q65" i="80"/>
  <c r="Q56" i="80"/>
  <c r="C43" i="80"/>
  <c r="C83" i="80"/>
  <c r="C82" i="80"/>
  <c r="C43" i="15"/>
  <c r="Q56" i="67"/>
  <c r="B2" i="15"/>
  <c r="Q65" i="15"/>
  <c r="C45" i="67"/>
  <c r="C46" i="67"/>
  <c r="C83" i="67"/>
  <c r="C82" i="67"/>
  <c r="C83" i="15"/>
  <c r="C82" i="15"/>
  <c r="Q47" i="15"/>
  <c r="Q53" i="15"/>
  <c r="Q56" i="15"/>
  <c r="D2" i="67"/>
  <c r="B3" i="67"/>
  <c r="C43" i="67"/>
  <c r="Q47" i="67"/>
  <c r="Q53" i="67"/>
  <c r="C52" i="68"/>
  <c r="C57" i="68"/>
  <c r="C56" i="68"/>
  <c r="M70" i="39"/>
  <c r="N68" i="39"/>
  <c r="C57" i="69"/>
  <c r="C56" i="69"/>
  <c r="AB7" i="40"/>
  <c r="T42" i="40"/>
  <c r="G42" i="40"/>
  <c r="U7" i="40"/>
  <c r="G53" i="34"/>
  <c r="H53" i="34"/>
  <c r="Q66" i="15"/>
  <c r="Q57" i="15"/>
  <c r="AC7" i="34"/>
  <c r="W7" i="34"/>
  <c r="S7" i="34"/>
  <c r="AA7" i="34"/>
  <c r="R49" i="34"/>
  <c r="W7" i="40"/>
  <c r="AC7" i="40"/>
  <c r="V42" i="40"/>
  <c r="I42" i="40"/>
  <c r="AA7" i="40"/>
  <c r="R42" i="40"/>
  <c r="S7" i="40"/>
  <c r="D19" i="9"/>
  <c r="AO7" i="1"/>
  <c r="L51" i="83"/>
  <c r="AO8" i="1"/>
  <c r="Q56" i="83"/>
  <c r="Q67" i="83"/>
  <c r="Q65" i="83"/>
  <c r="Q47" i="83"/>
  <c r="Q53" i="83"/>
  <c r="C43" i="83"/>
  <c r="Q75" i="83"/>
  <c r="C46" i="83"/>
  <c r="Q66" i="67"/>
  <c r="Q75" i="67"/>
  <c r="D102" i="81"/>
  <c r="D21" i="81"/>
  <c r="D22" i="81"/>
  <c r="D102" i="9"/>
  <c r="D21" i="9"/>
  <c r="B8" i="70"/>
  <c r="B3" i="80"/>
  <c r="B7" i="70"/>
  <c r="B3" i="15"/>
  <c r="B3" i="83"/>
  <c r="Q62" i="83"/>
  <c r="Q66" i="80"/>
  <c r="Q75" i="80"/>
  <c r="Q57" i="80"/>
  <c r="Q62" i="80"/>
  <c r="Q75" i="15"/>
  <c r="Q62" i="67"/>
  <c r="B2" i="67"/>
  <c r="Q62" i="15"/>
  <c r="B2" i="68"/>
  <c r="O68" i="39"/>
  <c r="O70" i="39"/>
  <c r="N70" i="39"/>
  <c r="E42" i="40"/>
  <c r="I47" i="40"/>
  <c r="J47" i="40"/>
  <c r="R43" i="40"/>
  <c r="G47" i="40"/>
  <c r="H47" i="40"/>
  <c r="G46" i="40"/>
  <c r="H46" i="40"/>
  <c r="I46" i="40"/>
  <c r="J46" i="40"/>
  <c r="E49" i="34"/>
  <c r="B3" i="68"/>
  <c r="D20" i="81"/>
  <c r="D20" i="82"/>
  <c r="AO6" i="1"/>
  <c r="D20" i="9"/>
  <c r="C19" i="9"/>
  <c r="D21" i="82"/>
  <c r="D102" i="82"/>
  <c r="B6" i="70"/>
  <c r="B2" i="70"/>
  <c r="B3" i="70"/>
  <c r="E16" i="74"/>
  <c r="F16" i="74"/>
  <c r="D103" i="81"/>
  <c r="G20" i="81"/>
  <c r="G21" i="81"/>
  <c r="C32" i="81"/>
  <c r="D103" i="9"/>
  <c r="C102" i="9"/>
  <c r="D22" i="9"/>
  <c r="G19" i="9"/>
  <c r="C21" i="9"/>
  <c r="D103" i="82"/>
  <c r="F7" i="39"/>
  <c r="J7" i="39"/>
  <c r="H7" i="39"/>
  <c r="C42" i="40"/>
  <c r="C43" i="40"/>
  <c r="E54" i="34"/>
  <c r="F54" i="34"/>
  <c r="E53" i="34"/>
  <c r="F53" i="34"/>
  <c r="E46" i="40"/>
  <c r="F46" i="40"/>
  <c r="E47" i="40"/>
  <c r="F47" i="40"/>
  <c r="C20" i="9"/>
  <c r="G20" i="9"/>
  <c r="C103" i="9"/>
  <c r="C35" i="81"/>
  <c r="F118" i="81"/>
  <c r="H118" i="81"/>
  <c r="C32" i="9"/>
  <c r="G21" i="9"/>
  <c r="AB7" i="39"/>
  <c r="T47" i="39"/>
  <c r="G47" i="39"/>
  <c r="U7" i="39"/>
  <c r="W7" i="39"/>
  <c r="AC7" i="39"/>
  <c r="V47" i="39"/>
  <c r="I47" i="39"/>
  <c r="AA7" i="39"/>
  <c r="R47" i="39"/>
  <c r="S7" i="39"/>
  <c r="B57" i="40"/>
  <c r="F57" i="40"/>
  <c r="B58" i="40"/>
  <c r="F58" i="40"/>
  <c r="B59" i="40"/>
  <c r="F59" i="40"/>
  <c r="B52" i="40"/>
  <c r="F52" i="40"/>
  <c r="B56" i="40"/>
  <c r="F56" i="40"/>
  <c r="B51" i="40"/>
  <c r="F51" i="40"/>
  <c r="B54" i="40"/>
  <c r="F54" i="40"/>
  <c r="B53" i="40"/>
  <c r="F53" i="40"/>
  <c r="F61" i="40"/>
  <c r="B2" i="40"/>
  <c r="B3" i="40"/>
  <c r="B55" i="40"/>
  <c r="F55" i="40"/>
  <c r="B60" i="40"/>
  <c r="F60" i="40"/>
  <c r="H101" i="81"/>
  <c r="H109" i="81"/>
  <c r="H119" i="81"/>
  <c r="C104" i="81"/>
  <c r="I118" i="81"/>
  <c r="F119" i="81"/>
  <c r="G118" i="81"/>
  <c r="C34" i="81"/>
  <c r="D118" i="81"/>
  <c r="D119" i="81"/>
  <c r="C35" i="9"/>
  <c r="F118" i="9"/>
  <c r="H118" i="9"/>
  <c r="E47" i="39"/>
  <c r="R48" i="39"/>
  <c r="G52" i="39"/>
  <c r="H52" i="39"/>
  <c r="G51" i="39"/>
  <c r="H51" i="39"/>
  <c r="I52" i="39"/>
  <c r="J52" i="39"/>
  <c r="I51" i="39"/>
  <c r="J51" i="39"/>
  <c r="H110" i="81"/>
  <c r="D124" i="81"/>
  <c r="D125" i="81"/>
  <c r="M49" i="81"/>
  <c r="H107" i="81"/>
  <c r="D45" i="81"/>
  <c r="M48" i="81"/>
  <c r="E118" i="81"/>
  <c r="C105" i="81"/>
  <c r="H102" i="81"/>
  <c r="C34" i="9"/>
  <c r="D118" i="9"/>
  <c r="D119" i="9"/>
  <c r="D5" i="52"/>
  <c r="B49" i="72"/>
  <c r="F119" i="9"/>
  <c r="F5" i="52"/>
  <c r="B53" i="72"/>
  <c r="F4" i="52"/>
  <c r="B51" i="72"/>
  <c r="G118" i="9"/>
  <c r="G4" i="52"/>
  <c r="B52" i="72"/>
  <c r="C104" i="9"/>
  <c r="H101" i="9"/>
  <c r="H109" i="9"/>
  <c r="D14" i="74"/>
  <c r="H119" i="9"/>
  <c r="H5" i="52"/>
  <c r="H4" i="52"/>
  <c r="I118" i="9"/>
  <c r="E51" i="39"/>
  <c r="F51" i="39"/>
  <c r="E52" i="39"/>
  <c r="F52" i="39"/>
  <c r="C47" i="39"/>
  <c r="C48" i="39"/>
  <c r="M49" i="9"/>
  <c r="D124" i="9"/>
  <c r="H110" i="9"/>
  <c r="D18" i="53"/>
  <c r="B35" i="72"/>
  <c r="D16" i="53"/>
  <c r="L65" i="81"/>
  <c r="M65" i="81"/>
  <c r="L68" i="81"/>
  <c r="M68" i="81"/>
  <c r="L63" i="81"/>
  <c r="M63" i="81"/>
  <c r="L66" i="81"/>
  <c r="M66" i="81"/>
  <c r="L64" i="81"/>
  <c r="M64" i="81"/>
  <c r="L67" i="81"/>
  <c r="M67" i="81"/>
  <c r="C85" i="81"/>
  <c r="D53" i="81"/>
  <c r="C72" i="81"/>
  <c r="D52" i="81"/>
  <c r="C78" i="81"/>
  <c r="C73" i="81"/>
  <c r="C64" i="81"/>
  <c r="C63" i="81"/>
  <c r="C67" i="81"/>
  <c r="C68" i="81"/>
  <c r="D54" i="81"/>
  <c r="C93" i="81"/>
  <c r="C86" i="81"/>
  <c r="D55" i="81"/>
  <c r="M53" i="81"/>
  <c r="H108" i="81"/>
  <c r="D122" i="81"/>
  <c r="D123" i="81"/>
  <c r="D4" i="52"/>
  <c r="B47" i="72"/>
  <c r="C105" i="9"/>
  <c r="I4" i="52"/>
  <c r="H102" i="9"/>
  <c r="D7" i="53"/>
  <c r="B21" i="72"/>
  <c r="E118" i="9"/>
  <c r="E4" i="52"/>
  <c r="B48" i="72"/>
  <c r="H107" i="9"/>
  <c r="D45" i="9"/>
  <c r="M48" i="9"/>
  <c r="D5" i="53"/>
  <c r="E14" i="74"/>
  <c r="F14" i="74"/>
  <c r="B58" i="39"/>
  <c r="F58" i="39"/>
  <c r="B57" i="39"/>
  <c r="F57" i="39"/>
  <c r="B61" i="39"/>
  <c r="F61" i="39"/>
  <c r="B59" i="39"/>
  <c r="F59" i="39"/>
  <c r="B63" i="39"/>
  <c r="F63" i="39"/>
  <c r="B60" i="39"/>
  <c r="F60" i="39"/>
  <c r="B64" i="39"/>
  <c r="F64" i="39"/>
  <c r="B62" i="39"/>
  <c r="F62" i="39"/>
  <c r="B56" i="39"/>
  <c r="F56" i="39"/>
  <c r="F66" i="39"/>
  <c r="B2" i="39"/>
  <c r="B3" i="39"/>
  <c r="B65" i="39"/>
  <c r="F65" i="39"/>
  <c r="B34" i="72"/>
  <c r="D17" i="53"/>
  <c r="B36" i="72"/>
  <c r="H14" i="74"/>
  <c r="D10" i="52"/>
  <c r="D125" i="9"/>
  <c r="D11" i="52"/>
  <c r="D124" i="82"/>
  <c r="D125" i="82"/>
  <c r="M49" i="82"/>
  <c r="H110" i="82"/>
  <c r="M69" i="81"/>
  <c r="N69" i="81"/>
  <c r="L65" i="9"/>
  <c r="M65" i="9"/>
  <c r="L64" i="9"/>
  <c r="M64" i="9"/>
  <c r="L67" i="9"/>
  <c r="M67" i="9"/>
  <c r="L68" i="9"/>
  <c r="M68" i="9"/>
  <c r="L66" i="9"/>
  <c r="M66" i="9"/>
  <c r="L63" i="9"/>
  <c r="M63" i="9"/>
  <c r="C79" i="81"/>
  <c r="C95" i="81"/>
  <c r="D13" i="53"/>
  <c r="D122" i="9"/>
  <c r="H108" i="9"/>
  <c r="D15" i="53"/>
  <c r="B31" i="72"/>
  <c r="B20" i="72"/>
  <c r="D6" i="53"/>
  <c r="B22" i="72"/>
  <c r="C93" i="9"/>
  <c r="C86" i="9"/>
  <c r="C72" i="9"/>
  <c r="D55" i="9"/>
  <c r="M53" i="9"/>
  <c r="C64" i="9"/>
  <c r="C63" i="9"/>
  <c r="C67" i="9"/>
  <c r="C68" i="9"/>
  <c r="D54" i="9"/>
  <c r="D53" i="9"/>
  <c r="D52" i="9"/>
  <c r="C78" i="9"/>
  <c r="C73" i="9"/>
  <c r="C85" i="9"/>
  <c r="M69" i="9"/>
  <c r="N69" i="9"/>
  <c r="L66" i="82"/>
  <c r="M66" i="82"/>
  <c r="L65" i="82"/>
  <c r="M65" i="82"/>
  <c r="L68" i="82"/>
  <c r="M68" i="82"/>
  <c r="L63" i="82"/>
  <c r="M63" i="82"/>
  <c r="L64" i="82"/>
  <c r="M64" i="82"/>
  <c r="L67" i="82"/>
  <c r="M67" i="82"/>
  <c r="C96" i="81"/>
  <c r="E96" i="81"/>
  <c r="E97" i="81"/>
  <c r="C80" i="81"/>
  <c r="E80" i="81"/>
  <c r="E81" i="81"/>
  <c r="C95" i="9"/>
  <c r="C96" i="9"/>
  <c r="E96" i="9"/>
  <c r="E97" i="9"/>
  <c r="D123" i="9"/>
  <c r="D9" i="52"/>
  <c r="G14" i="74"/>
  <c r="B6" i="74"/>
  <c r="D8" i="52"/>
  <c r="C79" i="9"/>
  <c r="B30" i="72"/>
  <c r="D14" i="53"/>
  <c r="B32" i="72"/>
  <c r="M69" i="82"/>
  <c r="N69" i="82"/>
  <c r="C81" i="81"/>
  <c r="C97" i="81"/>
  <c r="D58" i="81"/>
  <c r="D56" i="81"/>
  <c r="M54" i="81"/>
  <c r="N57" i="81"/>
  <c r="N58" i="81"/>
  <c r="C97" i="9"/>
  <c r="D58" i="9"/>
  <c r="D56" i="9"/>
  <c r="M54" i="9"/>
  <c r="N57" i="9"/>
  <c r="N58" i="9"/>
  <c r="C80" i="9"/>
  <c r="E80" i="9"/>
  <c r="E81" i="9"/>
  <c r="C6" i="74"/>
  <c r="D6" i="74"/>
  <c r="N59" i="81"/>
  <c r="N60" i="81"/>
  <c r="P57" i="81"/>
  <c r="C81" i="9"/>
  <c r="N59" i="9"/>
  <c r="N61" i="9"/>
  <c r="P57" i="9"/>
  <c r="N61" i="81"/>
  <c r="N60" i="9"/>
  <c r="H109" i="82"/>
  <c r="J47" i="34"/>
  <c r="W47" i="34"/>
  <c r="AC47" i="34"/>
  <c r="V49" i="34"/>
  <c r="I49" i="34"/>
  <c r="R50" i="34"/>
  <c r="I53" i="34"/>
  <c r="J53" i="34"/>
  <c r="G54" i="34"/>
  <c r="H54" i="34"/>
  <c r="I54" i="34"/>
  <c r="J54" i="34"/>
  <c r="C49" i="34"/>
  <c r="C50" i="34"/>
  <c r="B3" i="34"/>
  <c r="B2" i="34"/>
  <c r="C20" i="82"/>
  <c r="C103" i="82"/>
  <c r="G20" i="82"/>
  <c r="C102" i="82"/>
  <c r="C21" i="82"/>
  <c r="D22" i="82"/>
  <c r="G21" i="82"/>
  <c r="C32" i="82"/>
  <c r="E15" i="74"/>
  <c r="F15" i="74"/>
  <c r="B5" i="74"/>
  <c r="G51" i="34"/>
  <c r="H118" i="82"/>
  <c r="C35" i="82"/>
  <c r="F118" i="82"/>
  <c r="C34" i="82"/>
  <c r="D118" i="82"/>
  <c r="D119" i="82"/>
  <c r="C5" i="74"/>
  <c r="D5" i="74"/>
  <c r="F119" i="82"/>
  <c r="G118" i="82"/>
  <c r="C104" i="82"/>
  <c r="H119" i="82"/>
  <c r="I118" i="82"/>
  <c r="H101" i="82"/>
  <c r="B8" i="74"/>
  <c r="C105" i="82"/>
  <c r="E118" i="82"/>
  <c r="H102" i="82"/>
  <c r="B7" i="74"/>
  <c r="D28" i="82"/>
  <c r="H107" i="82"/>
  <c r="M48" i="82"/>
  <c r="D45" i="82"/>
  <c r="D8" i="74"/>
  <c r="C8" i="74"/>
  <c r="D52" i="82"/>
  <c r="C85" i="82"/>
  <c r="D53" i="82"/>
  <c r="C93" i="82"/>
  <c r="C86" i="82"/>
  <c r="C78" i="82"/>
  <c r="C73" i="82"/>
  <c r="C64" i="82"/>
  <c r="C63" i="82"/>
  <c r="C67" i="82"/>
  <c r="C68" i="82"/>
  <c r="D54" i="82"/>
  <c r="C72" i="82"/>
  <c r="D55" i="82"/>
  <c r="M53" i="82"/>
  <c r="D122" i="82"/>
  <c r="D123" i="82"/>
  <c r="H108" i="82"/>
  <c r="D7" i="74"/>
  <c r="C7" i="74"/>
  <c r="C79" i="82"/>
  <c r="C80" i="82"/>
  <c r="E80" i="82"/>
  <c r="E81" i="82"/>
  <c r="C95" i="82"/>
  <c r="C81" i="82"/>
  <c r="C96" i="82"/>
  <c r="E96" i="82"/>
  <c r="E97" i="82"/>
  <c r="C97" i="82"/>
  <c r="D58" i="82"/>
  <c r="D56" i="82"/>
  <c r="M54" i="82"/>
  <c r="N57" i="82"/>
  <c r="N59" i="82"/>
  <c r="N58" i="82"/>
  <c r="P57" i="82"/>
  <c r="N61" i="82"/>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<sst xmlns="http://schemas.openxmlformats.org/spreadsheetml/2006/main" count="9418" uniqueCount="3180">
  <si>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</si>
  <si>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</si>
  <si>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</si>
  <si>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</si>
  <si>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</si>
  <si>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</si>
  <si>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</si>
  <si>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</si>
  <si>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</si>
  <si>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</si>
  <si>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</si>
  <si>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</si>
  <si>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</si>
  <si>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</si>
  <si>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</si>
  <si>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</si>
  <si>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</si>
  <si>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</si>
  <si>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</si>
  <si>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</si>
  <si>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</si>
  <si>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</si>
  <si>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</si>
  <si>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</si>
  <si>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</si>
  <si>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</si>
  <si>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</si>
  <si>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</si>
  <si>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</si>
  <si>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</si>
  <si>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</si>
  <si>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</si>
  <si>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</si>
  <si>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</si>
  <si>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</si>
  <si>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</si>
  <si>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</si>
  <si>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</si>
  <si>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</si>
  <si>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</si>
  <si>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</si>
  <si>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</si>
  <si>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</si>
  <si>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</si>
  <si>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</si>
  <si>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</si>
  <si>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</si>
  <si>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</si>
  <si>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</si>
  <si>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</si>
  <si>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</si>
  <si>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</si>
  <si>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</si>
  <si>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</si>
  <si>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</si>
  <si>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</si>
  <si>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</si>
  <si>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</si>
  <si>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</si>
  <si>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</si>
  <si>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</si>
  <si>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</si>
  <si>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</si>
  <si>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</si>
  <si>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</si>
  <si>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</si>
  <si>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</si>
  <si>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</si>
  <si>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</si>
  <si>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</si>
  <si>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</si>
  <si>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</si>
  <si>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</si>
  <si>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</si>
  <si>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</si>
  <si>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</si>
  <si>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</si>
  <si>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</si>
  <si>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</si>
  <si>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</si>
  <si>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</si>
  <si>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</si>
  <si>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</si>
  <si>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</si>
  <si>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</si>
  <si>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</si>
  <si>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</si>
  <si>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</si>
  <si>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</si>
  <si>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</si>
  <si>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</si>
  <si>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</si>
  <si>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</si>
  <si>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</si>
  <si>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</si>
  <si>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</si>
  <si>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</si>
  <si>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</si>
  <si>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</si>
  <si>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</si>
  <si>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</si>
  <si>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</si>
  <si>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</si>
  <si>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</si>
  <si>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</si>
  <si>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</si>
  <si>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</si>
  <si>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</si>
  <si>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</si>
  <si>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</si>
  <si>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</si>
  <si>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</si>
  <si>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</si>
  <si>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</si>
  <si>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</si>
  <si>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</si>
  <si>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</si>
  <si>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</si>
  <si>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</si>
  <si>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</si>
  <si>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</si>
  <si>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</si>
  <si>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</si>
  <si>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</si>
  <si>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</si>
  <si>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</si>
  <si>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</si>
  <si>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</si>
  <si>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</si>
  <si>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</si>
  <si>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</si>
  <si>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</si>
  <si>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</si>
  <si>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</si>
  <si>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</si>
  <si>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</si>
  <si>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</si>
  <si>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</si>
  <si>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</si>
  <si>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</si>
  <si>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</si>
  <si>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</si>
  <si>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</si>
  <si>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</si>
  <si>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</si>
  <si>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</si>
  <si>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</si>
  <si>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</si>
  <si>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</si>
  <si>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</si>
  <si>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</si>
  <si>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</si>
  <si>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</si>
  <si>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</si>
  <si>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</si>
  <si>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</si>
  <si>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</si>
  <si>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</si>
  <si>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</si>
  <si>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</si>
  <si>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</si>
  <si>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</si>
  <si>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</si>
  <si>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</si>
  <si>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</si>
  <si>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</si>
  <si>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</si>
  <si>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</si>
  <si>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</si>
  <si>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</si>
  <si>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</si>
  <si>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</si>
  <si>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</si>
  <si>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</si>
  <si>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</si>
  <si>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</si>
  <si>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</si>
  <si>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</si>
  <si>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</si>
  <si>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</si>
  <si>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</si>
  <si>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</si>
  <si>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</si>
  <si>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</si>
  <si>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</si>
  <si>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</si>
  <si>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</si>
  <si>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</si>
  <si>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</si>
  <si>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</si>
  <si>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</si>
  <si>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</si>
  <si>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</si>
  <si>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</si>
  <si>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</si>
  <si>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</si>
  <si>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</si>
  <si>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</si>
  <si>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</si>
  <si>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</si>
  <si>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</si>
  <si>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</si>
  <si>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</si>
  <si>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</si>
  <si>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</si>
  <si>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</si>
  <si>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</si>
  <si>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</si>
  <si>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</si>
  <si>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</si>
  <si>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</si>
  <si>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</si>
  <si>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</si>
  <si>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</si>
  <si>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</si>
  <si>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</si>
  <si>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</si>
  <si>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</si>
  <si>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</si>
  <si>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</si>
  <si>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</si>
  <si>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</si>
  <si>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</si>
  <si>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</si>
  <si>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</si>
  <si>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</si>
  <si>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</si>
  <si>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</si>
  <si>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</si>
  <si>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</si>
  <si>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</si>
  <si>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</si>
  <si>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</si>
  <si>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</si>
  <si>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</si>
  <si>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</si>
  <si>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</si>
  <si>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</si>
  <si>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</si>
  <si>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</si>
  <si>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</si>
  <si>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</si>
  <si>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</si>
  <si>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</si>
  <si>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</si>
  <si>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</si>
  <si>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</si>
  <si>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</si>
  <si>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</si>
  <si>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</si>
  <si>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</si>
  <si>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</si>
  <si>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</si>
  <si>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</si>
  <si>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</si>
  <si>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</si>
  <si>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</si>
  <si>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</si>
  <si>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</si>
  <si>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</si>
  <si>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</si>
  <si>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</si>
  <si>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</si>
  <si>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</si>
  <si>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</si>
  <si>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</si>
  <si>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</si>
  <si>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</si>
  <si>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</si>
  <si>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</si>
  <si>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</si>
  <si>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</si>
  <si>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</si>
  <si>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</si>
  <si>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</si>
  <si>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</si>
  <si>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</si>
  <si>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</si>
  <si>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</si>
  <si>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</si>
  <si>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</si>
  <si>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</si>
  <si>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</si>
  <si>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</si>
  <si>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</si>
  <si>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</si>
  <si>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</si>
  <si>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</si>
  <si>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</si>
  <si>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</si>
  <si>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</si>
  <si>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</si>
  <si>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</si>
  <si>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</si>
  <si>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</si>
  <si>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</si>
  <si>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</si>
  <si>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</si>
  <si>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</si>
  <si>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</si>
  <si>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</si>
  <si>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</si>
  <si>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</si>
  <si>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</si>
  <si>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</si>
  <si>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</si>
  <si>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</si>
  <si>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</si>
  <si>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</si>
  <si>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</si>
  <si>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</si>
  <si>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</si>
  <si>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</si>
  <si>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</si>
  <si>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</si>
  <si>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</si>
  <si>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</si>
  <si>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</si>
  <si>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</si>
  <si>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</si>
  <si>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</si>
  <si>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</si>
  <si>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</si>
  <si>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</si>
  <si>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</si>
  <si>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</si>
  <si>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</si>
  <si>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</si>
  <si>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</si>
  <si>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</si>
  <si>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</si>
  <si>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</si>
  <si>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</si>
  <si>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</si>
  <si>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</si>
  <si>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</si>
  <si>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</si>
  <si>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</si>
  <si>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</si>
  <si>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</si>
  <si>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</si>
  <si>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</si>
  <si>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</si>
  <si>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</si>
  <si>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</si>
  <si>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</si>
  <si>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</si>
  <si>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</si>
  <si>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</si>
  <si>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</si>
  <si>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</si>
  <si>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</si>
  <si>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</si>
  <si>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</si>
  <si>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</si>
  <si>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</si>
  <si>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</si>
  <si>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</si>
  <si>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</si>
  <si>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</si>
  <si>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</si>
  <si>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</si>
  <si>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</si>
  <si>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</si>
  <si>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</si>
  <si>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</si>
  <si>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</si>
  <si>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</si>
  <si>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</si>
  <si>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</si>
  <si>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</si>
  <si>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</si>
  <si>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</si>
  <si>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</si>
  <si>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</si>
  <si>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</si>
  <si>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</si>
  <si>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</si>
  <si>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</si>
  <si>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</si>
  <si>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</si>
  <si>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</si>
  <si>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</si>
  <si>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</si>
  <si>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</si>
  <si>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</si>
  <si>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</si>
  <si>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</si>
  <si>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</si>
  <si>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</si>
  <si>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</si>
  <si>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</si>
  <si>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</si>
  <si>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</si>
  <si>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</si>
  <si>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</si>
  <si>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</si>
  <si>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</si>
  <si>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</si>
  <si>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</si>
  <si>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</si>
  <si>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</si>
  <si>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</si>
  <si>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</si>
  <si>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</si>
  <si>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</si>
  <si>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</si>
  <si>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</si>
  <si>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</si>
  <si>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</si>
  <si>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</si>
  <si>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</si>
  <si>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</si>
  <si>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</si>
  <si>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</si>
  <si>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</si>
  <si>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</si>
  <si>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</si>
  <si>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</si>
  <si>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</si>
  <si>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</si>
  <si>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</si>
  <si>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</si>
  <si>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</si>
  <si>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</si>
  <si>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</si>
  <si>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</si>
  <si>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</si>
  <si>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</si>
  <si>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</si>
  <si>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</si>
  <si>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</si>
  <si>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</si>
  <si>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</si>
  <si>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</si>
  <si>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</si>
  <si>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</si>
  <si>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</si>
  <si>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</si>
  <si>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</si>
  <si>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</si>
  <si>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</si>
  <si>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</si>
  <si>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</si>
  <si>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</si>
  <si>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</si>
  <si>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</si>
  <si>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</si>
  <si>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</si>
  <si>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</si>
  <si>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</si>
  <si>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</si>
  <si>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</si>
  <si>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</si>
  <si>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</si>
  <si>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</si>
  <si>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</si>
  <si>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</si>
  <si>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</si>
  <si>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</si>
  <si>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</si>
  <si>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</si>
  <si>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</si>
  <si>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</si>
  <si>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</si>
  <si>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</si>
  <si>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</si>
  <si>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</si>
  <si>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</si>
  <si>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</si>
  <si>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</si>
  <si>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</si>
  <si>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</si>
  <si>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</si>
  <si>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</si>
  <si>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</si>
  <si>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</si>
  <si>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</si>
  <si>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</si>
  <si>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</si>
  <si>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</si>
  <si>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</si>
  <si>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</si>
  <si>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</si>
  <si>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</si>
  <si>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</si>
  <si>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</si>
  <si>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</si>
  <si>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</si>
  <si>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</si>
  <si>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</si>
  <si>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</si>
  <si>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</si>
  <si>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</si>
  <si>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</si>
  <si>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</si>
  <si>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</si>
  <si>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</si>
  <si>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</si>
  <si>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</si>
  <si>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</si>
  <si>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</si>
  <si>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</si>
  <si>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</si>
  <si>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</si>
  <si>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</si>
  <si>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</si>
  <si>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</si>
  <si>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</si>
  <si>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</si>
  <si>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</si>
  <si>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</si>
  <si>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</si>
  <si>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</si>
  <si>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</si>
  <si>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</si>
  <si>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</si>
  <si>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</si>
  <si>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</si>
  <si>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</si>
  <si>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</si>
  <si>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</si>
  <si>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</si>
  <si>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</si>
  <si>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</si>
  <si>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</si>
  <si>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</si>
  <si>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</si>
  <si>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</si>
  <si>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</si>
  <si>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</si>
  <si>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</si>
  <si>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</si>
  <si>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</si>
  <si>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</si>
  <si>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</si>
  <si>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</si>
  <si>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</si>
  <si>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</si>
  <si>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</si>
  <si>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</si>
  <si>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</si>
  <si>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</si>
  <si>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</si>
  <si>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</si>
  <si>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</si>
  <si>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</si>
  <si>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</si>
  <si>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</si>
  <si>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</si>
  <si>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</si>
  <si>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</si>
  <si>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</si>
  <si>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</si>
  <si>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</si>
  <si>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</si>
  <si>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</si>
  <si>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</si>
  <si>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</si>
  <si>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</si>
  <si>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</si>
  <si>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</si>
  <si>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</si>
  <si>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</si>
  <si>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</si>
  <si>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</si>
  <si>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</si>
  <si>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</si>
  <si>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</si>
  <si>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</si>
  <si>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</si>
  <si>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</si>
  <si>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</si>
  <si>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</si>
  <si>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</si>
  <si>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</si>
  <si>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</si>
  <si>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</si>
  <si>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</si>
  <si>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</si>
  <si>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</si>
  <si>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</si>
  <si>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</si>
  <si>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</si>
  <si>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</si>
  <si>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</si>
  <si>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</si>
  <si>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</si>
  <si>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</si>
  <si>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</si>
  <si>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</si>
  <si>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</si>
  <si>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</si>
  <si>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</si>
  <si>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</si>
  <si>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</si>
  <si>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</si>
  <si>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</si>
  <si>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</si>
  <si>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</si>
  <si>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</si>
  <si>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</si>
  <si>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</si>
  <si>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</si>
  <si>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</si>
  <si>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</si>
  <si>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</si>
  <si>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</si>
  <si>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</si>
  <si>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</si>
  <si>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</si>
  <si>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</si>
  <si>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</si>
  <si>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</si>
  <si>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</si>
  <si>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</si>
  <si>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</si>
  <si>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</si>
  <si>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</si>
  <si>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</si>
  <si>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</si>
  <si>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</si>
  <si>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</si>
  <si>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</si>
  <si>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</si>
  <si>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</si>
  <si>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</si>
  <si>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</si>
  <si>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</si>
  <si>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</si>
  <si>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</si>
  <si>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</si>
  <si>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</si>
  <si>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</si>
  <si>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</si>
  <si>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</si>
  <si>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</si>
  <si>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</si>
  <si>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</si>
  <si>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</si>
  <si>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</si>
  <si>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</si>
  <si>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</si>
  <si>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</si>
  <si>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</si>
  <si>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</si>
  <si>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</si>
  <si>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</si>
  <si>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</si>
  <si>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</si>
  <si>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</si>
  <si>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</si>
  <si>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</si>
  <si>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</si>
  <si>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</si>
  <si>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</si>
  <si>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</si>
  <si>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</si>
  <si>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</si>
  <si>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</si>
  <si>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</si>
  <si>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</si>
  <si>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</si>
  <si>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</si>
  <si>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</si>
  <si>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</si>
  <si>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</si>
  <si>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</si>
  <si>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</si>
  <si>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</si>
  <si>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</si>
  <si>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</si>
  <si>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</si>
  <si>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</si>
  <si>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</si>
  <si>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</si>
  <si>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</si>
  <si>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</si>
  <si>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</si>
  <si>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</si>
  <si>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</si>
  <si>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</si>
  <si>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</si>
  <si>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</si>
  <si>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</si>
  <si>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</si>
  <si>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</si>
  <si>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</si>
  <si>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</si>
  <si>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</si>
  <si>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</si>
  <si>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</si>
  <si>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</si>
  <si>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</si>
  <si>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</si>
  <si>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</si>
  <si>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</si>
  <si>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</si>
  <si>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</si>
  <si>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</si>
  <si>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</si>
  <si>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</si>
  <si>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</si>
  <si>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</si>
  <si>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</si>
  <si>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</si>
  <si>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</si>
  <si>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</si>
  <si>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</si>
  <si>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</si>
  <si>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</si>
  <si>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</si>
  <si>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</si>
  <si>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</si>
  <si>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</si>
  <si>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</si>
  <si>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</si>
  <si>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</si>
  <si>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</si>
  <si>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</si>
  <si>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</si>
  <si>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</si>
  <si>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</si>
  <si>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</si>
  <si>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</si>
  <si>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</si>
  <si>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</si>
  <si>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</si>
  <si>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</si>
  <si>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</si>
  <si>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</si>
  <si>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</si>
  <si>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</si>
  <si>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</si>
  <si>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</si>
  <si>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</si>
  <si>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</si>
  <si>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</si>
  <si>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</si>
  <si>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</si>
  <si>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</si>
  <si>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</si>
  <si>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</si>
  <si>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</si>
  <si>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</si>
  <si>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</si>
  <si>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</si>
  <si>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</si>
  <si>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</si>
  <si>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</si>
  <si>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</si>
  <si>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</si>
  <si>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</si>
  <si>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</si>
  <si>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</si>
  <si>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</si>
  <si>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</si>
  <si>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</si>
  <si>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</si>
  <si>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</si>
  <si>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</si>
  <si>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</si>
  <si>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</si>
  <si>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</si>
  <si>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</si>
  <si>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</si>
  <si>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</si>
  <si>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</si>
  <si>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</si>
  <si>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</si>
  <si>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</si>
  <si>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</si>
  <si>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</si>
  <si>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</si>
  <si>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</si>
  <si>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</si>
  <si>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</si>
  <si>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</si>
  <si>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</si>
  <si>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</si>
  <si>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</si>
  <si>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</si>
  <si>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</si>
  <si>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</si>
  <si>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</si>
  <si>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</si>
  <si>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</si>
  <si>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</si>
  <si>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</si>
  <si>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</si>
  <si>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</si>
  <si>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</si>
  <si>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</si>
  <si>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</si>
  <si>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</si>
  <si>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</si>
  <si>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</si>
  <si>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</si>
  <si>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</si>
  <si>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</si>
  <si>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</si>
  <si>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</si>
  <si>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</si>
  <si>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</si>
  <si>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</si>
  <si>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</si>
  <si>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</si>
  <si>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</si>
  <si>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</si>
  <si>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</si>
  <si>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</si>
  <si>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</si>
  <si>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</si>
  <si>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</si>
  <si>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</si>
  <si>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</si>
  <si>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</si>
  <si>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</si>
  <si>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</si>
  <si>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</si>
  <si>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</si>
  <si>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</si>
  <si>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</si>
  <si>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</si>
  <si>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</si>
  <si>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</si>
  <si>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</si>
  <si>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</si>
  <si>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</si>
  <si>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</si>
  <si>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</si>
  <si>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</si>
  <si>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</si>
  <si>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</si>
  <si>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</si>
  <si>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</si>
  <si>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</si>
  <si>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</si>
  <si>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</si>
  <si>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</si>
  <si>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</si>
  <si>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</si>
  <si>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</si>
  <si>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</si>
  <si>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</si>
  <si>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</si>
  <si>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</si>
  <si>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</si>
  <si>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</si>
  <si>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</si>
  <si>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</si>
  <si>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</si>
  <si>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</si>
  <si>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</si>
  <si>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</si>
  <si>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</si>
  <si>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</si>
  <si>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</si>
  <si>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</si>
  <si>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</si>
  <si>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</si>
  <si>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</si>
  <si>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</si>
  <si>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</si>
  <si>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</si>
  <si>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</si>
  <si>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</si>
  <si>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</si>
  <si>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</si>
  <si>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</si>
  <si>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</si>
  <si>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</si>
  <si>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</si>
  <si>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</si>
  <si>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</si>
  <si>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</si>
  <si>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</si>
  <si>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</si>
  <si>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</si>
  <si>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</si>
  <si>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</si>
  <si>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</si>
  <si>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</si>
  <si>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</si>
  <si>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</si>
  <si>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</si>
  <si>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</si>
  <si>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</si>
  <si>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</si>
  <si>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</si>
  <si>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</si>
  <si>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</si>
  <si>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</si>
  <si>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</si>
  <si>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</si>
  <si>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</si>
  <si>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</si>
  <si>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</si>
  <si>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</si>
  <si>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</si>
  <si>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</si>
  <si>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</si>
  <si>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</si>
  <si>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</si>
  <si>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</si>
  <si>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</si>
  <si>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</si>
  <si>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</si>
  <si>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</si>
  <si>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</si>
  <si>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</si>
  <si>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</si>
  <si>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</si>
  <si>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</si>
  <si>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</si>
  <si>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</si>
  <si>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</si>
  <si>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</si>
  <si>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</si>
  <si>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</si>
  <si>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</si>
  <si>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</si>
  <si>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</si>
  <si>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</si>
  <si>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</si>
  <si>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</si>
  <si>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</si>
  <si>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</si>
  <si>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</si>
  <si>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</si>
  <si>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</si>
  <si>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</si>
  <si>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</si>
  <si>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</si>
  <si>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</si>
  <si>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</si>
  <si>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</si>
  <si>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</si>
  <si>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</si>
  <si>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</si>
  <si>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</si>
  <si>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</si>
  <si>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</si>
  <si>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</si>
  <si>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</si>
  <si>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</si>
  <si>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</si>
  <si>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</si>
  <si>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</si>
  <si>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</si>
  <si>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</si>
  <si>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</si>
  <si>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</si>
  <si>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</si>
  <si>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</si>
  <si>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</si>
  <si>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</si>
  <si>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</si>
  <si>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</si>
  <si>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</si>
  <si>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</si>
  <si>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</si>
  <si>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</si>
  <si>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</si>
  <si>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</si>
  <si>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</si>
  <si>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</si>
  <si>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</si>
  <si>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</si>
  <si>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</si>
  <si>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</si>
  <si>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</si>
  <si>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</si>
  <si>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</si>
  <si>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</si>
  <si>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</si>
  <si>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</si>
  <si>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</si>
  <si>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</si>
  <si>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</si>
  <si>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</si>
  <si>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</si>
  <si>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</si>
  <si>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</si>
  <si>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</si>
  <si>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</si>
  <si>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</si>
  <si>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</si>
  <si>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</si>
  <si>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</si>
  <si>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</si>
  <si>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</si>
  <si>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</si>
  <si>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</si>
  <si>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</si>
  <si>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</si>
  <si>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</si>
  <si>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</si>
  <si>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</si>
  <si>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</si>
  <si>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</si>
  <si>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</si>
  <si>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</si>
  <si>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</si>
  <si>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</si>
  <si>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</si>
  <si>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</si>
  <si>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</si>
  <si>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</si>
  <si>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</si>
  <si>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</si>
  <si>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</si>
  <si>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</si>
  <si>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</si>
  <si>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</si>
  <si>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</si>
  <si>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</si>
  <si>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</si>
  <si>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</si>
  <si>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</si>
  <si>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</si>
  <si>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</si>
  <si>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</si>
  <si>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</si>
  <si>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</si>
  <si>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</si>
  <si>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</si>
  <si>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</si>
  <si>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</si>
  <si>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</si>
  <si>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</si>
  <si>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</si>
  <si>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</si>
  <si>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</si>
  <si>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</si>
  <si>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</si>
  <si>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</si>
  <si>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</si>
  <si>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</si>
  <si>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</si>
  <si>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</si>
  <si>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</si>
  <si>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</si>
  <si>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</si>
  <si>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</si>
  <si>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</si>
  <si>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</si>
  <si>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</si>
  <si>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</si>
  <si>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</si>
  <si>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</si>
  <si>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</si>
  <si>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</si>
  <si>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</si>
  <si>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</si>
  <si>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</si>
  <si>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</si>
  <si>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</si>
  <si>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</si>
  <si>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</si>
  <si>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</si>
  <si>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</si>
  <si>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</si>
  <si>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</si>
  <si>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</si>
  <si>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</si>
  <si>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</si>
  <si>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</si>
  <si>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</si>
  <si>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</si>
  <si>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</si>
  <si>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</si>
  <si>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</si>
  <si>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</si>
  <si>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</si>
  <si>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</si>
  <si>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</si>
  <si>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</si>
  <si>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</si>
  <si>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</si>
  <si>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</si>
  <si>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</si>
  <si>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</si>
  <si>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</si>
  <si>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</si>
  <si>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</si>
  <si>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</si>
  <si>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</si>
  <si>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</si>
  <si>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</si>
  <si>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</si>
  <si>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</si>
  <si>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</si>
  <si>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</si>
  <si>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</si>
  <si>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</si>
  <si>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</si>
  <si>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</si>
  <si>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</si>
  <si>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</si>
  <si>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</si>
  <si>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</si>
  <si>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</si>
  <si>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</si>
  <si>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</si>
  <si>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</si>
  <si>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</si>
  <si>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</si>
  <si>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</si>
  <si>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</si>
  <si>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</si>
  <si>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</si>
  <si>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</si>
  <si>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</si>
  <si>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</si>
  <si>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</si>
  <si>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</si>
  <si>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</si>
  <si>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</si>
  <si>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</si>
  <si>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</si>
  <si>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</si>
  <si>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</si>
  <si>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</si>
  <si>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</si>
  <si>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</si>
  <si>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</si>
  <si>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</si>
  <si>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</si>
  <si>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</si>
  <si>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</si>
  <si>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</si>
  <si>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</si>
  <si>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</si>
  <si>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</si>
  <si>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</si>
  <si>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</si>
  <si>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</si>
  <si>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</si>
  <si>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</si>
  <si>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</si>
  <si>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</si>
  <si>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</si>
  <si>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</si>
  <si>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</si>
  <si>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</si>
  <si>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</si>
  <si>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</si>
  <si>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</si>
  <si>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</si>
  <si>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</si>
  <si>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</si>
  <si>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</si>
  <si>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</si>
  <si>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</si>
  <si>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</si>
  <si>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</si>
  <si>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</si>
  <si>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</si>
  <si>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</si>
  <si>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</si>
  <si>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</si>
  <si>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</si>
  <si>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</si>
  <si>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</si>
  <si>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</si>
  <si>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</si>
  <si>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</si>
  <si>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</si>
  <si>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</si>
  <si>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</si>
  <si>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</si>
  <si>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</si>
  <si>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</si>
  <si>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</si>
  <si>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</si>
  <si>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</si>
  <si>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</si>
  <si>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</si>
  <si>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</si>
  <si>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</si>
  <si>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</si>
  <si>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</si>
  <si>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</si>
  <si>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</si>
  <si>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</si>
  <si>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</si>
  <si>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</si>
  <si>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</si>
  <si>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</si>
  <si>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</si>
  <si>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</si>
  <si>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</si>
  <si>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</si>
  <si>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</si>
  <si>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</si>
  <si>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</si>
  <si>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</si>
  <si>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</si>
  <si>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</si>
  <si>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</si>
  <si>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</si>
  <si>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</si>
  <si>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</si>
  <si>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</si>
  <si>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</si>
  <si>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</si>
  <si>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</si>
  <si>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</si>
  <si>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</si>
  <si>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</si>
  <si>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</si>
  <si>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</si>
  <si>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</si>
  <si>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</si>
  <si>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</si>
  <si>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</si>
  <si>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</si>
  <si>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</si>
  <si>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</si>
  <si>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</si>
  <si>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</si>
  <si>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</si>
  <si>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</si>
  <si>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</si>
  <si>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</si>
  <si>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</si>
  <si>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</si>
  <si>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</si>
  <si>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</si>
  <si>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</si>
  <si>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</si>
  <si>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</si>
  <si>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</si>
  <si>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</si>
  <si>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</si>
  <si>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</si>
  <si>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</si>
  <si>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</si>
  <si>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</si>
  <si>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</si>
  <si>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</si>
  <si>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</si>
  <si>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</si>
  <si>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</si>
  <si>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</si>
  <si>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</si>
  <si>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</si>
  <si>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</si>
  <si>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</si>
  <si>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</si>
  <si>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</si>
  <si>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</si>
  <si>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</si>
  <si>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</si>
  <si>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</si>
  <si>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</si>
  <si>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</si>
  <si>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</si>
  <si>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</si>
  <si>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</si>
  <si>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</si>
  <si>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</si>
  <si>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</si>
  <si>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</si>
  <si>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</si>
  <si>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</si>
  <si>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</si>
  <si>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</si>
  <si>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</si>
  <si>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</si>
  <si>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</si>
  <si>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</si>
  <si>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</si>
  <si>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</si>
  <si>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</si>
  <si>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</si>
  <si>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</si>
  <si>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</si>
  <si>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</si>
  <si>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</si>
  <si>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</si>
  <si>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</si>
  <si>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</si>
  <si>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</si>
  <si>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</si>
  <si>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</si>
  <si>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</si>
  <si>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</si>
  <si>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</si>
  <si>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</si>
  <si>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</si>
  <si>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</si>
  <si>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</si>
  <si>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</si>
  <si>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</si>
  <si>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</si>
  <si>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</si>
  <si>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</si>
  <si>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</si>
  <si>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</si>
  <si>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</si>
  <si>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</si>
  <si>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</si>
  <si>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</si>
  <si>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</si>
  <si>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</si>
  <si>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</si>
  <si>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</si>
  <si>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</si>
  <si>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</si>
  <si>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</si>
  <si>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</si>
  <si>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</si>
  <si>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</si>
  <si>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</si>
  <si>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</si>
  <si>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</si>
  <si>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</si>
  <si>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</si>
  <si>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</si>
  <si>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</si>
  <si>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</si>
  <si>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</si>
  <si>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</si>
  <si>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</si>
  <si>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</si>
  <si>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</si>
  <si>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</si>
  <si>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</si>
  <si>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</si>
  <si>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</si>
  <si>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</si>
  <si>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</si>
  <si>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</si>
  <si>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</si>
  <si>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</si>
  <si>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</si>
  <si>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</si>
  <si>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</si>
  <si>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</si>
  <si>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</si>
  <si>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</si>
  <si>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</si>
  <si>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</si>
  <si>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</si>
  <si>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</si>
  <si>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</si>
  <si>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</si>
  <si>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</si>
  <si>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</si>
  <si>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</si>
  <si>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</si>
  <si>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</si>
  <si>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</si>
  <si>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</si>
  <si>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</si>
  <si>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</si>
  <si>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</si>
  <si>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</si>
  <si>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</si>
  <si>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</si>
  <si>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</si>
  <si>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</si>
  <si>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</si>
  <si>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</si>
  <si>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</si>
  <si>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</si>
  <si>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</si>
  <si>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</si>
  <si>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</si>
  <si>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</si>
  <si>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</si>
  <si>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</si>
  <si>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</si>
  <si>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</si>
  <si>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</si>
  <si>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</si>
  <si>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</si>
  <si>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</si>
  <si>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</si>
  <si>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</si>
  <si>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</si>
  <si>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</si>
  <si>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</si>
  <si>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</si>
  <si>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</si>
  <si>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</si>
  <si>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</si>
  <si>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</si>
  <si>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</si>
  <si>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</si>
  <si>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</si>
  <si>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</si>
  <si>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</si>
  <si>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</si>
  <si>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</si>
  <si>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</si>
  <si>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</si>
  <si>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</si>
  <si>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</si>
  <si>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</si>
  <si>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</si>
  <si>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</si>
  <si>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</si>
  <si>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</si>
  <si>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</si>
  <si>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</si>
  <si>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</si>
  <si>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</si>
  <si>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</si>
  <si>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</si>
  <si>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</si>
  <si>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</si>
  <si>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</si>
  <si>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</si>
  <si>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</si>
  <si>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</si>
  <si>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</si>
  <si>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</si>
  <si>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</si>
  <si>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</si>
  <si>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</si>
  <si>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</si>
  <si>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</si>
  <si>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</si>
  <si>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</si>
  <si>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</si>
  <si>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</si>
  <si>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</si>
  <si>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</si>
  <si>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</si>
  <si>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</si>
  <si>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</si>
  <si>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</si>
  <si>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</si>
  <si>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</si>
  <si>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</si>
  <si>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</si>
  <si>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</si>
  <si>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</si>
  <si>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</si>
  <si>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</si>
  <si>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</si>
  <si>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</si>
  <si>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</si>
  <si>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</si>
  <si>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</si>
  <si>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</si>
  <si>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</si>
  <si>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</si>
  <si>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</si>
  <si>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</si>
  <si>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</si>
  <si>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</si>
  <si>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</si>
  <si>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</si>
  <si>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</si>
  <si>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</si>
  <si>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</si>
  <si>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</si>
  <si>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</si>
  <si>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</si>
  <si>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</si>
  <si>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</si>
  <si>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</si>
  <si>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</si>
  <si>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</si>
  <si>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</si>
  <si>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</si>
  <si>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</si>
  <si>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</si>
  <si>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</si>
  <si>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</si>
  <si>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</si>
  <si>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</si>
  <si>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</si>
  <si>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</si>
  <si>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</si>
  <si>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</si>
  <si>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</si>
  <si>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</si>
  <si>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</si>
  <si>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</si>
  <si>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</si>
  <si>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</si>
  <si>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</si>
  <si>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</si>
  <si>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</si>
  <si>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</si>
  <si>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</si>
  <si>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</si>
  <si>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</si>
  <si>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</si>
  <si>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</si>
  <si>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</si>
  <si>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</si>
  <si>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</si>
  <si>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</si>
  <si>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</si>
  <si>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</si>
  <si>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</si>
  <si>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</si>
  <si>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</si>
  <si>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</si>
  <si>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</si>
  <si>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</si>
  <si>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</si>
  <si>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</si>
  <si>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</si>
  <si>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</si>
  <si>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</si>
  <si>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</si>
  <si>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</si>
  <si>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</si>
  <si>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</si>
  <si>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</si>
  <si>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</si>
  <si>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</si>
  <si>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</si>
  <si>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</si>
  <si>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</si>
  <si>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</si>
  <si>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</si>
  <si>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</si>
  <si>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</si>
  <si>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</si>
  <si>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</si>
  <si>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</si>
  <si>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</si>
  <si>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</si>
  <si>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</si>
  <si>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</si>
  <si>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</si>
  <si>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</si>
  <si>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</si>
  <si>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</si>
  <si>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</si>
  <si>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</si>
  <si>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</si>
  <si>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</si>
  <si>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</si>
  <si>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</si>
  <si>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</si>
  <si>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</si>
  <si>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</si>
  <si>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</si>
  <si>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</si>
  <si>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</si>
  <si>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</si>
  <si>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</si>
  <si>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</si>
  <si>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</si>
  <si>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</si>
  <si>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</si>
  <si>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</si>
  <si>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</si>
  <si>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</si>
  <si>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</si>
  <si>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</si>
  <si>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</si>
  <si>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</si>
  <si>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</si>
  <si>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</si>
  <si>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</si>
  <si>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</si>
  <si>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</si>
  <si>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</si>
  <si>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</si>
  <si>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</si>
  <si>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</si>
  <si>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</si>
  <si>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</si>
  <si>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</si>
  <si>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</si>
  <si>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</si>
  <si>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</si>
  <si>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</si>
  <si>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</si>
  <si>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</si>
  <si>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</si>
  <si>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</si>
  <si>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</si>
  <si>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</si>
  <si>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</si>
  <si>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</si>
  <si>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</si>
  <si>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</si>
  <si>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</si>
  <si>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</si>
  <si>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</si>
  <si>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</si>
  <si>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</si>
  <si>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</si>
  <si>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</si>
  <si>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</si>
  <si>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</si>
  <si>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</si>
  <si>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</si>
  <si>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</si>
  <si>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</si>
  <si>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</si>
  <si>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</si>
  <si>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</si>
  <si>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</si>
  <si>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</si>
  <si>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</si>
  <si>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</si>
  <si>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</si>
  <si>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</si>
  <si>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</si>
  <si>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</si>
  <si>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</si>
  <si>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</si>
  <si>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</si>
  <si>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</si>
  <si>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</si>
  <si>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</si>
  <si>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</si>
  <si>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</si>
  <si>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</si>
  <si>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</si>
  <si>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</si>
  <si>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</si>
  <si>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</si>
  <si>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</si>
  <si>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</si>
  <si>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</si>
  <si>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</si>
  <si>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</si>
  <si>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</si>
  <si>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</si>
  <si>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</si>
  <si>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</si>
  <si>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</si>
  <si>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</si>
  <si>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</si>
  <si>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</si>
  <si>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</si>
  <si>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</si>
  <si>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</si>
  <si>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</si>
  <si>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</si>
  <si>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</si>
  <si>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</si>
  <si>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</si>
  <si>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</si>
  <si>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</si>
  <si>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</si>
  <si>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</si>
  <si>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</si>
  <si>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</si>
  <si>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</si>
  <si>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</si>
  <si>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</si>
  <si>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</si>
  <si>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</si>
  <si>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</si>
  <si>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</si>
  <si>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</si>
  <si>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</si>
  <si>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</si>
  <si>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</si>
  <si>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</si>
  <si>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</si>
  <si>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</si>
  <si>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</si>
  <si>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</si>
  <si>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</si>
  <si>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</si>
  <si>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</si>
  <si>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</si>
  <si>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</si>
  <si>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</si>
  <si>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</si>
  <si>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</si>
  <si>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</si>
  <si>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</si>
  <si>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</si>
  <si>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</si>
  <si>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</si>
  <si>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</si>
  <si>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</si>
  <si>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</si>
  <si>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</si>
  <si>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</si>
  <si>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</si>
  <si>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</si>
  <si>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</si>
  <si>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</si>
  <si>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</si>
  <si>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</si>
  <si>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</si>
  <si>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</si>
  <si>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</si>
  <si>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</si>
  <si>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</si>
  <si>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</si>
  <si>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</si>
  <si>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</si>
  <si>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</si>
  <si>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</si>
  <si>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</si>
  <si>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</si>
  <si>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</si>
  <si>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</si>
  <si>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</si>
  <si>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</si>
  <si>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</si>
  <si>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</si>
  <si>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</si>
  <si>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</si>
  <si>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</si>
  <si>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</si>
  <si>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</si>
  <si>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</si>
  <si>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</si>
  <si>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</si>
  <si>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</si>
  <si>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</si>
  <si>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</si>
  <si>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</si>
  <si>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</si>
  <si>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</si>
  <si>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</si>
  <si>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</si>
  <si>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</si>
  <si>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</si>
  <si>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</si>
  <si>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</si>
  <si>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</si>
  <si>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</si>
  <si>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</si>
  <si>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</si>
  <si>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</si>
  <si>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</si>
  <si>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</si>
  <si>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</si>
  <si>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</si>
  <si>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</si>
  <si>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</si>
  <si>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</si>
  <si>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</si>
  <si>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</si>
  <si>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</si>
  <si>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</si>
  <si>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</si>
  <si>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</si>
  <si>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</si>
  <si>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</si>
  <si>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</si>
  <si>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</si>
  <si>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</si>
  <si>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</si>
  <si>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</si>
  <si>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</si>
  <si>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</si>
  <si>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</si>
  <si>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</si>
  <si>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</si>
  <si>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</si>
  <si>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</si>
  <si>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</si>
  <si>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</si>
  <si>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</si>
  <si>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</si>
  <si>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</si>
  <si>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</si>
  <si>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</si>
  <si>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</si>
  <si>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</si>
  <si>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</si>
  <si>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</si>
  <si>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</si>
  <si>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</si>
  <si>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</si>
  <si>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</si>
  <si>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</si>
  <si>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</si>
  <si>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</si>
  <si>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</si>
  <si>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</si>
  <si>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</si>
  <si>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</si>
  <si>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</si>
  <si>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</si>
  <si>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</si>
  <si>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</si>
  <si>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</si>
  <si>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</si>
  <si>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</si>
  <si>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</si>
  <si>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</si>
  <si>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</si>
  <si>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</si>
  <si>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</si>
  <si>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</si>
  <si>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</si>
  <si>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</si>
  <si>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</si>
  <si>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</si>
  <si>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</si>
  <si>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</si>
  <si>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</si>
  <si>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</si>
  <si>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</si>
  <si>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</si>
  <si>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</si>
  <si>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</si>
  <si>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</si>
  <si>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</si>
  <si>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</si>
  <si>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</si>
  <si>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</si>
  <si>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</si>
  <si>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</si>
  <si>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</si>
  <si>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</si>
  <si>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</si>
  <si>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</si>
  <si>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</si>
  <si>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</si>
  <si>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</si>
  <si>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</si>
  <si>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</si>
  <si>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</si>
  <si>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</si>
  <si>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</si>
  <si>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</si>
  <si>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</si>
  <si>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</si>
  <si>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</si>
  <si>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</si>
  <si>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</si>
  <si>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</si>
  <si>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</si>
  <si>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</si>
  <si>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</si>
  <si>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</si>
  <si>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</si>
  <si>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</si>
  <si>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</si>
  <si>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</si>
  <si>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</si>
  <si>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</si>
  <si>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</si>
  <si>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</si>
  <si>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</si>
  <si>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</si>
  <si>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</si>
  <si>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</si>
  <si>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</si>
  <si>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</si>
  <si>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</si>
  <si>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</si>
  <si>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</si>
  <si>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</si>
  <si>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</si>
  <si>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</si>
  <si>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</si>
  <si>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</si>
  <si>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</si>
  <si>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</si>
  <si>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</si>
  <si>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</si>
  <si>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</si>
  <si>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</si>
  <si>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</si>
  <si>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</si>
  <si>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</si>
  <si>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</si>
  <si>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</si>
  <si>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</si>
  <si>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</si>
  <si>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</si>
  <si>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</si>
  <si>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</si>
  <si>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</si>
  <si>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</si>
  <si>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</si>
  <si>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</si>
  <si>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</si>
  <si>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</si>
  <si>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</si>
  <si>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</si>
  <si>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</si>
  <si>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</si>
  <si>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</si>
  <si>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</si>
  <si>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</si>
  <si>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</si>
  <si>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</si>
  <si>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</si>
  <si>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</si>
  <si>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</si>
  <si>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</si>
  <si>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</si>
  <si>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</si>
  <si>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</si>
  <si>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</si>
  <si>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</si>
  <si>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</si>
  <si>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</si>
  <si>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</si>
  <si>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</si>
  <si>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</si>
  <si>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</si>
  <si>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</si>
  <si>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</si>
  <si>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</si>
  <si>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</si>
  <si>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</si>
  <si>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</si>
  <si>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</si>
  <si>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</si>
  <si>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</si>
  <si>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</si>
  <si>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</si>
  <si>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</si>
  <si>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</si>
  <si>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</si>
  <si>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</si>
  <si>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</si>
  <si>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</si>
  <si>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</si>
  <si>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</si>
  <si>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</si>
  <si>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</si>
  <si>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</si>
  <si>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</si>
  <si>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</si>
  <si>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</si>
  <si>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</si>
  <si>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</si>
  <si>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</si>
  <si>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</si>
  <si>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</si>
  <si>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</si>
  <si>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</si>
  <si>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</si>
  <si>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</si>
  <si>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</si>
  <si>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</si>
  <si>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</si>
  <si>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</si>
  <si>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</si>
  <si>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</si>
  <si>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</si>
  <si>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</si>
  <si>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</si>
  <si>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</si>
  <si>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</si>
  <si>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</si>
  <si>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</si>
  <si>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</si>
  <si>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</si>
  <si>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</si>
  <si>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</si>
  <si>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</si>
  <si>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</si>
  <si>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</si>
  <si>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</si>
  <si>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</si>
  <si>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</si>
  <si>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</si>
  <si>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</si>
  <si>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</si>
  <si>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</si>
  <si>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</si>
  <si>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</si>
  <si>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</si>
  <si>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</si>
  <si>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</si>
  <si>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</si>
  <si>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</si>
  <si>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</si>
  <si>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</si>
  <si>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</si>
  <si>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</si>
  <si>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</si>
  <si>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</si>
  <si>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</si>
  <si>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</si>
  <si>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</si>
  <si>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</si>
  <si>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</si>
  <si>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</si>
  <si>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</si>
  <si>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</si>
  <si>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</si>
  <si>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</si>
  <si>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</si>
  <si>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</si>
  <si>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</si>
  <si>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</si>
  <si>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</si>
  <si>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</si>
  <si>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</si>
  <si>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</si>
  <si>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</si>
  <si>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</si>
  <si>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</si>
  <si>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</si>
  <si>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</si>
  <si>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</si>
  <si>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</si>
  <si>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</si>
  <si>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</si>
  <si>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</si>
  <si>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</si>
  <si>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</si>
  <si>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</si>
  <si>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</si>
  <si>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</si>
  <si>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</si>
  <si>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</si>
  <si>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</si>
  <si>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</si>
  <si>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</si>
  <si>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</si>
  <si>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</si>
  <si>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</si>
  <si>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</si>
  <si>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</si>
  <si>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</si>
  <si>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</si>
  <si>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</si>
  <si>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</si>
  <si>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</si>
  <si>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</si>
  <si>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</si>
  <si>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</si>
  <si>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</si>
  <si>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</si>
  <si>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</si>
  <si>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</si>
  <si>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</si>
  <si>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</si>
  <si>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</si>
  <si>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</si>
  <si>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</si>
  <si>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</si>
  <si>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</si>
  <si>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</si>
  <si>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</si>
  <si>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</si>
  <si>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</si>
  <si>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</si>
  <si>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</si>
  <si>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</si>
  <si>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</si>
  <si>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</si>
  <si>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</si>
  <si>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</si>
  <si>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</si>
  <si>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</si>
  <si>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</si>
  <si>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</si>
  <si>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</si>
  <si>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</si>
  <si>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</si>
  <si>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</si>
  <si>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</si>
  <si>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</si>
  <si>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</si>
  <si>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</si>
  <si>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</si>
  <si>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</si>
  <si>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</si>
  <si>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</si>
  <si>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</si>
  <si>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</si>
  <si>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</si>
  <si>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</si>
  <si>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</si>
  <si>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</si>
  <si>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</si>
  <si>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</si>
  <si>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</si>
  <si>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</si>
  <si>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</si>
  <si>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</si>
  <si>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</si>
  <si>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</si>
  <si>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</si>
  <si>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</si>
  <si>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</si>
  <si>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</si>
  <si>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</si>
  <si>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</si>
  <si>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</si>
  <si>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</si>
  <si>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</si>
  <si>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</si>
  <si>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</si>
  <si>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</si>
  <si>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</si>
  <si>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</si>
  <si>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</si>
  <si>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</si>
  <si>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</si>
  <si>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</si>
  <si>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</si>
  <si>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</si>
  <si>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</si>
  <si>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</si>
  <si>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</si>
  <si>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</si>
  <si>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</si>
  <si>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</si>
  <si>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</si>
  <si>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</si>
  <si>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</si>
  <si>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</si>
  <si>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</si>
  <si>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</si>
  <si>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</si>
  <si>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</si>
  <si>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</si>
  <si>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</si>
  <si>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</si>
  <si>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</si>
  <si>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</si>
  <si>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</si>
  <si>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</si>
  <si>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</si>
  <si>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</si>
  <si>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</si>
  <si>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</si>
  <si>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</si>
  <si>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</si>
  <si>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</si>
  <si>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</si>
  <si>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</si>
  <si>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</si>
  <si>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</si>
  <si>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</si>
  <si>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</si>
  <si>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</si>
  <si>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</si>
  <si>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</si>
  <si>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</si>
  <si>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</si>
  <si>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</si>
  <si>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</si>
  <si>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</si>
  <si>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</si>
  <si>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</si>
  <si>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</si>
  <si>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</si>
  <si>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</si>
  <si>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</si>
  <si>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</si>
  <si>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</si>
  <si>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</si>
  <si>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</si>
  <si>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</si>
  <si>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</si>
  <si>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</si>
  <si>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</si>
  <si>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</si>
  <si>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</si>
  <si>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</si>
  <si>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</si>
  <si>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</si>
  <si>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</si>
  <si>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</si>
  <si>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</si>
  <si>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</si>
  <si>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</si>
  <si>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</si>
  <si>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</si>
  <si>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</si>
  <si>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</si>
  <si>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</si>
  <si>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</si>
  <si>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</si>
  <si>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</si>
  <si>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</si>
  <si>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</si>
  <si>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</si>
  <si>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</si>
  <si>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</si>
  <si>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</si>
  <si>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</si>
  <si>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</si>
  <si>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</si>
  <si>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</si>
  <si>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</si>
  <si>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</si>
  <si>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</si>
  <si>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</si>
  <si>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</si>
  <si>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</si>
  <si>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</si>
  <si>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</si>
  <si>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</si>
  <si>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</si>
  <si>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</si>
  <si>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</si>
  <si>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</si>
  <si>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</si>
  <si>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</si>
  <si>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</si>
  <si>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</si>
  <si>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</si>
  <si>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</si>
  <si>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</si>
  <si>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</si>
  <si>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</si>
  <si>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</si>
  <si>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</si>
  <si>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</si>
  <si>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</si>
  <si>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</si>
  <si>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</si>
  <si>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</si>
  <si>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</si>
  <si>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</si>
  <si>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</si>
  <si>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</si>
  <si>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</si>
  <si>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</si>
  <si>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</si>
  <si>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</si>
  <si>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</si>
  <si>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</si>
  <si>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</si>
  <si>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</si>
  <si>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</si>
  <si>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</si>
  <si>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</si>
  <si>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</si>
  <si>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</si>
  <si>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</si>
  <si>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</si>
  <si>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</si>
  <si>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</si>
  <si>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</si>
  <si>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</si>
  <si>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</si>
  <si>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</si>
  <si>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</si>
  <si>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</si>
  <si>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</si>
  <si>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</si>
  <si>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</si>
  <si>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</si>
  <si>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</si>
  <si>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</si>
  <si>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</si>
  <si>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</si>
  <si>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</si>
  <si>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</si>
  <si>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</si>
  <si>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</si>
  <si>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</si>
  <si>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</si>
  <si>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</si>
  <si>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</si>
  <si>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</si>
  <si>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</si>
  <si>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</si>
  <si>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</si>
  <si>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</si>
  <si>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</si>
  <si>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</si>
  <si>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</si>
  <si>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</si>
  <si>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</si>
  <si>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</si>
  <si>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</si>
  <si>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</si>
  <si>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</si>
  <si>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</si>
  <si>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</si>
  <si>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</si>
  <si>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</si>
  <si>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</si>
  <si>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</si>
  <si>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</si>
  <si>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</si>
  <si>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</si>
  <si>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</si>
  <si>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</si>
  <si>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</si>
  <si>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</si>
  <si>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</si>
  <si>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</si>
  <si>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</si>
  <si>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</si>
  <si>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</si>
  <si>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</si>
  <si>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</si>
  <si>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</si>
  <si>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</si>
  <si>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</si>
  <si>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</si>
  <si>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</si>
  <si>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</si>
  <si>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</si>
  <si>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</si>
  <si>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</si>
  <si>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</si>
  <si>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</si>
  <si>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</si>
  <si>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</si>
  <si>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</si>
  <si>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</si>
  <si>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</si>
  <si>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</si>
  <si>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</si>
  <si>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</si>
  <si>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</si>
  <si>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</si>
  <si>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</si>
  <si>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</si>
  <si>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</si>
  <si>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</si>
  <si>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</si>
  <si>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</si>
  <si>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</si>
  <si>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</si>
  <si>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</si>
  <si>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</si>
  <si>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</si>
  <si>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</si>
  <si>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</si>
  <si>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</si>
  <si>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</si>
  <si>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</si>
  <si>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</si>
  <si>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</si>
  <si>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</si>
  <si>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</si>
  <si>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</si>
  <si>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</si>
  <si>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</si>
  <si>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</si>
  <si>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</si>
  <si>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</si>
  <si>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</si>
  <si>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</si>
  <si>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</si>
  <si>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</si>
  <si>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</si>
  <si>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</si>
  <si>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</si>
  <si>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</si>
  <si>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</si>
  <si>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</si>
  <si>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</si>
  <si>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</si>
  <si>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</si>
  <si>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</si>
  <si>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</si>
  <si>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</si>
  <si>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</si>
  <si>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</si>
  <si>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</si>
  <si>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</si>
  <si>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</si>
  <si>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</si>
  <si>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</si>
  <si>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</si>
  <si>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</si>
  <si>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</si>
  <si>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</si>
  <si>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</si>
  <si>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</si>
  <si>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</si>
  <si>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</si>
  <si>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</si>
  <si>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</si>
  <si>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</si>
  <si>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</si>
  <si>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</si>
  <si>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</si>
  <si>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</si>
  <si>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</si>
  <si>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</si>
  <si>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</si>
  <si>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</si>
  <si>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</si>
  <si>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</si>
  <si>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</si>
  <si>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</si>
  <si>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</si>
  <si>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</si>
  <si>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</si>
  <si>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</si>
  <si>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</si>
  <si>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</si>
  <si>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</si>
  <si>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</si>
  <si>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</si>
  <si>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</si>
  <si>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</si>
  <si>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</si>
  <si>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</si>
  <si>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</si>
  <si>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</si>
  <si>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</si>
  <si>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</si>
  <si>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</si>
  <si>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</si>
  <si>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</si>
  <si>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</si>
  <si>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</si>
  <si>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</si>
  <si>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</si>
  <si>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</si>
  <si>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</si>
  <si>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</si>
  <si>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</si>
  <si>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</si>
  <si>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</si>
  <si>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</si>
  <si>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</si>
  <si>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</si>
  <si>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</si>
  <si>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</si>
  <si>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</si>
  <si>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</si>
  <si>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</si>
  <si>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</si>
  <si>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</si>
  <si>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</si>
  <si>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</si>
  <si>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</si>
  <si>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</si>
  <si>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</si>
  <si>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</si>
  <si>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</si>
  <si>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</si>
  <si>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</si>
  <si>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</si>
  <si>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</si>
  <si>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</si>
  <si>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</si>
  <si>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</si>
  <si>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</si>
  <si>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</si>
  <si>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</si>
  <si>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</si>
  <si>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</si>
  <si>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</si>
  <si>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</si>
  <si>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</si>
  <si>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</si>
  <si>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</si>
  <si>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</si>
  <si>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</si>
  <si>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</si>
  <si>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</si>
  <si>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</si>
  <si>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</si>
  <si>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</si>
  <si>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</si>
  <si>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</si>
  <si>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</si>
  <si>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</si>
  <si>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</si>
  <si>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</si>
  <si>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</si>
  <si>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</si>
  <si>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</si>
  <si>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</si>
  <si>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</si>
  <si>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</si>
  <si>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</si>
  <si>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</si>
  <si>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</si>
  <si>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</si>
  <si>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</si>
  <si>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</si>
  <si>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</si>
  <si>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</si>
  <si>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</si>
  <si>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</si>
  <si>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</si>
  <si>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</si>
  <si>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</si>
  <si>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</si>
  <si>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</si>
  <si>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</si>
  <si>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</si>
  <si>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</si>
  <si>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</si>
  <si>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</si>
  <si>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</si>
  <si>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</si>
  <si>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</si>
  <si>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</si>
  <si>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</si>
  <si>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</si>
  <si>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</si>
  <si>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</si>
  <si>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</si>
  <si>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</si>
  <si>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</si>
  <si>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</si>
  <si>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</si>
  <si>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</si>
  <si>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</si>
  <si>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</si>
  <si>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</si>
  <si>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</si>
  <si>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</si>
  <si>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</si>
  <si>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</si>
  <si>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</si>
  <si>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</si>
  <si>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</si>
  <si>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</si>
  <si>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</si>
  <si>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</si>
  <si>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</si>
  <si>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</si>
  <si>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</si>
  <si>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</si>
  <si>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</si>
  <si>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</si>
  <si>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</si>
  <si>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</si>
  <si>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</si>
  <si>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</si>
  <si>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</si>
  <si>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</si>
  <si>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</si>
  <si>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</si>
  <si>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</si>
  <si>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</si>
  <si>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</si>
  <si>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</si>
  <si>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</si>
  <si>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</si>
  <si>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</si>
  <si>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</si>
  <si>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</si>
  <si>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</si>
  <si>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</si>
  <si>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</si>
  <si>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</si>
  <si>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</si>
  <si>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</si>
  <si>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</si>
  <si>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</si>
  <si>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</si>
  <si>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</si>
  <si>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</si>
  <si>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</si>
  <si>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</si>
  <si>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</si>
  <si>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</si>
  <si>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</si>
  <si>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</si>
  <si>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</si>
  <si>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</si>
  <si>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</si>
  <si>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</si>
  <si>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</si>
  <si>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</si>
  <si>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</si>
  <si>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</si>
  <si>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</si>
  <si>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</si>
  <si>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</si>
  <si>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</si>
  <si>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</si>
  <si>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</si>
  <si>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</si>
  <si>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</si>
  <si>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</si>
  <si>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</si>
  <si>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</si>
  <si>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</si>
  <si>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</si>
  <si>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</si>
  <si>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</si>
  <si>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</si>
  <si>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</si>
  <si>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</si>
  <si>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</si>
  <si>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</si>
  <si>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</si>
  <si>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</si>
  <si>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</si>
  <si>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</si>
  <si>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</si>
  <si>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</si>
  <si>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</si>
  <si>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</si>
  <si>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</si>
  <si>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</si>
  <si>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</si>
  <si>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</si>
  <si>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</si>
  <si>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</si>
  <si>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</si>
  <si>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</si>
  <si>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</si>
  <si>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</si>
  <si>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</si>
  <si>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</si>
  <si>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</si>
  <si>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</si>
  <si>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</si>
  <si>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</si>
  <si>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</si>
  <si>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</si>
  <si>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</si>
  <si>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</si>
  <si>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</si>
  <si>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</si>
  <si>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</si>
  <si>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</si>
  <si>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</si>
  <si>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</si>
  <si>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</si>
  <si>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</si>
  <si>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</si>
  <si>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</si>
  <si>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</si>
  <si>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</si>
  <si>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</si>
  <si>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</si>
  <si>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</si>
  <si>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</si>
  <si>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</si>
  <si>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</si>
  <si>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</si>
  <si>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</si>
  <si>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</si>
  <si>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</si>
  <si>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</si>
  <si>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</si>
  <si>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</si>
  <si>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</si>
  <si>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</si>
  <si>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</si>
  <si>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</si>
  <si>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</si>
  <si>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</si>
  <si>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</si>
  <si>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</si>
  <si>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</si>
  <si>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</si>
  <si>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</si>
  <si>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</si>
  <si>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</si>
  <si>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</si>
  <si>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</si>
  <si>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</si>
  <si>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</si>
  <si>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</si>
  <si>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</si>
  <si>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</si>
  <si>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</si>
  <si>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</si>
  <si>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</si>
  <si>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</si>
  <si>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</si>
  <si>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</si>
  <si>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</si>
  <si>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</si>
  <si>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</si>
  <si>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</si>
  <si>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</si>
  <si>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</si>
  <si>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</si>
  <si>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</si>
  <si>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</si>
  <si>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</si>
  <si>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</si>
  <si>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</si>
  <si>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</si>
  <si>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</si>
  <si>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</si>
  <si>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</si>
  <si>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</si>
  <si>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</si>
  <si>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</si>
  <si>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</si>
  <si>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</si>
  <si>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</si>
  <si>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</si>
  <si>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</si>
  <si>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</si>
  <si>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</si>
  <si>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</si>
  <si>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</si>
  <si>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</si>
  <si>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</si>
  <si>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</si>
  <si>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</si>
  <si>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</si>
  <si>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</si>
  <si>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</si>
  <si>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</si>
  <si>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</si>
  <si>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</si>
  <si>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</si>
  <si>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</si>
  <si>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</si>
  <si>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</si>
  <si>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</si>
  <si>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</si>
  <si>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</si>
  <si>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</si>
  <si>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</si>
  <si>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</si>
  <si>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</si>
  <si>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</si>
  <si>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</si>
  <si>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</si>
  <si>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</si>
  <si>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</si>
  <si>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</si>
  <si>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</si>
  <si>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</si>
  <si>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</si>
  <si>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</si>
  <si>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</si>
  <si>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</si>
  <si>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</si>
  <si>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</si>
  <si>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</si>
  <si>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</si>
  <si>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</si>
  <si>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</si>
  <si>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</si>
  <si>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</si>
  <si>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</si>
  <si>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</si>
  <si>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</si>
  <si>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</si>
  <si>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</si>
  <si>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</si>
  <si>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</si>
  <si>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</si>
  <si>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</si>
  <si>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</si>
  <si>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</si>
  <si>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</si>
  <si>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</si>
  <si>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</si>
  <si>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</si>
  <si>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</si>
  <si>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</si>
  <si>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</si>
  <si>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</si>
  <si>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</si>
  <si>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</si>
  <si>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</si>
  <si>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</si>
  <si>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</si>
  <si>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</si>
  <si>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</si>
  <si>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</si>
  <si>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</si>
  <si>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</si>
  <si>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</si>
  <si>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</si>
  <si>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</si>
  <si>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</si>
  <si>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</si>
  <si>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</si>
  <si>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</si>
  <si>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</si>
  <si>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</si>
  <si>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</si>
  <si>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</si>
  <si>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</si>
  <si>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</si>
  <si>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</si>
  <si>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</si>
  <si>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</si>
  <si>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</si>
  <si>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</si>
  <si>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</si>
  <si>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</si>
  <si>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</si>
  <si>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</si>
  <si>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</si>
  <si>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</si>
  <si>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</si>
  <si>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</si>
  <si>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</si>
  <si>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</si>
  <si>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</si>
  <si>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</si>
  <si>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</si>
  <si>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</si>
  <si>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</si>
  <si>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</si>
  <si>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</si>
  <si>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</si>
  <si>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</si>
  <si>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</si>
  <si>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</si>
  <si>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</si>
  <si>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</si>
  <si>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</si>
  <si>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</si>
  <si>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</si>
  <si>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</si>
  <si>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</si>
  <si>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</si>
  <si>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</si>
  <si>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</si>
  <si>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</si>
  <si>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</si>
  <si>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</si>
  <si>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</si>
  <si>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</si>
  <si>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</si>
  <si>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</si>
  <si>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</si>
  <si>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</si>
  <si>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</si>
  <si>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</si>
  <si>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</si>
  <si>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</si>
  <si>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</si>
  <si>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</si>
  <si>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</si>
  <si>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</si>
  <si>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</si>
  <si>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</si>
  <si>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</si>
  <si>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</si>
  <si>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</si>
  <si>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</si>
  <si>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</si>
  <si>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</si>
  <si>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</si>
  <si>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</si>
  <si>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</si>
  <si>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</si>
  <si>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</si>
  <si>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</si>
  <si>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</si>
  <si>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</si>
  <si>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</si>
  <si>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</si>
  <si>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</si>
  <si>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</si>
  <si>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</si>
  <si>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</si>
  <si>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</si>
  <si>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</si>
  <si>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</si>
  <si>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</si>
  <si>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</si>
  <si>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</si>
  <si>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</si>
  <si>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</si>
  <si>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</si>
  <si>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</si>
  <si>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</si>
  <si>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</si>
  <si>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</si>
  <si>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</si>
  <si>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</si>
  <si>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</si>
  <si>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</si>
  <si>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</si>
  <si>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</si>
  <si>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</si>
  <si>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</si>
  <si>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</si>
  <si>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</si>
  <si>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</si>
  <si>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</si>
  <si>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</si>
  <si>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</si>
  <si>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</si>
  <si>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</si>
  <si>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</si>
  <si>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</si>
  <si>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</si>
  <si>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</si>
  <si>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</si>
  <si>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</si>
  <si>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</si>
  <si>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</si>
  <si>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</si>
  <si>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</si>
  <si>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</si>
  <si>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</si>
  <si>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</si>
  <si>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</si>
  <si>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</si>
  <si>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</si>
  <si>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</si>
  <si>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</si>
  <si>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</si>
  <si>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</si>
  <si>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</si>
  <si>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</si>
  <si>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</si>
  <si>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</si>
  <si>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</si>
  <si>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</si>
  <si>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</si>
  <si>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</si>
  <si>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</si>
  <si>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</si>
  <si>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</si>
  <si>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</si>
  <si>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</si>
  <si>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</si>
  <si>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</si>
  <si>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</si>
  <si>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</si>
  <si>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</si>
  <si>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</si>
  <si>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</si>
  <si>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</si>
  <si>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</si>
  <si>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</si>
  <si>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</si>
  <si>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</si>
  <si>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</si>
  <si>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</si>
  <si>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</si>
  <si>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</si>
  <si>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</si>
  <si>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</si>
  <si>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</si>
  <si>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</si>
  <si>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</si>
  <si>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</si>
  <si>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</si>
  <si>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</si>
  <si>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</si>
  <si>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</si>
  <si>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</si>
  <si>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</si>
  <si>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</si>
  <si>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</si>
  <si>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</si>
  <si>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</si>
  <si>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</si>
  <si>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</si>
  <si>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</si>
  <si>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</si>
  <si>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</si>
  <si>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</si>
  <si>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</si>
  <si>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</si>
  <si>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</si>
  <si>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</si>
  <si>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</si>
  <si>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</si>
  <si>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</si>
  <si>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</si>
  <si>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</si>
  <si>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</si>
  <si>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</si>
  <si>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</si>
  <si>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</si>
  <si>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</si>
  <si>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</si>
  <si>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</si>
  <si>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</si>
  <si>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</si>
  <si>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</si>
  <si>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</si>
  <si>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</si>
  <si>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</si>
  <si>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</si>
  <si>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</si>
  <si>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</si>
  <si>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</si>
  <si>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</si>
  <si>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</si>
  <si>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</si>
  <si>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</si>
  <si>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</si>
  <si>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</si>
  <si>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</si>
  <si>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</si>
  <si>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</si>
  <si>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</si>
  <si>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</si>
  <si>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</si>
  <si>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</si>
  <si>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</si>
  <si>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</si>
  <si>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</si>
  <si>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</si>
  <si>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</si>
  <si>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</si>
  <si>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</si>
  <si>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</si>
  <si>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</si>
  <si>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</si>
  <si>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</si>
  <si>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</si>
  <si>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</si>
  <si>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</si>
  <si>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</si>
  <si>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</si>
  <si>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</si>
  <si>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</si>
  <si>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</si>
  <si>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</si>
  <si>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</si>
  <si>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</si>
  <si>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</si>
  <si>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</si>
  <si>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</si>
  <si>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</si>
  <si>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</si>
  <si>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</si>
  <si>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</si>
  <si>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</si>
  <si>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</si>
  <si>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</si>
  <si>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</si>
  <si>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</si>
  <si>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</si>
  <si>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</si>
  <si>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</si>
  <si>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</si>
  <si>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</si>
  <si>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</si>
  <si>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</si>
  <si>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</si>
  <si>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</si>
  <si>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</si>
  <si>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</si>
  <si>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</si>
  <si>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</si>
  <si>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</si>
  <si>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</si>
  <si>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</si>
  <si>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</si>
  <si>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</si>
  <si>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</si>
  <si>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</si>
  <si>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</si>
  <si>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</si>
  <si>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</si>
  <si>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</si>
  <si>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</si>
  <si>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</si>
  <si>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核定资产</t>
  </si>
  <si>
    <t>房地产市场价值</t>
  </si>
  <si>
    <t>北京市</t>
  </si>
  <si>
    <t>企业</t>
  </si>
  <si>
    <t>北京杰伟科技发展有限公司</t>
    <phoneticPr fontId="6" type="noConversion"/>
  </si>
  <si>
    <t>工商银行</t>
    <phoneticPr fontId="6" type="noConversion"/>
  </si>
  <si>
    <t>出让</t>
  </si>
  <si>
    <t>办公项目</t>
  </si>
  <si>
    <t>无</t>
  </si>
  <si>
    <t>否</t>
  </si>
  <si>
    <t>现房</t>
  </si>
  <si>
    <t>通路</t>
  </si>
  <si>
    <t>通电</t>
  </si>
  <si>
    <t>通讯</t>
  </si>
  <si>
    <t>通上水</t>
  </si>
  <si>
    <t>通下水</t>
  </si>
  <si>
    <t>是</t>
  </si>
  <si>
    <t>地上</t>
  </si>
  <si>
    <t>地下</t>
  </si>
  <si>
    <t>仓储</t>
  </si>
  <si>
    <t>车库</t>
  </si>
  <si>
    <t>硅谷亮城</t>
    <phoneticPr fontId="3" type="noConversion"/>
  </si>
  <si>
    <t>金隅嘉华大厦</t>
    <phoneticPr fontId="3" type="noConversion"/>
  </si>
  <si>
    <t>辉煌国际</t>
    <phoneticPr fontId="3" type="noConversion"/>
  </si>
  <si>
    <t>正常</t>
  </si>
  <si>
    <t>办公</t>
    <phoneticPr fontId="32" type="noConversion"/>
  </si>
  <si>
    <t>办公</t>
    <phoneticPr fontId="32" type="noConversion"/>
  </si>
  <si>
    <t>40-50（含）</t>
  </si>
  <si>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</si>
  <si>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</si>
  <si>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</si>
  <si>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</si>
  <si>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</si>
  <si>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</si>
  <si>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</si>
  <si>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</si>
  <si>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</si>
  <si>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</si>
  <si>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</si>
  <si>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</si>
  <si>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</si>
  <si>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</si>
  <si>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</si>
  <si>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</si>
  <si>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</si>
  <si>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</si>
  <si>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</si>
  <si>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</si>
  <si>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</si>
  <si>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</si>
  <si>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</si>
  <si>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</si>
  <si>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</si>
  <si>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</si>
  <si>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</si>
  <si>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</si>
  <si>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</si>
  <si>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</si>
  <si>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</si>
  <si>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</si>
  <si>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</si>
  <si>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</si>
  <si>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</si>
  <si>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</si>
  <si>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</si>
  <si>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</si>
  <si>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0-2000</t>
    <phoneticPr fontId="3" type="noConversion"/>
  </si>
  <si>
    <t>2000-4000</t>
    <phoneticPr fontId="3" type="noConversion"/>
  </si>
  <si>
    <t>4000-6000</t>
    <phoneticPr fontId="3" type="noConversion"/>
  </si>
  <si>
    <t>6000-8000</t>
    <phoneticPr fontId="3" type="noConversion"/>
  </si>
  <si>
    <t>较好</t>
  </si>
  <si>
    <t>较好</t>
    <phoneticPr fontId="32" type="noConversion"/>
  </si>
  <si>
    <t>七通</t>
  </si>
  <si>
    <t>城市支路——东北旺路</t>
    <phoneticPr fontId="3" type="noConversion"/>
  </si>
  <si>
    <t>城市支路-信息路</t>
    <phoneticPr fontId="3" type="noConversion"/>
  </si>
  <si>
    <t>城市支路-上地三街</t>
    <phoneticPr fontId="3" type="noConversion"/>
  </si>
  <si>
    <t>城市支路-上地十街</t>
    <phoneticPr fontId="3" type="noConversion"/>
  </si>
  <si>
    <t>支路</t>
  </si>
  <si>
    <t>中区</t>
  </si>
  <si>
    <t>高区</t>
  </si>
  <si>
    <t>区域自然环境较好；人文环境一般；综合评价环境状况较好</t>
    <phoneticPr fontId="41" type="noConversion"/>
  </si>
  <si>
    <t>估价对象所在区域基础设施水平达七通</t>
    <phoneticPr fontId="25" type="noConversion"/>
  </si>
  <si>
    <t>估价对象所在区域公共配套设施较齐备</t>
    <phoneticPr fontId="41" type="noConversion"/>
  </si>
  <si>
    <t>估价对象周边道路通达、公共交通便捷、停车便捷，综合评价交通便捷度较好</t>
    <phoneticPr fontId="41" type="noConversion"/>
  </si>
  <si>
    <t>周边办公楼项目较多，入驻率高，办公集聚程度较好</t>
    <phoneticPr fontId="25" type="noConversion"/>
  </si>
  <si>
    <t>多面临街</t>
  </si>
  <si>
    <t>支路——东北旺路</t>
    <phoneticPr fontId="25" type="noConversion"/>
  </si>
  <si>
    <t>项目类型</t>
  </si>
  <si>
    <t>售价</t>
  </si>
  <si>
    <t>标准写字楼</t>
  </si>
  <si>
    <t>钢混</t>
  </si>
  <si>
    <t>精装修</t>
  </si>
  <si>
    <t>甲级</t>
  </si>
  <si>
    <t>专业</t>
  </si>
  <si>
    <t>六通</t>
  </si>
  <si>
    <t>标准层高</t>
  </si>
  <si>
    <t>普通装修</t>
  </si>
  <si>
    <t>租金</t>
  </si>
  <si>
    <t>办公</t>
    <phoneticPr fontId="7" type="noConversion"/>
  </si>
  <si>
    <t>仓储</t>
    <phoneticPr fontId="7" type="noConversion"/>
  </si>
  <si>
    <t>车库</t>
    <phoneticPr fontId="7" type="noConversion"/>
  </si>
  <si>
    <t>成新度</t>
  </si>
  <si>
    <t>科教用地</t>
  </si>
  <si>
    <t>五通一平</t>
  </si>
  <si>
    <t>缺少</t>
  </si>
  <si>
    <t>燃气</t>
  </si>
  <si>
    <t>通热</t>
  </si>
  <si>
    <t>按公示增长率计算</t>
  </si>
  <si>
    <t>容积率修正</t>
  </si>
  <si>
    <t>一般</t>
  </si>
  <si>
    <t>较差</t>
  </si>
  <si>
    <t>好</t>
  </si>
  <si>
    <t>全部缴纳</t>
  </si>
  <si>
    <t>押一</t>
  </si>
  <si>
    <t>收益法办公</t>
  </si>
  <si>
    <t>收益法办公</t>
    <phoneticPr fontId="16" type="noConversion"/>
  </si>
  <si>
    <t>收益法仓储</t>
  </si>
  <si>
    <t>收益法仓储</t>
    <phoneticPr fontId="16" type="noConversion"/>
  </si>
  <si>
    <t>收益法车库</t>
  </si>
  <si>
    <t>收益法车库</t>
    <phoneticPr fontId="16" type="noConversion"/>
  </si>
  <si>
    <t>成本法仓储</t>
  </si>
  <si>
    <t>成本法仓储</t>
    <phoneticPr fontId="16" type="noConversion"/>
  </si>
  <si>
    <t>成本法车库</t>
  </si>
  <si>
    <t>成本法车库</t>
    <phoneticPr fontId="16" type="noConversion"/>
  </si>
  <si>
    <t>非生产用房</t>
  </si>
  <si>
    <t>项目局部</t>
  </si>
  <si>
    <t>比较法-办公</t>
  </si>
  <si>
    <t>按房产原值计税</t>
  </si>
  <si>
    <t>毛坯</t>
  </si>
  <si>
    <t>南</t>
  </si>
  <si>
    <t>东</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</si>
</sst>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0"/>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0" borderId="1" xfId="0" applyFont="1" applyBorder="1" applyAlignment="1" applyProtection="1">
      <alignment horizontal="right"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254" fillId="2" borderId="35" xfId="0" applyNumberFormat="1" applyFont="1" applyFill="1" applyBorder="1" applyAlignment="1" applyProtection="1">
      <alignment horizontal="center" vertical="center" wrapText="1"/>
      <protection locked="0"/>
    </xf>
    <xf numFmtId="0" fontId="254" fillId="0" borderId="54" xfId="0" applyNumberFormat="1" applyFont="1" applyFill="1" applyBorder="1" applyAlignment="1" applyProtection="1">
      <alignment horizontal="center" vertical="center" wrapText="1"/>
      <protection locked="0"/>
    </xf>
    <xf numFmtId="0" fontId="254" fillId="0" borderId="3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54" fillId="2" borderId="23"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73" fillId="17" borderId="51" xfId="0" applyNumberFormat="1" applyFont="1" applyFill="1" applyBorder="1" applyAlignment="1" applyProtection="1">
      <alignment vertical="center" wrapText="1"/>
      <protection locked="0"/>
    </xf>
    <xf numFmtId="177" fontId="54" fillId="6"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19</xdr:row>
      <xdr:rowOff>43883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95950" cy="3301433"/>
        </a:xfrm>
        <a:prstGeom prst="rect">
          <a:avLst/>
        </a:prstGeom>
      </xdr:spPr>
    </xdr:pic>
    <xdr:clientData/>
  </xdr:twoCellAnchor>
  <xdr:twoCellAnchor editAs="oneCell">
    <xdr:from>
      <xdr:col>0</xdr:col>
      <xdr:colOff>0</xdr:colOff>
      <xdr:row>20</xdr:row>
      <xdr:rowOff>0</xdr:rowOff>
    </xdr:from>
    <xdr:to>
      <xdr:col>8</xdr:col>
      <xdr:colOff>228600</xdr:colOff>
      <xdr:row>35</xdr:row>
      <xdr:rowOff>164918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715000" cy="2736668"/>
        </a:xfrm>
        <a:prstGeom prst="rect">
          <a:avLst/>
        </a:prstGeom>
      </xdr:spPr>
    </xdr:pic>
    <xdr:clientData/>
  </xdr:twoCellAnchor>
  <xdr:twoCellAnchor editAs="oneCell">
    <xdr:from>
      <xdr:col>0</xdr:col>
      <xdr:colOff>0</xdr:colOff>
      <xdr:row>36</xdr:row>
      <xdr:rowOff>0</xdr:rowOff>
    </xdr:from>
    <xdr:to>
      <xdr:col>8</xdr:col>
      <xdr:colOff>171450</xdr:colOff>
      <xdr:row>54</xdr:row>
      <xdr:rowOff>146043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5657850" cy="3232143"/>
        </a:xfrm>
        <a:prstGeom prst="rect">
          <a:avLst/>
        </a:prstGeom>
      </xdr:spPr>
    </xdr:pic>
    <xdr:clientData/>
  </xdr:twoCellAnchor>
  <xdr:twoCellAnchor editAs="oneCell">
    <xdr:from>
      <xdr:col>0</xdr:col>
      <xdr:colOff>0</xdr:colOff>
      <xdr:row>55</xdr:row>
      <xdr:rowOff>0</xdr:rowOff>
    </xdr:from>
    <xdr:to>
      <xdr:col>8</xdr:col>
      <xdr:colOff>209550</xdr:colOff>
      <xdr:row>80</xdr:row>
      <xdr:rowOff>137789</xdr:rowOff>
    </xdr:to>
    <xdr:pic>
      <xdr:nvPicPr>
        <xdr:cNvPr id="8" name="图片 7"/>
        <xdr:cNvPicPr>
          <a:picLocks noChangeAspect="1"/>
        </xdr:cNvPicPr>
      </xdr:nvPicPr>
      <xdr:blipFill>
        <a:blip xmlns:r="http://schemas.openxmlformats.org/officeDocument/2006/relationships" r:embed="rId4"/>
        <a:stretch>
          <a:fillRect/>
        </a:stretch>
      </xdr:blipFill>
      <xdr:spPr>
        <a:xfrm>
          <a:off x="0" y="9429750"/>
          <a:ext cx="5695950" cy="4424039"/>
        </a:xfrm>
        <a:prstGeom prst="rect">
          <a:avLst/>
        </a:prstGeom>
      </xdr:spPr>
    </xdr:pic>
    <xdr:clientData/>
  </xdr:twoCellAnchor>
  <xdr:twoCellAnchor editAs="oneCell">
    <xdr:from>
      <xdr:col>8</xdr:col>
      <xdr:colOff>638174</xdr:colOff>
      <xdr:row>54</xdr:row>
      <xdr:rowOff>161925</xdr:rowOff>
    </xdr:from>
    <xdr:to>
      <xdr:col>16</xdr:col>
      <xdr:colOff>455945</xdr:colOff>
      <xdr:row>79</xdr:row>
      <xdr:rowOff>7292</xdr:rowOff>
    </xdr:to>
    <xdr:pic>
      <xdr:nvPicPr>
        <xdr:cNvPr id="9" name="图片 8"/>
        <xdr:cNvPicPr>
          <a:picLocks noChangeAspect="1"/>
        </xdr:cNvPicPr>
      </xdr:nvPicPr>
      <xdr:blipFill>
        <a:blip xmlns:r="http://schemas.openxmlformats.org/officeDocument/2006/relationships" r:embed="rId5"/>
        <a:stretch>
          <a:fillRect/>
        </a:stretch>
      </xdr:blipFill>
      <xdr:spPr>
        <a:xfrm>
          <a:off x="6124574" y="9420225"/>
          <a:ext cx="5304171" cy="4131617"/>
        </a:xfrm>
        <a:prstGeom prst="rect">
          <a:avLst/>
        </a:prstGeom>
      </xdr:spPr>
    </xdr:pic>
    <xdr:clientData/>
  </xdr:twoCellAnchor>
  <xdr:twoCellAnchor editAs="oneCell">
    <xdr:from>
      <xdr:col>0</xdr:col>
      <xdr:colOff>0</xdr:colOff>
      <xdr:row>81</xdr:row>
      <xdr:rowOff>0</xdr:rowOff>
    </xdr:from>
    <xdr:to>
      <xdr:col>7</xdr:col>
      <xdr:colOff>427972</xdr:colOff>
      <xdr:row>91</xdr:row>
      <xdr:rowOff>142643</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3887450"/>
          <a:ext cx="5228572" cy="1857143"/>
        </a:xfrm>
        <a:prstGeom prst="rect">
          <a:avLst/>
        </a:prstGeom>
      </xdr:spPr>
    </xdr:pic>
    <xdr:clientData/>
  </xdr:twoCellAnchor>
  <xdr:twoCellAnchor editAs="oneCell">
    <xdr:from>
      <xdr:col>0</xdr:col>
      <xdr:colOff>0</xdr:colOff>
      <xdr:row>92</xdr:row>
      <xdr:rowOff>0</xdr:rowOff>
    </xdr:from>
    <xdr:to>
      <xdr:col>7</xdr:col>
      <xdr:colOff>380353</xdr:colOff>
      <xdr:row>108</xdr:row>
      <xdr:rowOff>94895</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5773400"/>
          <a:ext cx="5180953" cy="2838095"/>
        </a:xfrm>
        <a:prstGeom prst="rect">
          <a:avLst/>
        </a:prstGeom>
      </xdr:spPr>
    </xdr:pic>
    <xdr:clientData/>
  </xdr:twoCellAnchor>
  <xdr:twoCellAnchor editAs="oneCell">
    <xdr:from>
      <xdr:col>0</xdr:col>
      <xdr:colOff>0</xdr:colOff>
      <xdr:row>109</xdr:row>
      <xdr:rowOff>0</xdr:rowOff>
    </xdr:from>
    <xdr:to>
      <xdr:col>7</xdr:col>
      <xdr:colOff>418448</xdr:colOff>
      <xdr:row>119</xdr:row>
      <xdr:rowOff>123595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8688050"/>
          <a:ext cx="5219048" cy="1838095"/>
        </a:xfrm>
        <a:prstGeom prst="rect">
          <a:avLst/>
        </a:prstGeom>
      </xdr:spPr>
    </xdr:pic>
    <xdr:clientData/>
  </xdr:twoCellAnchor>
  <xdr:twoCellAnchor editAs="oneCell">
    <xdr:from>
      <xdr:col>0</xdr:col>
      <xdr:colOff>0</xdr:colOff>
      <xdr:row>120</xdr:row>
      <xdr:rowOff>0</xdr:rowOff>
    </xdr:from>
    <xdr:to>
      <xdr:col>7</xdr:col>
      <xdr:colOff>342257</xdr:colOff>
      <xdr:row>133</xdr:row>
      <xdr:rowOff>28293</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20574000"/>
          <a:ext cx="5142857" cy="2257143"/>
        </a:xfrm>
        <a:prstGeom prst="rect">
          <a:avLst/>
        </a:prstGeom>
      </xdr:spPr>
    </xdr:pic>
    <xdr:clientData/>
  </xdr:twoCellAnchor>
  <xdr:twoCellAnchor editAs="oneCell">
    <xdr:from>
      <xdr:col>9</xdr:col>
      <xdr:colOff>0</xdr:colOff>
      <xdr:row>81</xdr:row>
      <xdr:rowOff>0</xdr:rowOff>
    </xdr:from>
    <xdr:to>
      <xdr:col>16</xdr:col>
      <xdr:colOff>418448</xdr:colOff>
      <xdr:row>91</xdr:row>
      <xdr:rowOff>104548</xdr:rowOff>
    </xdr:to>
    <xdr:pic>
      <xdr:nvPicPr>
        <xdr:cNvPr id="14" name="图片 13"/>
        <xdr:cNvPicPr>
          <a:picLocks noChangeAspect="1"/>
        </xdr:cNvPicPr>
      </xdr:nvPicPr>
      <xdr:blipFill>
        <a:blip xmlns:r="http://schemas.openxmlformats.org/officeDocument/2006/relationships" r:embed="rId10"/>
        <a:stretch>
          <a:fillRect/>
        </a:stretch>
      </xdr:blipFill>
      <xdr:spPr>
        <a:xfrm>
          <a:off x="6172200" y="13887450"/>
          <a:ext cx="5219048" cy="1819048"/>
        </a:xfrm>
        <a:prstGeom prst="rect">
          <a:avLst/>
        </a:prstGeom>
      </xdr:spPr>
    </xdr:pic>
    <xdr:clientData/>
  </xdr:twoCellAnchor>
  <xdr:twoCellAnchor editAs="oneCell">
    <xdr:from>
      <xdr:col>9</xdr:col>
      <xdr:colOff>0</xdr:colOff>
      <xdr:row>92</xdr:row>
      <xdr:rowOff>0</xdr:rowOff>
    </xdr:from>
    <xdr:to>
      <xdr:col>16</xdr:col>
      <xdr:colOff>380353</xdr:colOff>
      <xdr:row>111</xdr:row>
      <xdr:rowOff>123403</xdr:rowOff>
    </xdr:to>
    <xdr:pic>
      <xdr:nvPicPr>
        <xdr:cNvPr id="15" name="图片 14"/>
        <xdr:cNvPicPr>
          <a:picLocks noChangeAspect="1"/>
        </xdr:cNvPicPr>
      </xdr:nvPicPr>
      <xdr:blipFill>
        <a:blip xmlns:r="http://schemas.openxmlformats.org/officeDocument/2006/relationships" r:embed="rId11"/>
        <a:stretch>
          <a:fillRect/>
        </a:stretch>
      </xdr:blipFill>
      <xdr:spPr>
        <a:xfrm>
          <a:off x="6172200" y="15773400"/>
          <a:ext cx="5180953" cy="3380953"/>
        </a:xfrm>
        <a:prstGeom prst="rect">
          <a:avLst/>
        </a:prstGeom>
      </xdr:spPr>
    </xdr:pic>
    <xdr:clientData/>
  </xdr:twoCellAnchor>
  <xdr:twoCellAnchor editAs="oneCell">
    <xdr:from>
      <xdr:col>9</xdr:col>
      <xdr:colOff>0</xdr:colOff>
      <xdr:row>112</xdr:row>
      <xdr:rowOff>0</xdr:rowOff>
    </xdr:from>
    <xdr:to>
      <xdr:col>16</xdr:col>
      <xdr:colOff>418448</xdr:colOff>
      <xdr:row>128</xdr:row>
      <xdr:rowOff>142514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6172200" y="19202400"/>
          <a:ext cx="5219048" cy="2885714"/>
        </a:xfrm>
        <a:prstGeom prst="rect">
          <a:avLst/>
        </a:prstGeom>
      </xdr:spPr>
    </xdr:pic>
    <xdr:clientData/>
  </xdr:twoCellAnchor>
  <xdr:twoCellAnchor editAs="oneCell">
    <xdr:from>
      <xdr:col>8</xdr:col>
      <xdr:colOff>666749</xdr:colOff>
      <xdr:row>19</xdr:row>
      <xdr:rowOff>143002</xdr:rowOff>
    </xdr:from>
    <xdr:to>
      <xdr:col>17</xdr:col>
      <xdr:colOff>132108</xdr:colOff>
      <xdr:row>36</xdr:row>
      <xdr:rowOff>66049</xdr:rowOff>
    </xdr:to>
    <xdr:pic>
      <xdr:nvPicPr>
        <xdr:cNvPr id="17" name="图片 16"/>
        <xdr:cNvPicPr>
          <a:picLocks noChangeAspect="1"/>
        </xdr:cNvPicPr>
      </xdr:nvPicPr>
      <xdr:blipFill>
        <a:blip xmlns:r="http://schemas.openxmlformats.org/officeDocument/2006/relationships" r:embed="rId13"/>
        <a:stretch>
          <a:fillRect/>
        </a:stretch>
      </xdr:blipFill>
      <xdr:spPr>
        <a:xfrm>
          <a:off x="6153149" y="3400552"/>
          <a:ext cx="5637559" cy="2837697"/>
        </a:xfrm>
        <a:prstGeom prst="rect">
          <a:avLst/>
        </a:prstGeom>
      </xdr:spPr>
    </xdr:pic>
    <xdr:clientData/>
  </xdr:twoCellAnchor>
  <xdr:twoCellAnchor editAs="oneCell">
    <xdr:from>
      <xdr:col>8</xdr:col>
      <xdr:colOff>581025</xdr:colOff>
      <xdr:row>0</xdr:row>
      <xdr:rowOff>0</xdr:rowOff>
    </xdr:from>
    <xdr:to>
      <xdr:col>18</xdr:col>
      <xdr:colOff>341837</xdr:colOff>
      <xdr:row>18</xdr:row>
      <xdr:rowOff>93599</xdr:rowOff>
    </xdr:to>
    <xdr:pic>
      <xdr:nvPicPr>
        <xdr:cNvPr id="18" name="图片 17"/>
        <xdr:cNvPicPr>
          <a:picLocks noChangeAspect="1"/>
        </xdr:cNvPicPr>
      </xdr:nvPicPr>
      <xdr:blipFill>
        <a:blip xmlns:r="http://schemas.openxmlformats.org/officeDocument/2006/relationships" r:embed="rId14"/>
        <a:stretch>
          <a:fillRect/>
        </a:stretch>
      </xdr:blipFill>
      <xdr:spPr>
        <a:xfrm>
          <a:off x="6067425" y="0"/>
          <a:ext cx="6618812" cy="3179699"/>
        </a:xfrm>
        <a:prstGeom prst="rect">
          <a:avLst/>
        </a:prstGeom>
      </xdr:spPr>
    </xdr:pic>
    <xdr:clientData/>
  </xdr:twoCellAnchor>
  <xdr:twoCellAnchor editAs="oneCell">
    <xdr:from>
      <xdr:col>8</xdr:col>
      <xdr:colOff>638175</xdr:colOff>
      <xdr:row>36</xdr:row>
      <xdr:rowOff>28575</xdr:rowOff>
    </xdr:from>
    <xdr:to>
      <xdr:col>17</xdr:col>
      <xdr:colOff>675271</xdr:colOff>
      <xdr:row>54</xdr:row>
      <xdr:rowOff>113336</xdr:rowOff>
    </xdr:to>
    <xdr:pic>
      <xdr:nvPicPr>
        <xdr:cNvPr id="19" name="图片 18"/>
        <xdr:cNvPicPr>
          <a:picLocks noChangeAspect="1"/>
        </xdr:cNvPicPr>
      </xdr:nvPicPr>
      <xdr:blipFill>
        <a:blip xmlns:r="http://schemas.openxmlformats.org/officeDocument/2006/relationships" r:embed="rId15"/>
        <a:stretch>
          <a:fillRect/>
        </a:stretch>
      </xdr:blipFill>
      <xdr:spPr>
        <a:xfrm>
          <a:off x="6124575" y="6200775"/>
          <a:ext cx="6209296" cy="317086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0" sqref="A40:XFD40"/>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北京市房地产市场价值预评估</v>
      </c>
    </row>
    <row r="3" spans="1:2" s="1592" customFormat="1">
      <c r="A3" s="1590" t="s">
        <v>1221</v>
      </c>
      <c r="B3" s="1591" t="str">
        <f>'预评函-封皮'!B40</f>
        <v>北京杰伟科技发展有限公司</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受贵公司委托，我公司对北京市房地产市场价值进行了预评估。</v>
      </c>
    </row>
    <row r="7" spans="1:2" s="1592" customFormat="1">
      <c r="A7" s="1590" t="s">
        <v>1264</v>
      </c>
      <c r="B7" s="1591" t="str">
        <f>'预评函-1'!A7</f>
        <v>估价对象为北京市房地产，为所有。根据《国有土地使用证》[]，估价对象（分摊）出让国有建设用地使用权面积为13315.65平方米，建筑面积为41293.96平方米。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估价对象为北京市房地产,属开发建设的办公项目，该项目尚在开发建设中。根据《国有土地使用证》[]，估价对象（分摊）出让国有建设用地使用权面积为13315.65平方米，规划建筑面积为41293.96平方米。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为估价委托人了解估价对象房地产市场价值提供参考依据。</v>
      </c>
    </row>
    <row r="12" spans="1:2" s="1592" customFormat="1">
      <c r="A12" s="1590" t="s">
        <v>1226</v>
      </c>
      <c r="B12" s="1591" t="str">
        <f>'预评函-1'!A15</f>
        <v>2017年12月31日（评估专业人员实地查勘之日）</v>
      </c>
    </row>
    <row r="13" spans="1:2" s="1592" customFormat="1">
      <c r="A13" s="1590" t="s">
        <v>1227</v>
      </c>
      <c r="B13" s="1591" t="str">
        <f>'预评函-1'!A18</f>
        <v>本次估价的“房地产价值”是指在正常市场情况下，在价值时点2017年12月31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v>
      </c>
    </row>
    <row r="16" spans="1:2" s="1592" customFormat="1">
      <c r="A16" s="1590" t="s">
        <v>1230</v>
      </c>
      <c r="B16" s="1591" t="str">
        <f>'预评函-1'!A21</f>
        <v>——</v>
      </c>
    </row>
    <row r="17" spans="1:2" s="1592" customFormat="1">
      <c r="A17" s="1590" t="s">
        <v>1231</v>
      </c>
      <c r="B17" s="1591" t="str">
        <f>'预评函-1'!A22</f>
        <v>——</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1234</v>
      </c>
      <c r="B20" s="1591">
        <f ca="1">'预评函-2'!D5</f>
        <v>25728</v>
      </c>
    </row>
    <row r="21" spans="1:2" s="1592" customFormat="1">
      <c r="A21" s="1590" t="s">
        <v>1235</v>
      </c>
      <c r="B21" s="1591">
        <f ca="1">'预评函-2'!D7</f>
        <v>31200</v>
      </c>
    </row>
    <row r="22" spans="1:2" s="1592" customFormat="1">
      <c r="A22" s="1590" t="s">
        <v>1236</v>
      </c>
      <c r="B22" s="1591" t="str">
        <f ca="1">'预评函-2'!D6</f>
        <v>贰亿伍仟柒佰贰拾捌万元整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25728</v>
      </c>
    </row>
    <row r="31" spans="1:2" s="1592" customFormat="1">
      <c r="A31" s="1590" t="s">
        <v>1274</v>
      </c>
      <c r="B31" s="1591">
        <f ca="1">'预评函-2'!D15</f>
        <v>6230</v>
      </c>
    </row>
    <row r="32" spans="1:2" s="1592" customFormat="1">
      <c r="A32" s="1590" t="s">
        <v>1241</v>
      </c>
      <c r="B32" s="1591" t="str">
        <f ca="1">'预评函-2'!D14</f>
        <v>贰亿伍仟柒佰贰拾捌万元整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北京市房地产</v>
      </c>
    </row>
    <row r="42" spans="1:2" s="1592" customFormat="1">
      <c r="A42" s="1590" t="s">
        <v>1288</v>
      </c>
      <c r="B42" s="1591" t="str">
        <f>'预评函-3'!B2</f>
        <v>建筑面积</v>
      </c>
    </row>
    <row r="43" spans="1:2" s="1592" customFormat="1">
      <c r="A43" s="1590" t="s">
        <v>1289</v>
      </c>
      <c r="B43" s="1591">
        <f>'预评函-3'!B4</f>
        <v>41293.960000000006</v>
      </c>
    </row>
    <row r="44" spans="1:2" s="1592" customFormat="1">
      <c r="A44" s="1590" t="s">
        <v>1273</v>
      </c>
      <c r="B44" s="1591" t="str">
        <f>'预评函-3'!C2</f>
        <v>(分摊)土地面积</v>
      </c>
    </row>
    <row r="45" spans="1:2" s="1592" customFormat="1">
      <c r="A45" s="1590" t="s">
        <v>1245</v>
      </c>
      <c r="B45" s="1591">
        <f>'预评函-3'!C4</f>
        <v>13315.65</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
      </c>
    </row>
    <row r="58" spans="1:2" s="1589" customFormat="1" ht="15" thickTop="1">
      <c r="A58" s="1587" t="s">
        <v>1251</v>
      </c>
      <c r="B58" s="1588" t="str">
        <f>'预评函-4'!A12</f>
        <v>2.本次评估设定估价对象房地产权属无争议，未被查封或者以其他形式限制其房地产权利，未设定抵押权等他项权利，不涉及第三方权利义务。</v>
      </c>
    </row>
    <row r="59" spans="1:2" s="1592" customFormat="1">
      <c r="A59" s="1590" t="s">
        <v>1252</v>
      </c>
      <c r="B59" s="1591" t="str">
        <f>'预评函-4'!A13</f>
        <v>——</v>
      </c>
    </row>
    <row r="60" spans="1:2" s="1592" customFormat="1">
      <c r="A60" s="1590" t="s">
        <v>1253</v>
      </c>
      <c r="B60" s="1591" t="str">
        <f>'预评函-4'!A14</f>
        <v>——</v>
      </c>
    </row>
    <row r="61" spans="1:2" s="1592" customFormat="1">
      <c r="A61" s="1590" t="s">
        <v>1254</v>
      </c>
      <c r="B61" s="1591" t="str">
        <f>'预评函-4'!A15</f>
        <v>——</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v>
      </c>
    </row>
    <row r="65" spans="1:2" s="1592" customFormat="1">
      <c r="A65" s="1590" t="s">
        <v>1257</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6" t="s">
        <v>3170</v>
      </c>
      <c r="C2" s="2014" t="s">
        <v>760</v>
      </c>
      <c r="D2" s="2015" t="s">
        <v>1707</v>
      </c>
      <c r="E2" s="2015" t="s">
        <v>1708</v>
      </c>
      <c r="F2" s="2015" t="s">
        <v>1709</v>
      </c>
      <c r="G2" s="2015">
        <v>40</v>
      </c>
      <c r="H2" s="2015" t="s">
        <v>1709</v>
      </c>
      <c r="I2" s="2015" t="s">
        <v>1710</v>
      </c>
      <c r="J2" s="2015" t="s">
        <v>1711</v>
      </c>
      <c r="K2" s="2015" t="s">
        <v>1712</v>
      </c>
      <c r="L2" s="2015" t="s">
        <v>1712</v>
      </c>
      <c r="M2" s="2015" t="s">
        <v>1712</v>
      </c>
      <c r="N2" s="2015" t="s">
        <v>1712</v>
      </c>
      <c r="O2" s="2015" t="s">
        <v>1712</v>
      </c>
      <c r="P2" s="2015" t="s">
        <v>1712</v>
      </c>
      <c r="Q2" s="2015" t="s">
        <v>1712</v>
      </c>
      <c r="R2" s="2015" t="s">
        <v>1140</v>
      </c>
      <c r="S2" s="2015" t="s">
        <v>1712</v>
      </c>
      <c r="T2" s="2015" t="s">
        <v>1713</v>
      </c>
      <c r="U2" s="2015" t="s">
        <v>1712</v>
      </c>
      <c r="V2" s="2015" t="s">
        <v>1714</v>
      </c>
      <c r="W2" s="2015" t="s">
        <v>1712</v>
      </c>
    </row>
    <row r="3" spans="1:23">
      <c r="A3" s="2013" t="s">
        <v>1715</v>
      </c>
      <c r="B3" s="2016" t="s">
        <v>1145</v>
      </c>
      <c r="C3" s="2017" t="s">
        <v>761</v>
      </c>
      <c r="D3" s="2015" t="s">
        <v>1716</v>
      </c>
      <c r="E3" s="2015" t="s">
        <v>16</v>
      </c>
      <c r="F3" s="2015" t="s">
        <v>1717</v>
      </c>
      <c r="G3" s="2015">
        <v>50</v>
      </c>
      <c r="H3" s="2015" t="s">
        <v>1717</v>
      </c>
      <c r="I3" s="2015" t="s">
        <v>1718</v>
      </c>
      <c r="J3" s="2015" t="s">
        <v>1719</v>
      </c>
      <c r="K3" s="2015" t="s">
        <v>1720</v>
      </c>
      <c r="L3" s="2015" t="s">
        <v>1720</v>
      </c>
      <c r="M3" s="2015" t="s">
        <v>1720</v>
      </c>
      <c r="N3" s="2015" t="s">
        <v>1720</v>
      </c>
      <c r="O3" s="2015" t="s">
        <v>1720</v>
      </c>
      <c r="P3" s="2015" t="s">
        <v>1720</v>
      </c>
      <c r="Q3" s="2015" t="s">
        <v>1720</v>
      </c>
      <c r="R3" s="2015" t="s">
        <v>1139</v>
      </c>
      <c r="S3" s="2015" t="s">
        <v>1720</v>
      </c>
      <c r="T3" s="2015" t="s">
        <v>1721</v>
      </c>
      <c r="U3" s="2015" t="s">
        <v>1720</v>
      </c>
      <c r="V3" s="2015" t="s">
        <v>1722</v>
      </c>
      <c r="W3" s="2015" t="s">
        <v>1720</v>
      </c>
    </row>
    <row r="4" spans="1:23">
      <c r="A4" s="2013" t="s">
        <v>1723</v>
      </c>
      <c r="B4" s="2013" t="s">
        <v>1724</v>
      </c>
      <c r="C4" s="2014" t="s">
        <v>762</v>
      </c>
      <c r="D4" s="2015" t="s">
        <v>868</v>
      </c>
      <c r="E4" s="2015" t="s">
        <v>1725</v>
      </c>
      <c r="F4" s="2015" t="s">
        <v>1726</v>
      </c>
      <c r="G4" s="2015">
        <v>70</v>
      </c>
      <c r="H4" s="2015" t="s">
        <v>1726</v>
      </c>
      <c r="I4" s="2015" t="s">
        <v>1727</v>
      </c>
      <c r="K4" s="2015" t="s">
        <v>1728</v>
      </c>
      <c r="L4" s="2015" t="s">
        <v>1728</v>
      </c>
      <c r="M4" s="2015" t="s">
        <v>1728</v>
      </c>
      <c r="N4" s="2015" t="s">
        <v>1728</v>
      </c>
      <c r="O4" s="2015" t="s">
        <v>1728</v>
      </c>
      <c r="P4" s="2015" t="s">
        <v>1728</v>
      </c>
      <c r="Q4" s="2015" t="s">
        <v>1728</v>
      </c>
      <c r="R4" s="2015" t="s">
        <v>1141</v>
      </c>
      <c r="S4" s="2015" t="s">
        <v>1728</v>
      </c>
      <c r="T4" s="2015" t="s">
        <v>1729</v>
      </c>
      <c r="U4" s="2015" t="s">
        <v>1728</v>
      </c>
      <c r="W4" s="2015" t="s">
        <v>1728</v>
      </c>
    </row>
    <row r="5" spans="1:23">
      <c r="A5" s="2013" t="s">
        <v>1730</v>
      </c>
      <c r="B5" s="2016" t="s">
        <v>3164</v>
      </c>
      <c r="C5" s="2014" t="s">
        <v>763</v>
      </c>
      <c r="F5" s="2015" t="s">
        <v>1731</v>
      </c>
      <c r="H5" s="2015" t="s">
        <v>1732</v>
      </c>
      <c r="I5" s="2015" t="s">
        <v>1733</v>
      </c>
      <c r="K5" s="2015" t="s">
        <v>1734</v>
      </c>
      <c r="L5" s="2015" t="s">
        <v>1734</v>
      </c>
      <c r="M5" s="2015" t="s">
        <v>1734</v>
      </c>
      <c r="N5" s="2015" t="s">
        <v>1734</v>
      </c>
      <c r="O5" s="2015" t="s">
        <v>1734</v>
      </c>
      <c r="P5" s="2015" t="s">
        <v>1734</v>
      </c>
      <c r="Q5" s="2015" t="s">
        <v>1734</v>
      </c>
      <c r="R5" s="2015" t="s">
        <v>1142</v>
      </c>
      <c r="S5" s="2015" t="s">
        <v>1734</v>
      </c>
      <c r="T5" s="2015" t="s">
        <v>1735</v>
      </c>
      <c r="U5" s="2015" t="s">
        <v>1734</v>
      </c>
      <c r="W5" s="2015" t="s">
        <v>1734</v>
      </c>
    </row>
    <row r="6" spans="1:23">
      <c r="A6" s="2013" t="s">
        <v>1736</v>
      </c>
      <c r="B6" s="2016" t="s">
        <v>1146</v>
      </c>
      <c r="C6" s="2019" t="s">
        <v>30</v>
      </c>
      <c r="F6" s="2015" t="s">
        <v>1732</v>
      </c>
      <c r="H6" s="2015" t="s">
        <v>1737</v>
      </c>
      <c r="I6" s="2015" t="s">
        <v>1738</v>
      </c>
      <c r="K6" s="2015" t="s">
        <v>1739</v>
      </c>
      <c r="L6" s="2015" t="s">
        <v>1739</v>
      </c>
      <c r="M6" s="2015" t="s">
        <v>1739</v>
      </c>
      <c r="N6" s="2015" t="s">
        <v>1739</v>
      </c>
      <c r="O6" s="2015" t="s">
        <v>1739</v>
      </c>
      <c r="P6" s="2015" t="s">
        <v>1739</v>
      </c>
      <c r="Q6" s="2015" t="s">
        <v>1739</v>
      </c>
      <c r="R6" s="2015" t="s">
        <v>1143</v>
      </c>
      <c r="S6" s="2015" t="s">
        <v>1739</v>
      </c>
      <c r="T6" s="2015"/>
      <c r="U6" s="2015" t="s">
        <v>1739</v>
      </c>
      <c r="W6" s="2015" t="s">
        <v>1739</v>
      </c>
    </row>
    <row r="7" spans="1:23">
      <c r="A7" s="2013" t="s">
        <v>1740</v>
      </c>
      <c r="B7" s="2016" t="s">
        <v>1147</v>
      </c>
      <c r="C7" s="2014" t="s">
        <v>31</v>
      </c>
      <c r="F7" s="2015" t="s">
        <v>1741</v>
      </c>
      <c r="H7" s="2015" t="s">
        <v>1742</v>
      </c>
      <c r="I7" s="2015" t="s">
        <v>1743</v>
      </c>
    </row>
    <row r="8" spans="1:23">
      <c r="A8" s="2013" t="s">
        <v>1744</v>
      </c>
      <c r="B8" s="2013" t="s">
        <v>1745</v>
      </c>
      <c r="C8" s="2014" t="s">
        <v>764</v>
      </c>
      <c r="F8" s="2015" t="s">
        <v>1746</v>
      </c>
      <c r="H8" s="2015"/>
      <c r="I8" s="2015" t="s">
        <v>1747</v>
      </c>
    </row>
    <row r="9" spans="1:23">
      <c r="A9" s="2013" t="s">
        <v>1748</v>
      </c>
      <c r="B9" s="2013" t="s">
        <v>1749</v>
      </c>
      <c r="C9" s="2014" t="s">
        <v>765</v>
      </c>
      <c r="F9" s="2015" t="s">
        <v>1750</v>
      </c>
      <c r="H9" s="2015"/>
    </row>
    <row r="10" spans="1:23">
      <c r="A10" s="2013" t="s">
        <v>1751</v>
      </c>
      <c r="B10" s="2013" t="s">
        <v>1752</v>
      </c>
      <c r="C10" s="2014" t="s">
        <v>766</v>
      </c>
      <c r="F10" s="2015" t="s">
        <v>16</v>
      </c>
    </row>
    <row r="11" spans="1:23">
      <c r="A11" s="2013" t="s">
        <v>1753</v>
      </c>
      <c r="B11" s="2013" t="s">
        <v>1754</v>
      </c>
      <c r="C11" s="2014" t="s">
        <v>767</v>
      </c>
    </row>
    <row r="12" spans="1:23">
      <c r="A12" s="2013" t="s">
        <v>1755</v>
      </c>
      <c r="B12" s="2013" t="s">
        <v>1756</v>
      </c>
      <c r="C12" s="2014" t="s">
        <v>768</v>
      </c>
    </row>
    <row r="13" spans="1:23">
      <c r="A13" s="2013" t="s">
        <v>1757</v>
      </c>
      <c r="B13" s="2013" t="s">
        <v>1758</v>
      </c>
      <c r="C13" s="2014" t="s">
        <v>769</v>
      </c>
    </row>
    <row r="14" spans="1:23">
      <c r="A14" s="2013" t="s">
        <v>1759</v>
      </c>
      <c r="B14" s="2013" t="s">
        <v>1760</v>
      </c>
      <c r="C14" s="2015" t="s">
        <v>16</v>
      </c>
    </row>
    <row r="15" spans="1:23">
      <c r="A15" s="2013" t="s">
        <v>1761</v>
      </c>
      <c r="B15" s="2013" t="s">
        <v>1762</v>
      </c>
      <c r="C15" s="2014"/>
    </row>
    <row r="16" spans="1:23">
      <c r="A16" s="2013" t="s">
        <v>1763</v>
      </c>
      <c r="B16" s="2013" t="s">
        <v>756</v>
      </c>
      <c r="C16" s="2014"/>
    </row>
    <row r="17" spans="1:3">
      <c r="A17" s="2013" t="s">
        <v>1764</v>
      </c>
      <c r="B17" s="2013" t="s">
        <v>3166</v>
      </c>
      <c r="C17" s="2014"/>
    </row>
    <row r="18" spans="1:3">
      <c r="A18" s="2013" t="s">
        <v>1765</v>
      </c>
      <c r="B18" s="2013" t="s">
        <v>3168</v>
      </c>
      <c r="C18" s="2014"/>
    </row>
    <row r="19" spans="1:3">
      <c r="A19" s="2013" t="s">
        <v>1766</v>
      </c>
      <c r="B19" s="2013" t="s">
        <v>3172</v>
      </c>
      <c r="C19" s="2014"/>
    </row>
    <row r="20" spans="1:3">
      <c r="A20" s="2013" t="s">
        <v>1767</v>
      </c>
      <c r="B20" s="2013" t="s">
        <v>757</v>
      </c>
      <c r="C20" s="2014"/>
    </row>
    <row r="21" spans="1:3">
      <c r="A21" s="2013" t="s">
        <v>1768</v>
      </c>
      <c r="B21" s="2013" t="s">
        <v>757</v>
      </c>
      <c r="C21" s="2014"/>
    </row>
    <row r="22" spans="1:3">
      <c r="A22" s="2013" t="s">
        <v>1769</v>
      </c>
      <c r="B22" s="2013" t="s">
        <v>757</v>
      </c>
      <c r="C22" s="2014"/>
    </row>
    <row r="23" spans="1:3">
      <c r="A23" s="2013" t="s">
        <v>1770</v>
      </c>
      <c r="B23" s="2013" t="s">
        <v>757</v>
      </c>
      <c r="C23" s="2014"/>
    </row>
    <row r="24" spans="1:3">
      <c r="A24" s="2013" t="s">
        <v>1771</v>
      </c>
      <c r="B24" s="2013" t="s">
        <v>757</v>
      </c>
      <c r="C24" s="2014"/>
    </row>
    <row r="25" spans="1:3">
      <c r="A25" s="2013" t="s">
        <v>1772</v>
      </c>
      <c r="B25" s="2013" t="s">
        <v>757</v>
      </c>
      <c r="C25" s="2014"/>
    </row>
    <row r="26" spans="1:3">
      <c r="A26" s="2013" t="s">
        <v>1773</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伟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42"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1" t="s">
        <v>864</v>
      </c>
      <c r="C54" s="2018" t="s">
        <v>1281</v>
      </c>
    </row>
    <row r="55" spans="1:4">
      <c r="A55" s="3042"/>
      <c r="B55" s="2021" t="s">
        <v>865</v>
      </c>
      <c r="C55" s="2018" t="s">
        <v>1282</v>
      </c>
    </row>
    <row r="56" spans="1:4">
      <c r="A56" s="3042"/>
      <c r="B56" s="2021" t="s">
        <v>866</v>
      </c>
      <c r="C56" s="2018" t="s">
        <v>1286</v>
      </c>
    </row>
    <row r="57" spans="1:4">
      <c r="A57" s="3042"/>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1774</v>
      </c>
      <c r="B1" s="3043" t="str">
        <f>IF(B10="北京市","北京市",C10)&amp;F10&amp;IF(结果表仓储!G1="在建","出让国有建设用地使用权及在建建筑物",IF(结果表仓储!G1="土地","出让国有建设用地使用权",))&amp;B9&amp;"预评估"</f>
        <v>北京市房地产市场价值预评估</v>
      </c>
      <c r="C1" s="3044"/>
      <c r="D1" s="3044"/>
      <c r="E1" s="3044"/>
      <c r="F1" s="3044"/>
      <c r="G1" s="3044"/>
      <c r="H1" s="3044"/>
      <c r="I1" s="3045"/>
      <c r="J1" s="2025"/>
      <c r="K1" s="2026"/>
      <c r="L1" s="2027"/>
      <c r="M1" s="2027"/>
      <c r="N1" s="2028"/>
      <c r="O1" s="2029"/>
      <c r="P1" s="2028"/>
      <c r="Q1" s="2028"/>
      <c r="R1" s="2028"/>
      <c r="S1" s="2030" t="str">
        <f>IF(B10="北京市","北京市",C10)&amp;F10&amp;IF(结果表仓储!G1="在建","出让国有建设用地使用权及在建建筑物房地产抵押价值",IF(结果表仓储!G1="土地","出让国有建设用地使用权抵押价值",B9))</f>
        <v>北京市房地产市场价值</v>
      </c>
    </row>
    <row r="2" spans="1:19" ht="18" customHeight="1">
      <c r="A2" s="2025" t="s">
        <v>1775</v>
      </c>
      <c r="B2" s="1038"/>
      <c r="C2" s="2032"/>
      <c r="D2" s="2025"/>
      <c r="E2" s="2033"/>
      <c r="F2" s="2033"/>
      <c r="G2" s="2025"/>
      <c r="H2" s="2025"/>
      <c r="I2" s="2025"/>
      <c r="J2" s="2025"/>
      <c r="K2" s="2026"/>
      <c r="L2" s="2027"/>
      <c r="M2" s="2027"/>
      <c r="N2" s="2028"/>
      <c r="O2" s="2029"/>
      <c r="P2" s="2028"/>
      <c r="Q2" s="2028"/>
      <c r="R2" s="2028"/>
      <c r="S2" s="2030" t="str">
        <f>IF(B10="北京市","北京市",C10)&amp;F10&amp;IF(结果表仓储!G1="在建","出让国有建设用地使用权及在建建筑物房地产",IF(结果表仓储!G1="土地","出让国有建设用地使用权","房地产"))</f>
        <v>北京市房地产</v>
      </c>
    </row>
    <row r="3" spans="1:19" ht="18" customHeight="1">
      <c r="A3" s="2034" t="s">
        <v>1776</v>
      </c>
      <c r="B3" s="2035">
        <v>43100</v>
      </c>
      <c r="C3" s="2036" t="s">
        <v>1777</v>
      </c>
      <c r="D3" s="2035">
        <f>B3</f>
        <v>43100</v>
      </c>
      <c r="E3" s="2025"/>
      <c r="F3" s="2025"/>
      <c r="G3" s="2025"/>
      <c r="H3" s="2025"/>
      <c r="I3" s="2025"/>
      <c r="J3" s="2025"/>
      <c r="K3" s="2026"/>
      <c r="L3" s="2027"/>
      <c r="M3" s="2027"/>
      <c r="N3" s="2028"/>
      <c r="O3" s="2029"/>
      <c r="P3" s="2028"/>
      <c r="Q3" s="2028"/>
      <c r="R3" s="2028"/>
      <c r="S3" s="2030"/>
    </row>
    <row r="4" spans="1:19" ht="18" customHeight="1" thickBot="1">
      <c r="A4" s="2037" t="s">
        <v>1778</v>
      </c>
      <c r="B4" s="2038" t="s">
        <v>3047</v>
      </c>
      <c r="C4" s="1036">
        <f ca="1">SUMIF(注册房地产估价师,B4,估价师及机构信息!B3:B24)</f>
        <v>1120140022</v>
      </c>
      <c r="D4" s="2038" t="s">
        <v>3048</v>
      </c>
      <c r="E4" s="1037">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1779</v>
      </c>
      <c r="B5" s="2968" t="s">
        <v>3053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1780</v>
      </c>
      <c r="B6" s="2969" t="s">
        <v>3054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1781</v>
      </c>
      <c r="B7" s="2050" t="str">
        <f>B5</f>
        <v>北京杰伟科技发展有限公司</v>
      </c>
      <c r="C7" s="2047"/>
      <c r="D7" s="2048"/>
      <c r="E7" s="2033"/>
      <c r="F7" s="2041"/>
      <c r="G7" s="2041"/>
      <c r="H7" s="2041"/>
      <c r="I7" s="2041"/>
      <c r="J7" s="2041"/>
      <c r="K7" s="2051"/>
      <c r="L7" s="2027"/>
      <c r="M7" s="2027"/>
      <c r="N7" s="2028"/>
      <c r="O7" s="2029"/>
      <c r="P7" s="2028"/>
      <c r="Q7" s="2028"/>
      <c r="R7" s="2028"/>
    </row>
    <row r="8" spans="1:19" ht="18" customHeight="1">
      <c r="A8" s="2046" t="s">
        <v>1782</v>
      </c>
      <c r="B8" s="2052" t="s">
        <v>3049</v>
      </c>
      <c r="C8" s="2053"/>
      <c r="D8" s="3046" t="s">
        <v>1783</v>
      </c>
      <c r="E8" s="2054"/>
      <c r="F8" s="2055"/>
      <c r="G8" s="2025"/>
      <c r="H8" s="2025"/>
      <c r="I8" s="2025"/>
      <c r="J8" s="2041"/>
      <c r="K8" s="2042"/>
      <c r="L8" s="2027"/>
      <c r="M8" s="2027"/>
      <c r="N8" s="2028"/>
      <c r="O8" s="2029"/>
      <c r="P8" s="2028"/>
      <c r="Q8" s="2028"/>
      <c r="R8" s="2028"/>
    </row>
    <row r="9" spans="1:19" ht="18" customHeight="1" thickBot="1">
      <c r="A9" s="2039" t="s">
        <v>1784</v>
      </c>
      <c r="B9" s="2056" t="s">
        <v>3050</v>
      </c>
      <c r="C9" s="2057"/>
      <c r="D9" s="3047"/>
      <c r="E9" s="2056" t="s">
        <v>70</v>
      </c>
      <c r="F9" s="2058"/>
      <c r="G9" s="2059"/>
      <c r="H9" s="2059"/>
      <c r="I9" s="2059"/>
      <c r="J9" s="2041"/>
      <c r="K9" s="2051"/>
      <c r="L9" s="2027"/>
      <c r="M9" s="2027"/>
      <c r="N9" s="2028"/>
      <c r="O9" s="2029"/>
      <c r="P9" s="2028"/>
      <c r="Q9" s="2028"/>
      <c r="R9" s="2028"/>
    </row>
    <row r="10" spans="1:19" ht="18" customHeight="1" thickTop="1">
      <c r="A10" s="2060" t="s">
        <v>1785</v>
      </c>
      <c r="B10" s="2061" t="s">
        <v>3051</v>
      </c>
      <c r="C10" s="2062"/>
      <c r="D10" s="2045"/>
      <c r="E10" s="2063" t="s">
        <v>1786</v>
      </c>
      <c r="F10" s="2064"/>
      <c r="G10" s="2065"/>
      <c r="H10" s="2066"/>
      <c r="I10" s="2045"/>
      <c r="J10" s="2041"/>
      <c r="K10" s="2051"/>
      <c r="L10" s="2027"/>
      <c r="M10" s="2027"/>
      <c r="N10" s="2028"/>
      <c r="O10" s="2029"/>
      <c r="P10" s="2028"/>
      <c r="Q10" s="2028"/>
      <c r="R10" s="2028"/>
    </row>
    <row r="11" spans="1:19" ht="18" customHeight="1">
      <c r="A11" s="2067" t="s">
        <v>1787</v>
      </c>
      <c r="B11" s="2068" t="s">
        <v>3052</v>
      </c>
      <c r="C11" s="2069"/>
      <c r="D11" s="2070"/>
      <c r="E11" s="2041"/>
      <c r="F11" s="2041"/>
      <c r="G11" s="2041"/>
      <c r="H11" s="2041"/>
      <c r="I11" s="2041"/>
      <c r="J11" s="2041"/>
      <c r="K11" s="2051"/>
      <c r="L11" s="2027"/>
      <c r="M11" s="2027"/>
      <c r="N11" s="2028"/>
      <c r="O11" s="2029"/>
      <c r="P11" s="2028"/>
      <c r="Q11" s="2028"/>
      <c r="R11" s="2028"/>
    </row>
    <row r="12" spans="1:19" ht="18" customHeight="1">
      <c r="A12" s="2071" t="s">
        <v>1788</v>
      </c>
      <c r="B12" s="2068" t="s">
        <v>3055</v>
      </c>
      <c r="C12" s="2072" t="s">
        <v>1789</v>
      </c>
      <c r="D12" s="2073" t="s">
        <v>1790</v>
      </c>
      <c r="E12" s="2073" t="s">
        <v>1791</v>
      </c>
      <c r="F12" s="2073" t="s">
        <v>1792</v>
      </c>
      <c r="G12" s="2073" t="s">
        <v>1793</v>
      </c>
      <c r="H12" s="2073" t="s">
        <v>1794</v>
      </c>
      <c r="I12" s="2073" t="s">
        <v>1795</v>
      </c>
      <c r="J12" s="2041"/>
      <c r="K12" s="2051"/>
      <c r="L12" s="2027"/>
      <c r="M12" s="2027"/>
      <c r="N12" s="2028"/>
      <c r="O12" s="2029"/>
      <c r="P12" s="2028"/>
      <c r="Q12" s="2028"/>
      <c r="R12" s="2028"/>
    </row>
    <row r="13" spans="1:19" ht="18" customHeight="1">
      <c r="A13" s="2074"/>
      <c r="B13" s="2075"/>
      <c r="C13" s="2076" t="s">
        <v>1796</v>
      </c>
      <c r="D13" s="2077"/>
      <c r="E13" s="2077"/>
      <c r="F13" s="2077">
        <v>58987</v>
      </c>
      <c r="G13" s="2077">
        <v>58987</v>
      </c>
      <c r="H13" s="2077">
        <v>58987</v>
      </c>
      <c r="I13" s="1046"/>
      <c r="J13" s="2041"/>
      <c r="K13" s="2051"/>
      <c r="L13" s="2027"/>
      <c r="M13" s="2027"/>
      <c r="N13" s="2028"/>
      <c r="O13" s="2029"/>
      <c r="P13" s="2028"/>
      <c r="Q13" s="2028"/>
      <c r="R13" s="2028"/>
    </row>
    <row r="14" spans="1:19" ht="18" customHeight="1">
      <c r="A14" s="2074"/>
      <c r="B14" s="2075"/>
      <c r="C14" s="2076" t="s">
        <v>1797</v>
      </c>
      <c r="D14" s="1049"/>
      <c r="E14" s="1049"/>
      <c r="F14" s="1049">
        <v>50</v>
      </c>
      <c r="G14" s="1049">
        <v>50</v>
      </c>
      <c r="H14" s="1049">
        <v>50</v>
      </c>
      <c r="I14" s="1049"/>
      <c r="J14" s="2041"/>
      <c r="K14" s="2078"/>
      <c r="L14" s="2027"/>
      <c r="M14" s="2027"/>
      <c r="N14" s="2028"/>
      <c r="O14" s="2029"/>
      <c r="P14" s="2028"/>
      <c r="Q14" s="2028"/>
      <c r="R14" s="2028"/>
    </row>
    <row r="15" spans="1:19" ht="18" customHeight="1">
      <c r="A15" s="2060"/>
      <c r="B15" s="2079"/>
      <c r="C15" s="2076" t="s">
        <v>1798</v>
      </c>
      <c r="D15" s="1048" t="str">
        <f>IF(B12="出让",IF(D13="","",ROUNDDOWN(MIN((D13-$D$3)/365,D14),2)),D14)</f>
        <v/>
      </c>
      <c r="E15" s="1048" t="str">
        <f>IF(B12="出让",IF(E13="","",ROUNDDOWN(MIN((E13-$D$3)/365,E14),2)),E14)</f>
        <v/>
      </c>
      <c r="F15" s="1048">
        <f>IF(B12="出让",IF(F13="","",ROUNDDOWN(MIN((F13-$D$3)/365,F14),2)),F14)</f>
        <v>43.52</v>
      </c>
      <c r="G15" s="1048">
        <f>IF(B12="出让",IF(G13="","",ROUNDDOWN(MIN((G13-$D$3)/365,G14),2)),G14)</f>
        <v>43.52</v>
      </c>
      <c r="H15" s="1048">
        <f>IF(B12="出让",IF(H13="","",ROUNDDOWN(MIN((H13-$D$3)/365,H14),2)),H14)</f>
        <v>43.52</v>
      </c>
      <c r="I15" s="1048" t="str">
        <f>IF(B12="出让",IF(I13="","",ROUNDDOWN(MIN((I13-$D$3)/365,I14),2)),I14)</f>
        <v/>
      </c>
      <c r="J15" s="2041"/>
      <c r="K15" s="2080"/>
      <c r="L15" s="2081"/>
      <c r="M15" s="2081"/>
      <c r="N15" s="2082"/>
      <c r="O15" s="2081"/>
      <c r="P15" s="2082"/>
      <c r="Q15" s="2028"/>
      <c r="R15" s="2028"/>
    </row>
    <row r="16" spans="1:19" ht="30.75" customHeight="1">
      <c r="A16" s="2063" t="s">
        <v>1799</v>
      </c>
      <c r="B16" s="3053"/>
      <c r="C16" s="3054"/>
      <c r="D16" s="3055"/>
      <c r="E16" s="2083" t="s">
        <v>1800</v>
      </c>
      <c r="F16" s="3056"/>
      <c r="G16" s="3057"/>
      <c r="H16" s="3057"/>
      <c r="I16" s="3058"/>
      <c r="J16" s="2028"/>
      <c r="K16" s="2080"/>
      <c r="L16" s="2081"/>
      <c r="M16" s="2081"/>
      <c r="N16" s="2082"/>
      <c r="O16" s="2081"/>
      <c r="P16" s="2082"/>
      <c r="Q16" s="2028"/>
      <c r="R16" s="2028"/>
    </row>
    <row r="17" spans="1:22" ht="18" customHeight="1">
      <c r="A17" s="2084" t="s">
        <v>1801</v>
      </c>
      <c r="B17" s="2034" t="s">
        <v>1802</v>
      </c>
      <c r="C17" s="1053">
        <f>'数据-汇总表'!E3</f>
        <v>41293.960000000006</v>
      </c>
      <c r="D17" s="2085" t="s">
        <v>1803</v>
      </c>
      <c r="E17" s="3059" t="s">
        <v>1804</v>
      </c>
      <c r="F17" s="3060"/>
      <c r="G17" s="3060"/>
      <c r="H17" s="3060"/>
      <c r="I17" s="3061"/>
      <c r="J17" s="2028"/>
      <c r="K17" s="2086"/>
      <c r="L17" s="2081"/>
      <c r="M17" s="2081"/>
      <c r="N17" s="2082"/>
      <c r="O17" s="2081"/>
      <c r="P17" s="2082"/>
      <c r="Q17" s="2028"/>
      <c r="R17" s="2028"/>
      <c r="S17" s="2028"/>
      <c r="T17" s="2028"/>
      <c r="U17" s="2028"/>
      <c r="V17" s="2028"/>
    </row>
    <row r="18" spans="1:22" ht="36" customHeight="1" thickBot="1">
      <c r="A18" s="2087" t="s">
        <v>1805</v>
      </c>
      <c r="B18" s="2037" t="s">
        <v>1806</v>
      </c>
      <c r="C18" s="1443">
        <f>'数据-汇总表'!D3</f>
        <v>13315.65</v>
      </c>
      <c r="D18" s="2088" t="s">
        <v>1803</v>
      </c>
      <c r="E18" s="3062" t="s">
        <v>1807</v>
      </c>
      <c r="F18" s="3063"/>
      <c r="G18" s="3063"/>
      <c r="H18" s="3063"/>
      <c r="I18" s="3064"/>
      <c r="J18" s="2028"/>
      <c r="K18" s="2086"/>
      <c r="L18" s="2081"/>
      <c r="M18" s="2081"/>
      <c r="N18" s="2082"/>
      <c r="O18" s="2081"/>
      <c r="P18" s="2082"/>
      <c r="Q18" s="2028"/>
      <c r="R18" s="2028"/>
      <c r="S18" s="2028"/>
      <c r="T18" s="2028"/>
      <c r="U18" s="2028"/>
      <c r="V18" s="2028"/>
    </row>
    <row r="19" spans="1:22" ht="37.5" customHeight="1" thickTop="1" thickBot="1">
      <c r="A19" s="373" t="s">
        <v>1808</v>
      </c>
      <c r="B19" s="352" t="s">
        <v>1809</v>
      </c>
      <c r="C19" s="2089"/>
      <c r="D19" s="2090" t="s">
        <v>1810</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1811</v>
      </c>
      <c r="B20" s="3049" t="s">
        <v>1812</v>
      </c>
      <c r="C20" s="3050"/>
      <c r="D20" s="3051" t="s">
        <v>1813</v>
      </c>
      <c r="E20" s="3052"/>
      <c r="F20" s="2095" t="s">
        <v>1814</v>
      </c>
      <c r="G20" s="2041"/>
      <c r="H20" s="2041"/>
      <c r="I20" s="2041"/>
      <c r="J20" s="2041"/>
      <c r="K20" s="3048"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1816</v>
      </c>
      <c r="C21" s="2097" t="s">
        <v>1817</v>
      </c>
      <c r="D21" s="2098" t="s">
        <v>1818</v>
      </c>
      <c r="E21" s="2099" t="s">
        <v>1817</v>
      </c>
      <c r="F21" s="2100"/>
      <c r="G21" s="2041"/>
      <c r="H21" s="2041"/>
      <c r="I21" s="2041"/>
      <c r="J21" s="2041"/>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1819</v>
      </c>
      <c r="C22" s="2097" t="s">
        <v>1820</v>
      </c>
      <c r="D22" s="2025"/>
      <c r="E22" s="2025"/>
      <c r="F22" s="2102"/>
      <c r="G22" s="2041"/>
      <c r="H22" s="2041"/>
      <c r="I22" s="2041"/>
      <c r="J22" s="2041"/>
      <c r="K22" s="3048"/>
      <c r="L22" s="748" t="str">
        <f>IF(E19="否","",IF(结果表仓储!D36="同一抵押权人同一抵押物续贷","由于本次评估为同一抵押权人的续贷房地产抵押估价，故未将已抵押担保的债权数额（"&amp;C26&amp;"）作为法定优先受偿款予以扣减。",IF(结果表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1821</v>
      </c>
      <c r="B23" s="183" t="s">
        <v>1822</v>
      </c>
      <c r="C23" s="2104"/>
      <c r="D23" s="2105" t="s">
        <v>1822</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1823</v>
      </c>
      <c r="C24" s="2109"/>
      <c r="D24" s="2103" t="s">
        <v>1823</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1824</v>
      </c>
      <c r="C25" s="2109"/>
      <c r="D25" s="2103" t="s">
        <v>1824</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1825</v>
      </c>
      <c r="C26" s="2113"/>
      <c r="D26" s="2114" t="s">
        <v>1826</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66" t="s">
        <v>1827</v>
      </c>
      <c r="B27" s="2060" t="s">
        <v>1828</v>
      </c>
      <c r="C27" s="2117" t="s">
        <v>3056</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66"/>
      <c r="B28" s="2034" t="s">
        <v>1829</v>
      </c>
      <c r="C28" s="2119" t="s">
        <v>3057</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66"/>
      <c r="B29" s="2034" t="s">
        <v>1830</v>
      </c>
      <c r="C29" s="2122" t="s">
        <v>3058</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67"/>
      <c r="B30" s="2034" t="s">
        <v>1831</v>
      </c>
      <c r="C30" s="3068"/>
      <c r="D30" s="3069"/>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70" t="s">
        <v>1832</v>
      </c>
      <c r="B31" s="2124" t="s">
        <v>3059</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71"/>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71"/>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1833</v>
      </c>
      <c r="B34" s="2131" t="s">
        <v>3060</v>
      </c>
      <c r="C34" s="2131" t="s">
        <v>3061</v>
      </c>
      <c r="D34" s="2131" t="s">
        <v>3062</v>
      </c>
      <c r="E34" s="2131" t="s">
        <v>3063</v>
      </c>
      <c r="F34" s="2131" t="s">
        <v>3064</v>
      </c>
      <c r="G34" s="2131" t="s">
        <v>70</v>
      </c>
      <c r="H34" s="2131"/>
      <c r="I34" s="2041"/>
      <c r="J34" s="2041"/>
      <c r="K34" s="1794">
        <f>COUNTIF(B34:H34,"——")</f>
        <v>1</v>
      </c>
      <c r="L34" s="2072" t="s">
        <v>1834</v>
      </c>
      <c r="M34" s="2072" t="s">
        <v>1835</v>
      </c>
      <c r="N34" s="2072" t="s">
        <v>1836</v>
      </c>
      <c r="O34" s="2072" t="s">
        <v>1837</v>
      </c>
      <c r="P34" s="2072" t="s">
        <v>1838</v>
      </c>
      <c r="Q34" s="2072" t="s">
        <v>1839</v>
      </c>
      <c r="R34" s="2072" t="s">
        <v>1840</v>
      </c>
      <c r="S34" s="3065" t="s">
        <v>1841</v>
      </c>
      <c r="T34" s="2132" t="str">
        <f>NUMBERSTRING(7-K34,1)&amp;"通"</f>
        <v>六通</v>
      </c>
      <c r="U34" s="2028"/>
      <c r="V34" s="2028"/>
    </row>
    <row r="35" spans="1:22" ht="18" customHeight="1">
      <c r="A35" s="2133"/>
      <c r="B35" s="3072" t="s">
        <v>1842</v>
      </c>
      <c r="C35" s="3072"/>
      <c r="D35" s="3072"/>
      <c r="E35" s="3072"/>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5"/>
      <c r="T35" s="48" t="str">
        <f>IF(T34="一通",L35,IF(T34="二通",M35,IF(T34="三通",N35,IF(T34="四通",O35,IF(T34="五通",P35,IF(T34="六通",Q35,R35))))))</f>
        <v>通路、通电、通讯、通上水、通下水、——</v>
      </c>
      <c r="U35" s="2028"/>
      <c r="V35" s="2028"/>
    </row>
    <row r="36" spans="1:22" ht="18" customHeight="1">
      <c r="A36" s="2135"/>
      <c r="B36" s="2134" t="s">
        <v>1843</v>
      </c>
      <c r="C36" s="2134" t="s">
        <v>1844</v>
      </c>
      <c r="D36" s="2134" t="s">
        <v>1845</v>
      </c>
      <c r="E36" s="2134" t="s">
        <v>1846</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1847</v>
      </c>
      <c r="B37" s="2138"/>
      <c r="C37" s="2138" t="s">
        <v>523</v>
      </c>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1848</v>
      </c>
      <c r="B38" s="2140"/>
      <c r="C38" s="2140" t="s">
        <v>229</v>
      </c>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1850</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1851</v>
      </c>
      <c r="B42" s="1794" t="s">
        <v>1852</v>
      </c>
      <c r="C42" s="1794" t="s">
        <v>1853</v>
      </c>
      <c r="D42" s="1794" t="s">
        <v>1854</v>
      </c>
      <c r="E42" s="1794" t="s">
        <v>1855</v>
      </c>
      <c r="F42" s="1794" t="s">
        <v>1856</v>
      </c>
      <c r="G42" s="1794" t="s">
        <v>1857</v>
      </c>
      <c r="H42" s="1794" t="s">
        <v>1858</v>
      </c>
      <c r="I42" s="1794" t="s">
        <v>1859</v>
      </c>
      <c r="J42" s="2150" t="s">
        <v>1860</v>
      </c>
      <c r="K42" s="2073" t="s">
        <v>1861</v>
      </c>
      <c r="L42" s="2073" t="s">
        <v>1862</v>
      </c>
      <c r="M42" s="2073" t="s">
        <v>1863</v>
      </c>
      <c r="N42" s="1794" t="s">
        <v>1864</v>
      </c>
      <c r="O42" s="1794" t="s">
        <v>1865</v>
      </c>
      <c r="P42" s="1794" t="s">
        <v>1866</v>
      </c>
      <c r="Q42" s="2072" t="s">
        <v>1867</v>
      </c>
      <c r="R42" s="2072" t="s">
        <v>1868</v>
      </c>
      <c r="S42" s="2028"/>
      <c r="T42" s="2028"/>
      <c r="U42" s="2028"/>
      <c r="V42" s="2028"/>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1874</v>
      </c>
      <c r="AZ2" s="1269"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13315.65</v>
      </c>
      <c r="B3" s="14">
        <f>IF(C3="否",G5-AT5,G5)</f>
        <v>41293.960000000006</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2"/>
      <c r="C5" s="1802"/>
      <c r="D5" s="1805"/>
      <c r="E5" s="16" t="s">
        <v>1</v>
      </c>
      <c r="F5" s="16">
        <f>SUM(F13:F587)</f>
        <v>0</v>
      </c>
      <c r="G5" s="16">
        <f>SUM(G13:G587)</f>
        <v>41293.960000000006</v>
      </c>
      <c r="H5" s="16">
        <f t="shared" ref="H5:AT5" si="0">SUM(H13:H656)</f>
        <v>41293.960000000006</v>
      </c>
      <c r="I5" s="16">
        <f t="shared" si="0"/>
        <v>25919.38</v>
      </c>
      <c r="J5" s="16">
        <f t="shared" si="0"/>
        <v>0</v>
      </c>
      <c r="K5" s="16">
        <f t="shared" si="0"/>
        <v>8246.2800000000007</v>
      </c>
      <c r="L5" s="16">
        <f t="shared" si="0"/>
        <v>0</v>
      </c>
      <c r="M5" s="16">
        <f t="shared" si="0"/>
        <v>7128.3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41293.960000000006</v>
      </c>
      <c r="BA5" s="18">
        <f t="shared" si="1"/>
        <v>41293.960000000006</v>
      </c>
      <c r="BB5" s="18">
        <f t="shared" si="1"/>
        <v>25919.38</v>
      </c>
      <c r="BC5" s="18">
        <f t="shared" si="1"/>
        <v>8246.2800000000007</v>
      </c>
      <c r="BD5" s="18">
        <f t="shared" si="1"/>
        <v>7128.3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1879</v>
      </c>
      <c r="B6" s="2172"/>
      <c r="C6" s="2172"/>
      <c r="D6" s="2173"/>
      <c r="E6" s="16">
        <f>H6+AC6+AT6</f>
        <v>13315.65</v>
      </c>
      <c r="F6" s="16" t="s">
        <v>1</v>
      </c>
      <c r="G6" s="16" t="s">
        <v>2</v>
      </c>
      <c r="H6" s="20">
        <f>SUMIF(I$12:AB$12,"总值",I6:AB6)</f>
        <v>13315.65</v>
      </c>
      <c r="I6" s="16">
        <f t="shared" ref="I6:AB6" si="2">ROUND($A$3*I5/$B$3,2)</f>
        <v>8357.9599999999991</v>
      </c>
      <c r="J6" s="16">
        <f t="shared" si="2"/>
        <v>0</v>
      </c>
      <c r="K6" s="16">
        <f t="shared" si="2"/>
        <v>2659.1</v>
      </c>
      <c r="L6" s="16">
        <f t="shared" si="2"/>
        <v>0</v>
      </c>
      <c r="M6" s="16">
        <f t="shared" si="2"/>
        <v>2298.59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13315.65</v>
      </c>
      <c r="AZ6" s="16" t="s">
        <v>3</v>
      </c>
      <c r="BA6" s="16">
        <f>ROUND($AY$6*BA5/$AZ$5,2)</f>
        <v>13315.65</v>
      </c>
      <c r="BB6" s="16">
        <f>ROUND($AY$6*BB5/$AZ$5,2)</f>
        <v>8357.9599999999991</v>
      </c>
      <c r="BC6" s="16">
        <f t="shared" ref="BC6:BH6" si="4">ROUND($AY$6*BC5/$AZ$5,2)</f>
        <v>2659.1</v>
      </c>
      <c r="BD6" s="16">
        <f t="shared" si="4"/>
        <v>2298.59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1887</v>
      </c>
      <c r="AV7" s="23" t="s">
        <v>1888</v>
      </c>
      <c r="AW7" s="2164" t="s">
        <v>1889</v>
      </c>
      <c r="AX7" s="23" t="s">
        <v>1882</v>
      </c>
      <c r="AY7" s="1802"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17"/>
      <c r="K8" s="1817"/>
      <c r="L8" s="1817"/>
      <c r="M8" s="1817"/>
      <c r="N8" s="1817"/>
      <c r="O8" s="1817"/>
      <c r="P8" s="1817"/>
      <c r="Q8" s="1817"/>
      <c r="R8" s="1817"/>
      <c r="S8" s="1817"/>
      <c r="T8" s="1817"/>
      <c r="U8" s="1817"/>
      <c r="V8" s="2184"/>
      <c r="W8" s="1817"/>
      <c r="X8" s="1817"/>
      <c r="Y8" s="1817"/>
      <c r="Z8" s="1817"/>
      <c r="AA8" s="2184"/>
      <c r="AB8" s="2185"/>
      <c r="AC8" s="980" t="s">
        <v>1893</v>
      </c>
      <c r="AD8" s="2186"/>
      <c r="AE8" s="2178"/>
      <c r="AF8" s="1817"/>
      <c r="AG8" s="1817"/>
      <c r="AH8" s="1817"/>
      <c r="AI8" s="1817"/>
      <c r="AJ8" s="1817"/>
      <c r="AK8" s="1817"/>
      <c r="AL8" s="1817"/>
      <c r="AM8" s="1817"/>
      <c r="AN8" s="1817"/>
      <c r="AO8" s="1817"/>
      <c r="AP8" s="1817"/>
      <c r="AQ8" s="1817"/>
      <c r="AR8" s="1817"/>
      <c r="AS8" s="1817"/>
      <c r="AT8" s="1291" t="s">
        <v>1894</v>
      </c>
      <c r="AU8" s="2180" t="s">
        <v>1895</v>
      </c>
      <c r="AV8" s="1291"/>
      <c r="AW8" s="2163"/>
      <c r="AX8" s="1291"/>
      <c r="AY8" s="2164"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1"/>
      <c r="H9" s="2188" t="s">
        <v>1898</v>
      </c>
      <c r="I9" s="2189" t="s">
        <v>3066</v>
      </c>
      <c r="J9" s="980"/>
      <c r="K9" s="2189" t="s">
        <v>3067</v>
      </c>
      <c r="L9" s="980"/>
      <c r="M9" s="2189" t="s">
        <v>3067</v>
      </c>
      <c r="N9" s="980"/>
      <c r="O9" s="2189"/>
      <c r="P9" s="980"/>
      <c r="Q9" s="2189"/>
      <c r="R9" s="980"/>
      <c r="S9" s="2189"/>
      <c r="T9" s="980"/>
      <c r="U9" s="2189"/>
      <c r="V9" s="980"/>
      <c r="W9" s="2189"/>
      <c r="X9" s="2190"/>
      <c r="Y9" s="2189"/>
      <c r="Z9" s="980"/>
      <c r="AA9" s="2189"/>
      <c r="AB9" s="980"/>
      <c r="AC9" s="2181"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91"/>
      <c r="AT9" s="2180"/>
      <c r="AU9" s="2180" t="s">
        <v>1901</v>
      </c>
      <c r="AV9" s="1291"/>
      <c r="AW9" s="2163"/>
      <c r="AX9" s="1291"/>
      <c r="AY9" s="28"/>
      <c r="AZ9" s="28" t="s">
        <v>1891</v>
      </c>
      <c r="BA9" s="2192" t="s">
        <v>1902</v>
      </c>
      <c r="BB9" s="2193"/>
      <c r="BC9" s="1337"/>
      <c r="BD9" s="1337"/>
      <c r="BE9" s="1337"/>
      <c r="BF9" s="1337"/>
      <c r="BG9" s="1337"/>
      <c r="BH9" s="1337"/>
      <c r="BI9" s="1337"/>
      <c r="BJ9" s="1337"/>
      <c r="BK9" s="2194"/>
      <c r="BL9" s="15" t="s">
        <v>1903</v>
      </c>
      <c r="BM9" s="1817"/>
      <c r="BN9" s="2183"/>
      <c r="BO9" s="1817"/>
      <c r="BP9" s="1817"/>
      <c r="BQ9" s="1817"/>
      <c r="BR9" s="1817"/>
      <c r="BS9" s="1817"/>
      <c r="BT9" s="26"/>
    </row>
    <row r="10" spans="1:72" s="2187" customFormat="1" ht="12.75">
      <c r="A10" s="2180"/>
      <c r="B10" s="2180"/>
      <c r="C10" s="2180"/>
      <c r="D10" s="2180"/>
      <c r="E10" s="2180"/>
      <c r="F10" s="2180"/>
      <c r="G10" s="1291"/>
      <c r="H10" s="28"/>
      <c r="I10" s="2189" t="s">
        <v>27</v>
      </c>
      <c r="J10" s="980"/>
      <c r="K10" s="2195" t="s">
        <v>3068</v>
      </c>
      <c r="L10" s="980"/>
      <c r="M10" s="2195" t="s">
        <v>3069</v>
      </c>
      <c r="N10" s="980"/>
      <c r="O10" s="2195"/>
      <c r="P10" s="980"/>
      <c r="Q10" s="2195"/>
      <c r="R10" s="980"/>
      <c r="S10" s="2195"/>
      <c r="T10" s="980"/>
      <c r="U10" s="2195"/>
      <c r="V10" s="980"/>
      <c r="W10" s="2195"/>
      <c r="X10" s="980"/>
      <c r="Y10" s="2195"/>
      <c r="Z10" s="980"/>
      <c r="AA10" s="2195"/>
      <c r="AB10" s="980"/>
      <c r="AC10" s="1291"/>
      <c r="AD10" s="15" t="s">
        <v>1904</v>
      </c>
      <c r="AE10" s="2196"/>
      <c r="AF10" s="15" t="s">
        <v>1904</v>
      </c>
      <c r="AG10" s="2196"/>
      <c r="AH10" s="15" t="s">
        <v>1905</v>
      </c>
      <c r="AI10" s="2196"/>
      <c r="AJ10" s="15" t="s">
        <v>1905</v>
      </c>
      <c r="AK10" s="2196"/>
      <c r="AL10" s="15" t="s">
        <v>1906</v>
      </c>
      <c r="AM10" s="1297"/>
      <c r="AN10" s="15" t="s">
        <v>1906</v>
      </c>
      <c r="AO10" s="1297"/>
      <c r="AP10" s="15" t="s">
        <v>1907</v>
      </c>
      <c r="AQ10" s="1297"/>
      <c r="AR10" s="15" t="s">
        <v>1907</v>
      </c>
      <c r="AS10" s="1297"/>
      <c r="AT10" s="2180"/>
      <c r="AU10" s="2180"/>
      <c r="AV10" s="1291"/>
      <c r="AW10" s="2163"/>
      <c r="AX10" s="1291"/>
      <c r="AY10" s="28"/>
      <c r="AZ10" s="28"/>
      <c r="BA10" s="2197" t="s">
        <v>1898</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1"/>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1908</v>
      </c>
      <c r="AE11" s="1818"/>
      <c r="AF11" s="2202" t="s">
        <v>1908</v>
      </c>
      <c r="AG11" s="1818"/>
      <c r="AH11" s="2202" t="s">
        <v>1909</v>
      </c>
      <c r="AI11" s="2203"/>
      <c r="AJ11" s="2202" t="s">
        <v>1909</v>
      </c>
      <c r="AK11" s="1818"/>
      <c r="AL11" s="1816"/>
      <c r="AM11" s="1818"/>
      <c r="AN11" s="1816"/>
      <c r="AO11" s="1818"/>
      <c r="AP11" s="1816"/>
      <c r="AQ11" s="1818"/>
      <c r="AR11" s="1816"/>
      <c r="AS11" s="1818"/>
      <c r="AT11" s="2163"/>
      <c r="AU11" s="2180"/>
      <c r="AV11" s="1291"/>
      <c r="AW11" s="2163"/>
      <c r="AX11" s="1291"/>
      <c r="AY11" s="28"/>
      <c r="AZ11" s="28"/>
      <c r="BA11" s="28"/>
      <c r="BB11" s="2185" t="str">
        <f>I10</f>
        <v>办公</v>
      </c>
      <c r="BC11" s="2185" t="str">
        <f>K10</f>
        <v>仓储</v>
      </c>
      <c r="BD11" s="2185" t="str">
        <f>M10</f>
        <v>车库</v>
      </c>
      <c r="BE11" s="2185">
        <f>O10</f>
        <v>0</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7"/>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2970">
        <v>34</v>
      </c>
      <c r="D13" s="2211" t="s">
        <v>3065</v>
      </c>
      <c r="E13" s="16">
        <f>IF($C$3="是",ROUND($A$3*G13/$B$3,2),ROUND($A$3*(G13-AT13)/$B$3,2))</f>
        <v>3060.46</v>
      </c>
      <c r="F13" s="32"/>
      <c r="G13" s="33">
        <f>H13+AC13+AT13</f>
        <v>9490.98</v>
      </c>
      <c r="H13" s="20">
        <f>SUMIF(I$12:AB$12,"总值",I13:AB13)</f>
        <v>9490.98</v>
      </c>
      <c r="I13" s="2212">
        <v>9490.98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34</v>
      </c>
      <c r="AY13" s="1805">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151">
        <v>35</v>
      </c>
      <c r="D14" s="2211" t="s">
        <v>3065</v>
      </c>
      <c r="E14" s="16">
        <f>IF($C$3="是",ROUND($A$3*G14/$B$3,2),ROUND($A$3*(G14-AT14)/$B$3,2))</f>
        <v>3223.32</v>
      </c>
      <c r="F14" s="32"/>
      <c r="G14" s="33">
        <f>H14+AC14+AT14</f>
        <v>9996.02</v>
      </c>
      <c r="H14" s="20">
        <f>SUMIF(I$12:AB$12,"总值",I14:AB14)</f>
        <v>9996.02</v>
      </c>
      <c r="I14" s="2212">
        <v>9996.02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35</v>
      </c>
      <c r="AY14" s="1805">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v>37</v>
      </c>
      <c r="D15" s="2211" t="s">
        <v>3065</v>
      </c>
      <c r="E15" s="16">
        <f>IF($C$3="是",ROUND($A$3*G15/$B$3,2),ROUND($A$3*(G15-AT15)/$B$3,2))</f>
        <v>2074.19</v>
      </c>
      <c r="F15" s="32"/>
      <c r="G15" s="33">
        <f>H15+AC15+AT15</f>
        <v>6432.38</v>
      </c>
      <c r="H15" s="20">
        <f>SUMIF(I$12:AB$12,"总值",I15:AB15)</f>
        <v>6432.38</v>
      </c>
      <c r="I15" s="2212">
        <v>6432.38</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37</v>
      </c>
      <c r="AY15" s="1805">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v>38</v>
      </c>
      <c r="D16" s="2211" t="s">
        <v>3065</v>
      </c>
      <c r="E16" s="16">
        <f>IF($C$3="是",ROUND($A$3*G16/$B$3,2),ROUND($A$3*(G16-AT16)/$B$3,2))</f>
        <v>4957.6899999999996</v>
      </c>
      <c r="F16" s="32"/>
      <c r="G16" s="33">
        <f>H16+AC16+AT16</f>
        <v>15374.580000000002</v>
      </c>
      <c r="H16" s="20">
        <f>SUMIF(I$12:AB$12,"总值",I16:AB16)</f>
        <v>15374.580000000002</v>
      </c>
      <c r="I16" s="2212"/>
      <c r="J16" s="2212"/>
      <c r="K16" s="2212">
        <v>8246.2800000000007</v>
      </c>
      <c r="L16" s="2212"/>
      <c r="M16" s="2212">
        <v>7128.3</v>
      </c>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38</v>
      </c>
      <c r="AY16" s="1805">
        <f>ROUND($AY$6*AZ16/$AZ$5,2)</f>
        <v>4957.6899999999996</v>
      </c>
      <c r="AZ16" s="16">
        <f>BA16+BL16</f>
        <v>15374.580000000002</v>
      </c>
      <c r="BA16" s="16">
        <f>SUM(BB16:BK16)</f>
        <v>15374.580000000002</v>
      </c>
      <c r="BB16" s="16">
        <f>IF($D16="是",I16-J16,0)</f>
        <v>0</v>
      </c>
      <c r="BC16" s="16">
        <f>IF($D16="是",K16-L16,0)</f>
        <v>8246.2800000000007</v>
      </c>
      <c r="BD16" s="16">
        <f>IF($D16="是",M16-N16,0)</f>
        <v>7128.3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5" sqref="C2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1"/>
      <c r="C1" s="1391"/>
      <c r="D1" s="1391"/>
      <c r="E1" s="1391"/>
      <c r="F1" s="1391"/>
      <c r="G1" s="1391"/>
      <c r="H1" s="1391"/>
      <c r="I1" s="1391"/>
      <c r="J1" s="1391"/>
      <c r="K1" s="1391"/>
      <c r="L1" s="1391"/>
      <c r="M1" s="1391"/>
      <c r="N1" s="1391"/>
      <c r="O1" s="1391"/>
      <c r="P1" s="1391"/>
    </row>
    <row r="2" spans="1:16" ht="15">
      <c r="A2" s="3084" t="s">
        <v>1938</v>
      </c>
      <c r="B2" s="3084"/>
      <c r="C2" s="3084"/>
      <c r="D2" s="966" t="s">
        <v>1914</v>
      </c>
      <c r="E2" s="2225" t="s">
        <v>1915</v>
      </c>
      <c r="F2" s="1391"/>
      <c r="G2" s="2226"/>
      <c r="H2" s="2227"/>
      <c r="I2" s="2228" t="s">
        <v>1939</v>
      </c>
      <c r="J2" s="1391"/>
      <c r="K2" s="1391"/>
      <c r="L2" s="1391"/>
      <c r="M2" s="1391"/>
      <c r="N2" s="1426"/>
      <c r="O2" s="1391"/>
      <c r="P2" s="1391"/>
    </row>
    <row r="3" spans="1:16" ht="15.75" thickBot="1">
      <c r="A3" s="3085" t="s">
        <v>1912</v>
      </c>
      <c r="B3" s="3085"/>
      <c r="C3" s="3085"/>
      <c r="D3" s="46">
        <f>'数据-基础表'!AY6</f>
        <v>13315.65</v>
      </c>
      <c r="E3" s="46">
        <f>'数据-基础表'!AZ5</f>
        <v>41293.960000000006</v>
      </c>
      <c r="F3" s="1391"/>
      <c r="G3" s="1398"/>
      <c r="H3" s="1246" t="s">
        <v>1913</v>
      </c>
      <c r="I3" s="55">
        <f>ROUND('数据-基础表'!B3/'数据-基础表'!A3,2)</f>
        <v>3.1</v>
      </c>
      <c r="J3" s="1391"/>
      <c r="K3" s="1391"/>
      <c r="L3" s="1391"/>
      <c r="M3" s="1391"/>
      <c r="N3" s="1426"/>
      <c r="O3" s="1391"/>
      <c r="P3" s="1391"/>
    </row>
    <row r="4" spans="1:16" ht="15">
      <c r="A4" s="3086"/>
      <c r="B4" s="3087"/>
      <c r="C4" s="3088"/>
      <c r="D4" s="2229" t="s">
        <v>1914</v>
      </c>
      <c r="E4" s="2230" t="s">
        <v>1915</v>
      </c>
      <c r="F4" s="1391"/>
      <c r="G4" s="2231" t="s">
        <v>1940</v>
      </c>
      <c r="H4" s="1246" t="s">
        <v>1920</v>
      </c>
      <c r="I4" s="55">
        <f>ROUND(SUMIF('数据-基础表'!I9:AS9,"地上",'数据-基础表'!I5:AS5)/'数据-基础表'!A3,2)</f>
        <v>1.95</v>
      </c>
      <c r="J4" s="1391"/>
      <c r="K4" s="1391"/>
      <c r="L4" s="1391"/>
      <c r="M4" s="1391"/>
      <c r="N4" s="1426"/>
      <c r="O4" s="1391"/>
      <c r="P4" s="1391"/>
    </row>
    <row r="5" spans="1:16">
      <c r="A5" s="47" t="s">
        <v>1916</v>
      </c>
      <c r="B5" s="3089" t="s">
        <v>1917</v>
      </c>
      <c r="C5" s="3089"/>
      <c r="D5" s="48">
        <f>ROUND($D$3*E5/$E$3,2)</f>
        <v>0</v>
      </c>
      <c r="E5" s="49">
        <f>SUMIF('数据-基础表'!$11:$11,"住宅",'数据-基础表'!$5:$5)</f>
        <v>0</v>
      </c>
      <c r="F5" s="1391"/>
      <c r="G5" s="1398"/>
      <c r="H5" s="1246" t="s">
        <v>1913</v>
      </c>
      <c r="I5" s="55">
        <f>ROUND(E31/D31,2)</f>
        <v>3.1</v>
      </c>
      <c r="J5" s="1391"/>
      <c r="K5" s="1391"/>
      <c r="L5" s="1391"/>
      <c r="M5" s="1391"/>
      <c r="N5" s="1391"/>
      <c r="O5" s="1391"/>
      <c r="P5" s="1391"/>
    </row>
    <row r="6" spans="1:16" ht="15" thickBot="1">
      <c r="A6" s="2232"/>
      <c r="B6" s="3089" t="s">
        <v>1918</v>
      </c>
      <c r="C6" s="3089"/>
      <c r="D6" s="48">
        <f>ROUND($D$3*E6/$E$3,2)</f>
        <v>13315.65</v>
      </c>
      <c r="E6" s="49">
        <f>E3-E5</f>
        <v>41293.960000000006</v>
      </c>
      <c r="F6" s="1391"/>
      <c r="G6" s="2233" t="s">
        <v>1919</v>
      </c>
      <c r="H6" s="1398" t="s">
        <v>1920</v>
      </c>
      <c r="I6" s="938">
        <f>ROUND(F31/D31,2)</f>
        <v>1.95</v>
      </c>
      <c r="J6" s="1391"/>
      <c r="K6" s="1391"/>
      <c r="L6" s="1391"/>
      <c r="M6" s="1391"/>
      <c r="N6" s="1391"/>
      <c r="O6" s="1391"/>
      <c r="P6" s="1391"/>
    </row>
    <row r="7" spans="1:16" ht="15">
      <c r="A7" s="3081"/>
      <c r="B7" s="3082"/>
      <c r="C7" s="3083"/>
      <c r="D7" s="2229" t="s">
        <v>1914</v>
      </c>
      <c r="E7" s="2234" t="s">
        <v>1921</v>
      </c>
      <c r="F7" s="1391"/>
      <c r="G7" s="2226" t="s">
        <v>1922</v>
      </c>
      <c r="H7" s="64"/>
      <c r="I7" s="420"/>
      <c r="J7" s="1391"/>
      <c r="K7" s="1391"/>
      <c r="L7" s="1391"/>
      <c r="M7" s="1391"/>
      <c r="N7" s="1391"/>
      <c r="O7" s="1391"/>
      <c r="P7" s="1391"/>
    </row>
    <row r="8" spans="1:16">
      <c r="A8" s="47" t="s">
        <v>1923</v>
      </c>
      <c r="B8" s="50" t="s">
        <v>1924</v>
      </c>
      <c r="C8" s="48" t="s">
        <v>1925</v>
      </c>
      <c r="D8" s="48">
        <f t="shared" ref="D8:D15" si="0">ROUND($D$3*E8/$E$3,2)</f>
        <v>8357.9599999999991</v>
      </c>
      <c r="E8" s="51">
        <f>SUMIF('数据-基础表'!BB10:BK10,"地上",'数据-基础表'!BB5:BK5)</f>
        <v>25919.38</v>
      </c>
      <c r="F8" s="1391"/>
      <c r="G8" s="2235"/>
      <c r="H8" s="2235"/>
      <c r="I8" s="1391"/>
      <c r="J8" s="1391"/>
      <c r="K8" s="1391"/>
      <c r="L8" s="1391"/>
      <c r="M8" s="1391"/>
      <c r="N8" s="1391"/>
      <c r="O8" s="1391"/>
      <c r="P8" s="1391"/>
    </row>
    <row r="9" spans="1:16">
      <c r="A9" s="2236"/>
      <c r="B9" s="2237"/>
      <c r="C9" s="48" t="s">
        <v>1926</v>
      </c>
      <c r="D9" s="48">
        <f t="shared" si="0"/>
        <v>0</v>
      </c>
      <c r="E9" s="52">
        <v>0</v>
      </c>
      <c r="F9" s="1391"/>
      <c r="G9" s="2235"/>
      <c r="H9" s="2235"/>
      <c r="I9" s="1391"/>
      <c r="J9" s="1391"/>
      <c r="K9" s="1391"/>
      <c r="L9" s="1391"/>
      <c r="M9" s="1391"/>
      <c r="N9" s="1391"/>
      <c r="O9" s="1391"/>
      <c r="P9" s="1391"/>
    </row>
    <row r="10" spans="1:16">
      <c r="A10" s="2236"/>
      <c r="B10" s="2237"/>
      <c r="C10" s="48" t="s">
        <v>1935</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1927</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1928</v>
      </c>
      <c r="D12" s="48">
        <f t="shared" si="0"/>
        <v>2659.1</v>
      </c>
      <c r="E12" s="51">
        <f>SUMPRODUCT(('数据-基础表'!BB10:BK10="地下")*('数据-基础表'!BB11:BK11="仓储")*('数据-基础表'!BB5:BK5))</f>
        <v>8246.2800000000007</v>
      </c>
      <c r="F12" s="1391"/>
      <c r="G12" s="2235"/>
      <c r="H12" s="2235"/>
      <c r="I12" s="1391"/>
      <c r="J12" s="1391"/>
      <c r="K12" s="1391"/>
      <c r="L12" s="1391"/>
      <c r="M12" s="1391"/>
      <c r="N12" s="1391"/>
      <c r="O12" s="1391"/>
      <c r="P12" s="1391"/>
    </row>
    <row r="13" spans="1:16">
      <c r="A13" s="2236"/>
      <c r="B13" s="2237"/>
      <c r="C13" s="48" t="s">
        <v>1929</v>
      </c>
      <c r="D13" s="48">
        <f t="shared" si="0"/>
        <v>2298.59</v>
      </c>
      <c r="E13" s="51">
        <f>SUMPRODUCT(('数据-基础表'!BB10:BK10="地下")*('数据-基础表'!BB11:BK11="车库")*('数据-基础表'!BB5:BK5))</f>
        <v>7128.3</v>
      </c>
      <c r="F13" s="1391"/>
      <c r="G13" s="2235"/>
      <c r="H13" s="2235"/>
      <c r="I13" s="1391"/>
      <c r="J13" s="1391"/>
      <c r="K13" s="1391"/>
      <c r="L13" s="1391"/>
      <c r="M13" s="1391"/>
      <c r="N13" s="1391"/>
      <c r="O13" s="1391"/>
      <c r="P13" s="1391"/>
    </row>
    <row r="14" spans="1:16">
      <c r="A14" s="2236"/>
      <c r="B14" s="2237"/>
      <c r="C14" s="48" t="s">
        <v>1941</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1936</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1930</v>
      </c>
      <c r="D16" s="50">
        <f>SUM(D8:D15)</f>
        <v>13315.65</v>
      </c>
      <c r="E16" s="53">
        <f>SUM(E8:E15)</f>
        <v>41293.960000000006</v>
      </c>
      <c r="F16" s="1391"/>
      <c r="G16" s="2235"/>
      <c r="H16" s="2238" t="s">
        <v>1942</v>
      </c>
      <c r="I16" s="2239"/>
      <c r="J16" s="1391"/>
      <c r="K16" s="3078" t="s">
        <v>1942</v>
      </c>
      <c r="L16" s="3079"/>
      <c r="M16" s="3079"/>
      <c r="N16" s="3079"/>
      <c r="O16" s="3079"/>
      <c r="P16" s="3080"/>
    </row>
    <row r="17" spans="1:19" ht="15">
      <c r="A17" s="2240" t="s">
        <v>1943</v>
      </c>
      <c r="B17" s="2241" t="s">
        <v>1944</v>
      </c>
      <c r="C17" s="2242" t="s">
        <v>1945</v>
      </c>
      <c r="D17" s="2243" t="s">
        <v>1933</v>
      </c>
      <c r="E17" s="2244" t="s">
        <v>1934</v>
      </c>
      <c r="F17" s="2245"/>
      <c r="G17" s="2246"/>
      <c r="H17" s="2247" t="s">
        <v>1946</v>
      </c>
      <c r="I17" s="2248" t="s">
        <v>1931</v>
      </c>
      <c r="J17" s="1391"/>
      <c r="K17" s="3075" t="s">
        <v>1947</v>
      </c>
      <c r="L17" s="3076"/>
      <c r="M17" s="3077"/>
      <c r="N17" s="3075" t="s">
        <v>1948</v>
      </c>
      <c r="O17" s="3076"/>
      <c r="P17" s="3077"/>
      <c r="R17" s="2226" t="s">
        <v>1949</v>
      </c>
      <c r="S17" s="64"/>
    </row>
    <row r="18" spans="1:19" ht="15">
      <c r="A18" s="2236"/>
      <c r="B18" s="2249"/>
      <c r="C18" s="2250"/>
      <c r="D18" s="2251"/>
      <c r="E18" s="2252" t="s">
        <v>1950</v>
      </c>
      <c r="F18" s="2253" t="s">
        <v>1951</v>
      </c>
      <c r="G18" s="2254" t="s">
        <v>1952</v>
      </c>
      <c r="H18" s="1261" t="s">
        <v>1953</v>
      </c>
      <c r="I18" s="2255" t="s">
        <v>1954</v>
      </c>
      <c r="J18" s="1391"/>
      <c r="K18" s="1261" t="s">
        <v>1955</v>
      </c>
      <c r="L18" s="2256" t="s">
        <v>1956</v>
      </c>
      <c r="M18" s="1045" t="s">
        <v>1957</v>
      </c>
      <c r="N18" s="1261" t="s">
        <v>1955</v>
      </c>
      <c r="O18" s="2256" t="s">
        <v>1956</v>
      </c>
      <c r="P18" s="1045" t="s">
        <v>1957</v>
      </c>
      <c r="R18" s="1246" t="s">
        <v>1958</v>
      </c>
      <c r="S18" s="1246" t="s">
        <v>1959</v>
      </c>
    </row>
    <row r="19" spans="1:19">
      <c r="A19" s="2257"/>
      <c r="B19" s="50" t="s">
        <v>1932</v>
      </c>
      <c r="C19" s="2994" t="s">
        <v>3147</v>
      </c>
      <c r="D19" s="48">
        <f>ROUND($D$3*E19/$E$3,2)</f>
        <v>8357.9599999999991</v>
      </c>
      <c r="E19" s="56">
        <f t="shared" ref="E19:E26" si="1">SUM(F19:G19)</f>
        <v>25919.38</v>
      </c>
      <c r="F19" s="57">
        <f>'数据-基础表'!I5</f>
        <v>25919.38</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8357.9599999999991</v>
      </c>
      <c r="S19" s="1247">
        <f t="shared" si="5"/>
        <v>25919.38</v>
      </c>
    </row>
    <row r="20" spans="1:19">
      <c r="A20" s="2260"/>
      <c r="B20" s="50" t="s">
        <v>1960</v>
      </c>
      <c r="C20" s="2994" t="s">
        <v>3148</v>
      </c>
      <c r="D20" s="48">
        <f t="shared" ref="D20:D26" si="6">ROUND($D$3*E20/$E$3,2)</f>
        <v>2659.1</v>
      </c>
      <c r="E20" s="56">
        <f t="shared" si="1"/>
        <v>8246.2800000000007</v>
      </c>
      <c r="F20" s="57"/>
      <c r="G20" s="58">
        <f>'数据-基础表'!K5</f>
        <v>8246.2800000000007</v>
      </c>
      <c r="H20" s="723">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2659.1</v>
      </c>
      <c r="S20" s="1247">
        <f t="shared" si="5"/>
        <v>8246.2800000000007</v>
      </c>
    </row>
    <row r="21" spans="1:19">
      <c r="A21" s="2260"/>
      <c r="B21" s="50" t="s">
        <v>1960</v>
      </c>
      <c r="C21" s="2994" t="s">
        <v>3149</v>
      </c>
      <c r="D21" s="48">
        <f t="shared" si="6"/>
        <v>2298.59</v>
      </c>
      <c r="E21" s="56">
        <f t="shared" si="1"/>
        <v>7128.3</v>
      </c>
      <c r="F21" s="57"/>
      <c r="G21" s="58">
        <f>'数据-基础表'!M5</f>
        <v>7128.3</v>
      </c>
      <c r="H21" s="723">
        <f t="shared" si="7"/>
        <v>0</v>
      </c>
      <c r="I21" s="51">
        <f t="shared" si="2"/>
        <v>0</v>
      </c>
      <c r="J21" s="1391"/>
      <c r="K21" s="1390">
        <f t="shared" si="3"/>
        <v>0</v>
      </c>
      <c r="L21" s="1246">
        <f t="shared" si="4"/>
        <v>0</v>
      </c>
      <c r="M21" s="1402">
        <f t="shared" si="8"/>
        <v>0</v>
      </c>
      <c r="N21" s="2258"/>
      <c r="O21" s="2259"/>
      <c r="P21" s="1402">
        <f t="shared" si="9"/>
        <v>0</v>
      </c>
      <c r="R21" s="1246">
        <f t="shared" si="5"/>
        <v>2298.59</v>
      </c>
      <c r="S21" s="1247">
        <f t="shared" si="5"/>
        <v>7128.3</v>
      </c>
    </row>
    <row r="22" spans="1:19">
      <c r="A22" s="2260"/>
      <c r="B22" s="50" t="s">
        <v>1960</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1960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1961</v>
      </c>
      <c r="D27" s="1392">
        <f>SUM(D19:D26)</f>
        <v>13315.65</v>
      </c>
      <c r="E27" s="1393">
        <f>IF(SUM(E19:E26)='数据-基础表'!BA5,SUM(E19:E26),IF(F27="地上面积有误","面积有误","地下面积有误"))</f>
        <v>41293.960000000006</v>
      </c>
      <c r="F27" s="1392">
        <f>IF(SUM(F19:F26)=E8,SUM(F19:F26),"地上面积有误")</f>
        <v>25919.38</v>
      </c>
      <c r="G27" s="1394">
        <f>SUM(G19:G26)</f>
        <v>15374.580000000002</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13315.65</v>
      </c>
      <c r="S27" s="1246">
        <f>IF(SUM(S19:S26)=$E$3,SUM(S19:S26),SUM(S19:S26)&amp;"误差"&amp;ROUND(SUM(S19:S26)-E3,2))</f>
        <v>41293.960000000006</v>
      </c>
    </row>
    <row r="28" spans="1:19">
      <c r="A28" s="2260"/>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1962</v>
      </c>
      <c r="C29" s="2264"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1965</v>
      </c>
      <c r="D31" s="729">
        <f>D27+D30</f>
        <v>13315.65</v>
      </c>
      <c r="E31" s="729">
        <f>E27+E30</f>
        <v>41293.960000000006</v>
      </c>
      <c r="F31" s="730">
        <f>F27+F30</f>
        <v>25919.38</v>
      </c>
      <c r="G31" s="731">
        <f>G27+G30</f>
        <v>15374.580000000002</v>
      </c>
      <c r="H31" s="1391"/>
      <c r="I31" s="1391"/>
      <c r="J31" s="1391"/>
      <c r="K31" s="1391"/>
      <c r="L31" s="1391"/>
      <c r="M31" s="1391"/>
      <c r="N31" s="1391"/>
      <c r="O31" s="1391"/>
      <c r="P31" s="1391"/>
    </row>
    <row r="32" spans="1:19">
      <c r="A32" s="2231"/>
      <c r="B32" s="2231" t="s">
        <v>1966</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9" sqref="N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1967</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1968</v>
      </c>
      <c r="B2" s="1265">
        <f>项目基本情况!D3</f>
        <v>43100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1969</v>
      </c>
      <c r="B4" s="2278"/>
      <c r="C4" s="2279"/>
      <c r="D4" s="2280"/>
      <c r="E4" s="2279" t="s">
        <v>1970</v>
      </c>
      <c r="F4" s="2279"/>
      <c r="G4" s="2279"/>
      <c r="H4" s="2279"/>
      <c r="I4" s="2279"/>
      <c r="J4" s="2281"/>
      <c r="K4" s="2282"/>
      <c r="L4" s="2283"/>
      <c r="M4" s="2279"/>
      <c r="N4" s="2279" t="s">
        <v>1971</v>
      </c>
      <c r="O4" s="2279"/>
      <c r="P4" s="2279"/>
      <c r="Q4" s="2279"/>
      <c r="R4" s="2279"/>
      <c r="S4" s="2281"/>
      <c r="T4" s="2284" t="str">
        <f>'数据-汇总表'!I17</f>
        <v>按面积比例</v>
      </c>
      <c r="U4" s="2278" t="s">
        <v>1972</v>
      </c>
      <c r="V4" s="2279"/>
      <c r="W4" s="2279"/>
      <c r="X4" s="2279"/>
      <c r="Y4" s="2281"/>
      <c r="Z4" s="2242" t="s">
        <v>1973</v>
      </c>
      <c r="AA4" s="2242"/>
      <c r="AB4" s="2242"/>
      <c r="AC4" s="2242"/>
      <c r="AD4" s="2242"/>
      <c r="AE4" s="2240" t="s">
        <v>1974</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1975</v>
      </c>
      <c r="B5" s="2287" t="s">
        <v>1976</v>
      </c>
      <c r="C5" s="2288" t="s">
        <v>1977</v>
      </c>
      <c r="D5" s="2289" t="s">
        <v>1978</v>
      </c>
      <c r="E5" s="1267" t="s">
        <v>1979</v>
      </c>
      <c r="F5" s="2290" t="s">
        <v>1980</v>
      </c>
      <c r="G5" s="1267" t="s">
        <v>1981</v>
      </c>
      <c r="H5" s="1267" t="s">
        <v>1982</v>
      </c>
      <c r="I5" s="1267" t="s">
        <v>1983</v>
      </c>
      <c r="J5" s="2291" t="s">
        <v>1984</v>
      </c>
      <c r="K5" s="2292" t="s">
        <v>1985</v>
      </c>
      <c r="L5" s="2293" t="s">
        <v>1986</v>
      </c>
      <c r="M5" s="2294" t="s">
        <v>1987</v>
      </c>
      <c r="N5" s="2295" t="s">
        <v>3150</v>
      </c>
      <c r="O5" s="2293" t="s">
        <v>1988</v>
      </c>
      <c r="P5" s="2296" t="s">
        <v>1989</v>
      </c>
      <c r="Q5" s="69" t="s">
        <v>1990</v>
      </c>
      <c r="R5" s="2297" t="s">
        <v>1991</v>
      </c>
      <c r="S5" s="2298" t="s">
        <v>1992</v>
      </c>
      <c r="T5" s="2299" t="s">
        <v>1993</v>
      </c>
      <c r="U5" s="1266" t="s">
        <v>1994</v>
      </c>
      <c r="V5" s="1267" t="s">
        <v>1995</v>
      </c>
      <c r="W5" s="1267" t="s">
        <v>1996</v>
      </c>
      <c r="X5" s="71"/>
      <c r="Y5" s="70" t="s">
        <v>1997</v>
      </c>
      <c r="Z5" s="2300" t="s">
        <v>1994</v>
      </c>
      <c r="AA5" s="1267" t="s">
        <v>1995</v>
      </c>
      <c r="AB5" s="1267" t="s">
        <v>1996</v>
      </c>
      <c r="AC5" s="71"/>
      <c r="AD5" s="71" t="s">
        <v>1997</v>
      </c>
      <c r="AE5" s="1266" t="s">
        <v>1998</v>
      </c>
      <c r="AF5" s="1267" t="s">
        <v>1999</v>
      </c>
      <c r="AG5" s="70" t="s">
        <v>2000</v>
      </c>
      <c r="AH5" s="1266" t="s">
        <v>2001</v>
      </c>
      <c r="AI5" s="2300" t="s">
        <v>2002</v>
      </c>
      <c r="AJ5" s="2300" t="s">
        <v>2003</v>
      </c>
      <c r="AK5" s="1267" t="s">
        <v>2004</v>
      </c>
      <c r="AL5" s="1267" t="s">
        <v>2005</v>
      </c>
      <c r="AM5" s="70" t="s">
        <v>2006</v>
      </c>
      <c r="AN5" s="2301" t="s">
        <v>2007</v>
      </c>
      <c r="AO5" s="2072" t="s">
        <v>2008</v>
      </c>
      <c r="AP5" s="1248" t="s">
        <v>2009</v>
      </c>
      <c r="AQ5" s="2302" t="s">
        <v>2010</v>
      </c>
      <c r="AR5" s="2302"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58987</v>
      </c>
      <c r="F6" s="72">
        <f>SUMIF(项目基本情况!D$12:I$12,C6,项目基本情况!D$15:I$15)</f>
        <v>43.52</v>
      </c>
      <c r="G6" s="73">
        <f>IF(ISERROR(ROUND(POWER(1+H6,D6-F6)*(POWER(1+H6,F6)-1)/(POWER(1+H6,D6)-1),3)),0,ROUND(POWER(1+H6,D6-F6)*(POWER(1+H6,F6)-1)/(POWER(1+H6,D6)-1),3))</f>
        <v>0.95899999999999996</v>
      </c>
      <c r="H6" s="802">
        <v>4.4999999999999998E-2</v>
      </c>
      <c r="I6" s="802">
        <v>0.05</v>
      </c>
      <c r="J6" s="74">
        <v>0.09</v>
      </c>
      <c r="K6" s="1250">
        <f>SUMIF('数据-汇总表'!C$19:C$33,A6,'数据-汇总表'!E$19:E$33)</f>
        <v>25919.38</v>
      </c>
      <c r="L6" s="803">
        <v>3200</v>
      </c>
      <c r="M6" s="75">
        <f t="shared" ref="M6:M14" si="0">ROUND(K6*L6/10000,0)</f>
        <v>8294</v>
      </c>
      <c r="N6" s="801">
        <v>0.93</v>
      </c>
      <c r="O6" s="75" t="str">
        <f>IF($N$5="成新度","——",ROUND(M6*N6,0))</f>
        <v>——</v>
      </c>
      <c r="P6" s="76" t="str">
        <f>IF($N$5="成新度","——",M6-O6)</f>
        <v>——</v>
      </c>
      <c r="Q6" s="804">
        <v>0.25</v>
      </c>
      <c r="R6" s="77">
        <f ca="1">SUMIF('数据-汇总表'!C$19:C$33,A6,'数据-汇总表'!R$19:R$27)</f>
        <v>8357.9599999999991</v>
      </c>
      <c r="S6" s="54">
        <f>IF('数据-汇总表'!$I$17="按面积比例",SUMIF('数据-汇总表'!C$19:C$33,A6,'数据-汇总表'!K$19:K$33),SUMIF('数据-汇总表'!C$19:C$33,A6,'数据-汇总表'!N$19:N$33))</f>
        <v>0</v>
      </c>
      <c r="T6" s="1442">
        <f>ROUND($L$14*S6/10000,0)</f>
        <v>0</v>
      </c>
      <c r="U6" s="78">
        <v>5.5</v>
      </c>
      <c r="V6" s="79">
        <v>0.03</v>
      </c>
      <c r="W6" s="79">
        <v>0.1</v>
      </c>
      <c r="X6" s="1260"/>
      <c r="Y6" s="80">
        <v>0.93</v>
      </c>
      <c r="Z6" s="81"/>
      <c r="AA6" s="74"/>
      <c r="AB6" s="74"/>
      <c r="AC6" s="1260"/>
      <c r="AD6" s="82"/>
      <c r="AE6" s="1261">
        <f ca="1">IF(AN6="",0,SUMIF(INDIRECT("'"&amp;AN6&amp;"'"&amp;"!E:E"),$AE$5,INDIRECT("'"&amp;AN6&amp;"'"&amp;"!F:F")))</f>
        <v>43.52</v>
      </c>
      <c r="AF6" s="1803"/>
      <c r="AG6" s="147">
        <f>IF(AF6="",0,AE6-AF6)</f>
        <v>0</v>
      </c>
      <c r="AH6" s="83"/>
      <c r="AI6" s="85">
        <v>365</v>
      </c>
      <c r="AJ6" s="86"/>
      <c r="AK6" s="87">
        <v>1.4999999999999999E-2</v>
      </c>
      <c r="AL6" s="88">
        <v>1.5E-3</v>
      </c>
      <c r="AM6" s="89">
        <v>0.02</v>
      </c>
      <c r="AN6" s="2306" t="s">
        <v>3163</v>
      </c>
      <c r="AO6" s="55">
        <f ca="1">SUMIF(INDIRECT("'"&amp;AN6&amp;"'"&amp;"!A:A"),"总价",INDIRECT("'"&amp;AN6&amp;"'"&amp;"!B:B"))</f>
        <v>113521</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仓储</v>
      </c>
      <c r="B7" s="2304" t="str">
        <f t="shared" ref="B7:B13" si="1">IF(A7=0,"","经营性")</f>
        <v>经营性</v>
      </c>
      <c r="C7" s="2305" t="s">
        <v>3068</v>
      </c>
      <c r="D7" s="1050">
        <f>SUMIF(项目基本情况!D$12:I$12,C7,项目基本情况!D$14:I$14)</f>
        <v>50</v>
      </c>
      <c r="E7" s="1047">
        <f>IF(B7="","",SUMIF(项目基本情况!D$12:I$12,C7,项目基本情况!D$13:I$13))</f>
        <v>58987</v>
      </c>
      <c r="F7" s="72">
        <f>SUMIF(项目基本情况!D$12:I$12,C7,项目基本情况!D$15:I$15)</f>
        <v>43.52</v>
      </c>
      <c r="G7" s="73">
        <f t="shared" ref="G7:G11" si="2">IF(ISERROR(ROUND(POWER(1+H7,D7-F7)*(POWER(1+H7,F7)-1)/(POWER(1+H7,D7)-1),3)),0,ROUND(POWER(1+H7,D7-F7)*(POWER(1+H7,F7)-1)/(POWER(1+H7,D7)-1),3))</f>
        <v>0.95299999999999996</v>
      </c>
      <c r="H7" s="802">
        <v>0.04</v>
      </c>
      <c r="I7" s="802">
        <v>4.4999999999999998E-2</v>
      </c>
      <c r="J7" s="74">
        <v>0.09</v>
      </c>
      <c r="K7" s="1250">
        <f>SUMIF('数据-汇总表'!C$19:C$33,A7,'数据-汇总表'!E$19:E$33)</f>
        <v>8246.2800000000007</v>
      </c>
      <c r="L7" s="803">
        <v>3000</v>
      </c>
      <c r="M7" s="75">
        <f t="shared" si="0"/>
        <v>2474</v>
      </c>
      <c r="N7" s="801">
        <v>0.93</v>
      </c>
      <c r="O7" s="75" t="str">
        <f t="shared" ref="O7:O14" si="3">IF($N$5="成新度","——",ROUND(M7*N7,0))</f>
        <v>——</v>
      </c>
      <c r="P7" s="76" t="str">
        <f t="shared" ref="P7:P14" si="4">IF($N$5="成新度","——",M7-O7)</f>
        <v>——</v>
      </c>
      <c r="Q7" s="804">
        <v>0.25</v>
      </c>
      <c r="R7" s="77">
        <f ca="1">SUMIF('数据-汇总表'!C$19:C$33,A7,'数据-汇总表'!R$19:R$27)</f>
        <v>2659.1</v>
      </c>
      <c r="S7" s="54">
        <f>IF('数据-汇总表'!$I$17="按面积比例",SUMIF('数据-汇总表'!C$19:C$33,A7,'数据-汇总表'!K$19:K$33),SUMIF('数据-汇总表'!C$19:C$33,A7,'数据-汇总表'!N$19:N$33))</f>
        <v>0</v>
      </c>
      <c r="T7" s="1442">
        <f t="shared" ref="T7:T13" si="5">ROUND($L$14*S7/10000,0)</f>
        <v>0</v>
      </c>
      <c r="U7" s="78">
        <v>5.3</v>
      </c>
      <c r="V7" s="79">
        <v>3.5000000000000003E-2</v>
      </c>
      <c r="W7" s="79">
        <v>0.1</v>
      </c>
      <c r="X7" s="1260"/>
      <c r="Y7" s="80">
        <v>0.93</v>
      </c>
      <c r="Z7" s="81"/>
      <c r="AA7" s="74"/>
      <c r="AB7" s="74"/>
      <c r="AC7" s="1260"/>
      <c r="AD7" s="82"/>
      <c r="AE7" s="1261">
        <f t="shared" ref="AE7:AE13" ca="1" si="6">IF(AN7="",0,SUMIF(INDIRECT("'"&amp;AN7&amp;"'"&amp;"!E:E"),$AE$5,INDIRECT("'"&amp;AN7&amp;"'"&amp;"!F:F")))</f>
        <v>43.52</v>
      </c>
      <c r="AF7" s="1803"/>
      <c r="AG7" s="147">
        <f t="shared" ref="AG7:AG13" si="7">IF(AF7="",0,AE7-AF7)</f>
        <v>0</v>
      </c>
      <c r="AH7" s="83"/>
      <c r="AI7" s="85">
        <v>365</v>
      </c>
      <c r="AJ7" s="86"/>
      <c r="AK7" s="87">
        <v>1.4999999999999999E-2</v>
      </c>
      <c r="AL7" s="88">
        <v>1.5E-3</v>
      </c>
      <c r="AM7" s="89">
        <v>1.4999999999999999E-2</v>
      </c>
      <c r="AN7" s="2306" t="s">
        <v>3165</v>
      </c>
      <c r="AO7" s="55">
        <f t="shared" ref="AO7:AO13" ca="1" si="8">SUMIF(INDIRECT("'"&amp;AN7&amp;"'"&amp;"!A:A"),"总价",INDIRECT("'"&amp;AN7&amp;"'"&amp;"!B:B"))</f>
        <v>42302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t="str">
        <f>'数据-汇总表'!C21</f>
        <v>车库</v>
      </c>
      <c r="B8" s="2304" t="str">
        <f t="shared" si="1"/>
        <v>经营性</v>
      </c>
      <c r="C8" s="2305" t="s">
        <v>3069</v>
      </c>
      <c r="D8" s="1050">
        <f>SUMIF(项目基本情况!D$12:I$12,C8,项目基本情况!D$14:I$14)</f>
        <v>50</v>
      </c>
      <c r="E8" s="1047">
        <f>IF(B8="","",SUMIF(项目基本情况!D$12:I$12,C8,项目基本情况!D$13:I$13))</f>
        <v>58987</v>
      </c>
      <c r="F8" s="72">
        <f>SUMIF(项目基本情况!D$12:I$12,C8,项目基本情况!D$15:I$15)</f>
        <v>43.52</v>
      </c>
      <c r="G8" s="73">
        <f t="shared" si="2"/>
        <v>0.95299999999999996</v>
      </c>
      <c r="H8" s="802">
        <v>0.04</v>
      </c>
      <c r="I8" s="802">
        <v>4.4999999999999998E-2</v>
      </c>
      <c r="J8" s="74">
        <v>0.09</v>
      </c>
      <c r="K8" s="1250">
        <f>SUMIF('数据-汇总表'!C$19:C$33,A8,'数据-汇总表'!E$19:E$33)</f>
        <v>7128.3</v>
      </c>
      <c r="L8" s="803">
        <v>2500</v>
      </c>
      <c r="M8" s="75">
        <f>ROUND(K8*L8/10000,0)</f>
        <v>1782</v>
      </c>
      <c r="N8" s="801">
        <v>0.93</v>
      </c>
      <c r="O8" s="75" t="str">
        <f t="shared" si="3"/>
        <v>——</v>
      </c>
      <c r="P8" s="76" t="str">
        <f t="shared" si="4"/>
        <v>——</v>
      </c>
      <c r="Q8" s="804">
        <v>0.15</v>
      </c>
      <c r="R8" s="77">
        <f ca="1">SUMIF('数据-汇总表'!C$19:C$33,A8,'数据-汇总表'!R$19:R$27)</f>
        <v>2298.59</v>
      </c>
      <c r="S8" s="54">
        <f>IF('数据-汇总表'!$I$17="按面积比例",SUMIF('数据-汇总表'!C$19:C$33,A8,'数据-汇总表'!K$19:K$33),SUMIF('数据-汇总表'!C$19:C$33,A8,'数据-汇总表'!N$19:N$33))</f>
        <v>0</v>
      </c>
      <c r="T8" s="1442">
        <f t="shared" si="5"/>
        <v>0</v>
      </c>
      <c r="U8" s="805">
        <v>1.2</v>
      </c>
      <c r="V8" s="806">
        <v>0.03</v>
      </c>
      <c r="W8" s="806">
        <v>0.05</v>
      </c>
      <c r="X8" s="1260"/>
      <c r="Y8" s="80">
        <v>0.93</v>
      </c>
      <c r="Z8" s="81"/>
      <c r="AA8" s="74"/>
      <c r="AB8" s="74"/>
      <c r="AC8" s="1260"/>
      <c r="AD8" s="82"/>
      <c r="AE8" s="1261">
        <f t="shared" ca="1" si="6"/>
        <v>43.52</v>
      </c>
      <c r="AF8" s="1803"/>
      <c r="AG8" s="147">
        <f t="shared" si="7"/>
        <v>0</v>
      </c>
      <c r="AH8" s="807"/>
      <c r="AI8" s="85">
        <v>365</v>
      </c>
      <c r="AJ8" s="86"/>
      <c r="AK8" s="87">
        <v>1.4999999999999999E-2</v>
      </c>
      <c r="AL8" s="88">
        <v>1.5E-3</v>
      </c>
      <c r="AM8" s="89">
        <v>1.4999999999999999E-2</v>
      </c>
      <c r="AN8" s="2306" t="s">
        <v>3167</v>
      </c>
      <c r="AO8" s="55">
        <f t="shared" ca="1" si="8"/>
        <v>6470</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2012</v>
      </c>
      <c r="B14" s="2304" t="s">
        <v>2013</v>
      </c>
      <c r="C14" s="2309" t="s">
        <v>2012</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2014</v>
      </c>
      <c r="B15" s="2304" t="s">
        <v>2013</v>
      </c>
      <c r="C15" s="2309" t="s">
        <v>2015</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2016</v>
      </c>
      <c r="B16" s="97"/>
      <c r="C16" s="1004"/>
      <c r="D16" s="2311"/>
      <c r="E16" s="97"/>
      <c r="F16" s="97"/>
      <c r="G16" s="98">
        <f>ROUND(SUMPRODUCT(G6:G13,K6:K13)/SUMPRODUCT((G6:G13&gt;0)*(K6:K13)),3)</f>
        <v>0.95699999999999996</v>
      </c>
      <c r="H16" s="99">
        <f>ROUND(SUMPRODUCT(H6:H13,K6:K13)/SUMPRODUCT((H6:H13&gt;0)*(K6:K13)),3)</f>
        <v>4.2999999999999997E-2</v>
      </c>
      <c r="I16" s="100"/>
      <c r="J16" s="100"/>
      <c r="K16" s="101">
        <f>SUM(K6:K15)</f>
        <v>41293.960000000006</v>
      </c>
      <c r="L16" s="102">
        <f>ROUND(M16*10000/SUM(K6:K14),0)</f>
        <v>3039</v>
      </c>
      <c r="M16" s="102">
        <f>SUM(M6:M14)</f>
        <v>12550</v>
      </c>
      <c r="N16" s="103">
        <f>ROUND(SUMPRODUCT(M6:M14,N6:N14)/M16,3)</f>
        <v>0.93</v>
      </c>
      <c r="O16" s="102">
        <f>SUM(O6:O14)</f>
        <v>0</v>
      </c>
      <c r="P16" s="102">
        <f>SUM(P6:P14)</f>
        <v>0</v>
      </c>
      <c r="Q16" s="104">
        <f>ROUND(SUMPRODUCT(Q6:Q13,K6:K13)/SUMPRODUCT((Q6:Q13&gt;0)*(K6:K13)),2)</f>
        <v>0.23</v>
      </c>
      <c r="R16" s="1254">
        <f ca="1">SUM(R6:R13)</f>
        <v>13315.65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2018</v>
      </c>
      <c r="B19" s="112">
        <v>0</v>
      </c>
      <c r="C19" s="2274" t="s">
        <v>2019</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2020</v>
      </c>
      <c r="B20" s="113">
        <v>2</v>
      </c>
      <c r="C20" s="2274" t="s">
        <v>2021</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2022</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2023</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2024</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2025</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2026</v>
      </c>
      <c r="B26" s="2317" t="s">
        <v>2027</v>
      </c>
      <c r="C26" s="2318" t="s">
        <v>2028</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2029</v>
      </c>
      <c r="B27" s="116">
        <v>160</v>
      </c>
      <c r="C27" s="1763" t="s">
        <v>2030</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2031</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2032</v>
      </c>
      <c r="B29" s="121">
        <v>0</v>
      </c>
      <c r="C29" s="1763" t="s">
        <v>2033</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2034</v>
      </c>
      <c r="B30" s="724">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2035</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2036</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2037</v>
      </c>
      <c r="B33" s="726">
        <v>0.03</v>
      </c>
      <c r="C33" s="1762" t="s">
        <v>2038</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2039</v>
      </c>
      <c r="B34" s="122">
        <v>0.03</v>
      </c>
      <c r="C34" s="1762" t="s">
        <v>2040</v>
      </c>
      <c r="D34" s="2275" t="s">
        <v>2041</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2042</v>
      </c>
      <c r="B35" s="119">
        <v>200</v>
      </c>
      <c r="C35" s="1762" t="s">
        <v>2043</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2044</v>
      </c>
      <c r="B36" s="123">
        <v>1.4999999999999999E-2</v>
      </c>
      <c r="C36" s="1762" t="s">
        <v>2045</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2046</v>
      </c>
      <c r="B37" s="124">
        <v>0.03</v>
      </c>
      <c r="C37" s="1762" t="s">
        <v>2047</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2048</v>
      </c>
      <c r="B38" s="122">
        <v>0.03</v>
      </c>
      <c r="C38" s="1762" t="s">
        <v>2047</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2049</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2050</v>
      </c>
      <c r="B40" s="1299">
        <f ca="1">存贷款利率!G1</f>
        <v>4.7500000000000001E-2</v>
      </c>
      <c r="C40" s="1762" t="s">
        <v>2051</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2052</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2053</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2054</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2055</v>
      </c>
      <c r="B44" s="128">
        <v>7.0000000000000007E-2</v>
      </c>
      <c r="C44" s="1762" t="s">
        <v>2056</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2057</v>
      </c>
      <c r="B45" s="126">
        <v>0.03</v>
      </c>
      <c r="C45" s="1763" t="s">
        <v>2058</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2059</v>
      </c>
      <c r="B46" s="126">
        <v>0.02</v>
      </c>
      <c r="C46" s="1763" t="s">
        <v>2060</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2061</v>
      </c>
      <c r="B47" s="129"/>
      <c r="C47" s="1763" t="s">
        <v>2062</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2063</v>
      </c>
      <c r="B48" s="130">
        <v>0.03</v>
      </c>
      <c r="C48" s="1770" t="s">
        <v>2064</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2065</v>
      </c>
      <c r="B49" s="126">
        <v>5.0000000000000001E-4</v>
      </c>
      <c r="C49" s="1770" t="s">
        <v>2066</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2067</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2068</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2069</v>
      </c>
      <c r="B52" s="133">
        <f>SUMIF(A54:A63,B53,B54:B63)</f>
        <v>12</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2070</v>
      </c>
      <c r="B53" s="2333" t="s">
        <v>137</v>
      </c>
      <c r="C53" s="1426" t="s">
        <v>2071</v>
      </c>
      <c r="D53" s="2334" t="s">
        <v>2072</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2073</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2074</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2075</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2076</v>
      </c>
      <c r="B57" s="84">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2077</v>
      </c>
      <c r="B58" s="84"/>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2078</v>
      </c>
      <c r="B59" s="84"/>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2079</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2080</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2081</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2082</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90" t="s">
        <v>2083</v>
      </c>
      <c r="B1" s="3091"/>
      <c r="C1" s="3091"/>
      <c r="D1" s="3091"/>
      <c r="E1" s="3091"/>
      <c r="F1" s="3091"/>
      <c r="G1" s="309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5" t="s">
        <v>2086</v>
      </c>
      <c r="B3" s="1267" t="s">
        <v>2087</v>
      </c>
      <c r="C3" s="2367" t="s">
        <v>2088</v>
      </c>
      <c r="D3" s="2368"/>
      <c r="E3" s="431" t="s">
        <v>2086</v>
      </c>
      <c r="F3" s="2369" t="s">
        <v>2089</v>
      </c>
      <c r="G3" s="2370" t="s">
        <v>2090</v>
      </c>
      <c r="H3" s="2365"/>
      <c r="I3" s="2365"/>
      <c r="J3" s="2365"/>
      <c r="K3" s="2365"/>
      <c r="L3" s="2365"/>
      <c r="M3" s="2365"/>
      <c r="N3" s="2365"/>
      <c r="O3" s="2365"/>
      <c r="P3" s="2365"/>
      <c r="Q3" s="2365"/>
      <c r="R3" s="2365"/>
    </row>
    <row r="4" spans="1:29" ht="41.25">
      <c r="A4" s="431"/>
      <c r="B4" s="1794" t="s">
        <v>2091</v>
      </c>
      <c r="C4" s="2371" t="s">
        <v>2092</v>
      </c>
      <c r="D4" s="2368"/>
      <c r="E4" s="2372"/>
      <c r="F4" s="42" t="s">
        <v>2093</v>
      </c>
      <c r="G4" s="2373" t="s">
        <v>2094</v>
      </c>
      <c r="H4" s="2365"/>
      <c r="I4" s="2365"/>
      <c r="J4" s="2365"/>
      <c r="K4" s="2365"/>
      <c r="L4" s="2365"/>
      <c r="M4" s="2365"/>
      <c r="N4" s="2365"/>
      <c r="O4" s="2365"/>
      <c r="P4" s="2365"/>
      <c r="Q4" s="2365"/>
      <c r="R4" s="2365"/>
    </row>
    <row r="5" spans="1:29" ht="27">
      <c r="A5" s="431"/>
      <c r="B5" s="1794" t="s">
        <v>2095</v>
      </c>
      <c r="C5" s="2988" t="s">
        <v>3133</v>
      </c>
      <c r="D5" s="2368"/>
      <c r="E5" s="2372"/>
      <c r="F5" s="1794" t="s">
        <v>2096</v>
      </c>
      <c r="G5" s="2373" t="s">
        <v>2097</v>
      </c>
      <c r="H5" s="2365"/>
      <c r="I5" s="2365"/>
      <c r="J5" s="2365"/>
      <c r="K5" s="2365"/>
      <c r="L5" s="2365"/>
      <c r="M5" s="2365"/>
      <c r="N5" s="2365"/>
      <c r="O5" s="2365"/>
      <c r="P5" s="2365"/>
      <c r="Q5" s="2365"/>
      <c r="R5" s="2365"/>
    </row>
    <row r="6" spans="1:29" ht="40.5">
      <c r="A6" s="431"/>
      <c r="B6" s="1794" t="s">
        <v>2098</v>
      </c>
      <c r="C6" s="2989" t="s">
        <v>3132</v>
      </c>
      <c r="D6" s="2368"/>
      <c r="E6" s="2372"/>
      <c r="F6" s="1794" t="s">
        <v>2099</v>
      </c>
      <c r="G6" s="2373" t="s">
        <v>2100</v>
      </c>
      <c r="H6" s="2365"/>
      <c r="I6" s="2365"/>
      <c r="J6" s="2365"/>
      <c r="K6" s="2365"/>
      <c r="L6" s="2365"/>
      <c r="M6" s="2365"/>
      <c r="N6" s="2365"/>
      <c r="O6" s="2365"/>
      <c r="P6" s="2365"/>
      <c r="Q6" s="2365"/>
      <c r="R6" s="2365"/>
    </row>
    <row r="7" spans="1:29" ht="41.25" thickBot="1">
      <c r="A7" s="431"/>
      <c r="B7" s="1794" t="s">
        <v>2096</v>
      </c>
      <c r="C7" s="2989" t="s">
        <v>3131</v>
      </c>
      <c r="D7" s="2374"/>
      <c r="E7" s="2375"/>
      <c r="F7" s="2376" t="s">
        <v>2101</v>
      </c>
      <c r="G7" s="2377" t="s">
        <v>2102</v>
      </c>
      <c r="H7" s="2365"/>
      <c r="I7" s="2365"/>
      <c r="J7" s="2365"/>
      <c r="K7" s="2365"/>
      <c r="L7" s="2365"/>
      <c r="M7" s="2365"/>
      <c r="N7" s="2365"/>
      <c r="O7" s="2365"/>
      <c r="P7" s="2365"/>
      <c r="Q7" s="2365"/>
      <c r="R7" s="2365"/>
    </row>
    <row r="8" spans="1:29" ht="27">
      <c r="A8" s="431"/>
      <c r="B8" s="1794" t="s">
        <v>2099</v>
      </c>
      <c r="C8" s="2989" t="s">
        <v>3130</v>
      </c>
      <c r="D8" s="2374"/>
      <c r="E8" s="2374"/>
      <c r="F8" s="1132"/>
      <c r="G8" s="1132"/>
      <c r="H8" s="2365"/>
      <c r="I8" s="2365"/>
      <c r="J8" s="2365"/>
      <c r="K8" s="2365"/>
      <c r="L8" s="2365"/>
      <c r="M8" s="2365"/>
      <c r="N8" s="2365"/>
      <c r="O8" s="2365"/>
      <c r="P8" s="2365"/>
      <c r="Q8" s="2365"/>
      <c r="R8" s="2365"/>
    </row>
    <row r="9" spans="1:29" ht="40.5">
      <c r="A9" s="431"/>
      <c r="B9" s="1794" t="s">
        <v>2103</v>
      </c>
      <c r="C9" s="2988" t="s">
        <v>3129</v>
      </c>
      <c r="D9" s="2368"/>
      <c r="E9" s="2374"/>
      <c r="F9" s="1132"/>
      <c r="G9" s="1132"/>
      <c r="H9" s="2365"/>
      <c r="I9" s="2365"/>
      <c r="J9" s="2365"/>
      <c r="K9" s="2365"/>
      <c r="L9" s="2365"/>
      <c r="M9" s="2365"/>
      <c r="N9" s="2365"/>
      <c r="O9" s="2365"/>
      <c r="P9" s="2365"/>
      <c r="Q9" s="2365"/>
      <c r="R9" s="2365"/>
    </row>
    <row r="10" spans="1:29" s="117" customFormat="1" ht="15.75" thickBot="1">
      <c r="A10" s="2378"/>
      <c r="B10" s="2379" t="s">
        <v>2104</v>
      </c>
      <c r="C10" s="2990" t="s">
        <v>3135</v>
      </c>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2105</v>
      </c>
      <c r="B13" s="2384"/>
      <c r="C13" s="2384"/>
      <c r="D13" s="2391"/>
      <c r="E13" s="2384"/>
      <c r="F13" s="2384"/>
      <c r="G13" s="2384"/>
    </row>
    <row r="14" spans="1:29" ht="15.75" thickBot="1">
      <c r="A14" s="2395"/>
      <c r="B14" s="2396"/>
      <c r="C14" s="2397" t="s">
        <v>2106</v>
      </c>
      <c r="D14" s="2368"/>
      <c r="E14" s="2398"/>
      <c r="F14" s="2398"/>
      <c r="G14" s="2362" t="s">
        <v>2107</v>
      </c>
    </row>
    <row r="15" spans="1:29" ht="57">
      <c r="A15" s="68" t="s">
        <v>2108</v>
      </c>
      <c r="B15" s="1266" t="s">
        <v>2087</v>
      </c>
      <c r="C15" s="2399" t="str">
        <f>C3</f>
        <v>估价对象周边居住用地比例、居住小区规模和社区发展完善程度，综合评价居住社区成熟度一般</v>
      </c>
      <c r="D15" s="2368"/>
      <c r="E15" s="2400" t="s">
        <v>2109</v>
      </c>
      <c r="F15" s="1266" t="s">
        <v>2110</v>
      </c>
      <c r="G15" s="135" t="str">
        <f>G3</f>
        <v>估价对象位于XX开发区，园区建设成熟度XX，产业集聚程度XX</v>
      </c>
    </row>
    <row r="16" spans="1:29" ht="42.75">
      <c r="A16" s="645"/>
      <c r="B16" s="2401" t="s">
        <v>2091</v>
      </c>
      <c r="C16" s="2402" t="str">
        <f>C4</f>
        <v>估价对象位于XX商圈，周边商业氛围成熟，人流量大，商业繁华度好</v>
      </c>
      <c r="D16" s="2368"/>
      <c r="E16" s="2403"/>
      <c r="F16" s="2404" t="s">
        <v>2093</v>
      </c>
      <c r="G16" s="136" t="str">
        <f>G4</f>
        <v>估价对象周边道路状况、公共交通通达情况、停车便捷程度，综合评价交通便捷度较好</v>
      </c>
    </row>
    <row r="17" spans="1:18" ht="28.5">
      <c r="A17" s="645"/>
      <c r="B17" s="2401" t="s">
        <v>2095</v>
      </c>
      <c r="C17" s="2402" t="str">
        <f>C5</f>
        <v>周边办公楼项目较多，入驻率高，办公集聚程度较好</v>
      </c>
      <c r="D17" s="2374"/>
      <c r="E17" s="2403"/>
      <c r="F17" s="2404" t="s">
        <v>2111</v>
      </c>
      <c r="G17" s="1568"/>
    </row>
    <row r="18" spans="1:18" ht="42.75">
      <c r="A18" s="645"/>
      <c r="B18" s="2404" t="s">
        <v>2098</v>
      </c>
      <c r="C18" s="136" t="str">
        <f>C6</f>
        <v>估价对象周边道路通达、公共交通便捷、停车便捷，综合评价交通便捷度较好</v>
      </c>
      <c r="D18" s="2374"/>
      <c r="E18" s="2403"/>
      <c r="F18" s="2404" t="s">
        <v>2101</v>
      </c>
      <c r="G18" s="136" t="str">
        <f>G7</f>
        <v>该园区内是否有污染型企业，绿化情况，卫生条件，整体环境状况判断</v>
      </c>
    </row>
    <row r="19" spans="1:18" ht="28.5">
      <c r="A19" s="645"/>
      <c r="B19" s="2404" t="s">
        <v>2112</v>
      </c>
      <c r="C19" s="1568"/>
      <c r="D19" s="2368"/>
      <c r="E19" s="2403"/>
      <c r="F19" s="1794" t="s">
        <v>2096</v>
      </c>
      <c r="G19" s="136" t="str">
        <f>G5</f>
        <v>估价对象所在区域公共配套设施齐备情况</v>
      </c>
    </row>
    <row r="20" spans="1:18" ht="42.75">
      <c r="A20" s="645"/>
      <c r="B20" s="2404" t="s">
        <v>2113</v>
      </c>
      <c r="C20" s="2402" t="str">
        <f>C9</f>
        <v>区域自然环境较好；人文环境一般；综合评价环境状况较好</v>
      </c>
      <c r="D20" s="2374"/>
      <c r="E20" s="2403"/>
      <c r="F20" s="1794" t="s">
        <v>2114</v>
      </c>
      <c r="G20" s="136" t="str">
        <f>G6</f>
        <v>估价对象所在区域基础设施水平</v>
      </c>
    </row>
    <row r="21" spans="1:18" ht="28.5">
      <c r="A21" s="645"/>
      <c r="B21" s="1794" t="s">
        <v>2096</v>
      </c>
      <c r="C21" s="136" t="str">
        <f>C7</f>
        <v>估价对象所在区域公共配套设施较齐备</v>
      </c>
      <c r="D21" s="2368"/>
      <c r="E21" s="2403"/>
      <c r="F21" s="2404" t="s">
        <v>2115</v>
      </c>
      <c r="G21" s="2405"/>
    </row>
    <row r="22" spans="1:18" ht="13.5" customHeight="1">
      <c r="A22" s="645"/>
      <c r="B22" s="1794" t="s">
        <v>2099</v>
      </c>
      <c r="C22" s="136" t="str">
        <f>C8</f>
        <v>估价对象所在区域基础设施水平达七通</v>
      </c>
      <c r="D22" s="2368"/>
      <c r="E22" s="2403"/>
      <c r="F22" s="2404" t="s">
        <v>2104</v>
      </c>
      <c r="G22" s="1568"/>
    </row>
    <row r="23" spans="1:18" s="2365" customFormat="1" ht="15.75" thickBot="1">
      <c r="A23" s="645"/>
      <c r="B23" s="2404" t="s">
        <v>2115</v>
      </c>
      <c r="C23" s="2405" t="s">
        <v>3134</v>
      </c>
      <c r="D23" s="2392"/>
      <c r="E23" s="2406"/>
      <c r="F23" s="2407" t="s">
        <v>2116</v>
      </c>
      <c r="G23" s="2408"/>
      <c r="H23" s="2392"/>
      <c r="I23" s="2393"/>
      <c r="J23" s="2392"/>
      <c r="K23" s="2392"/>
      <c r="L23" s="2393"/>
      <c r="M23" s="2392"/>
      <c r="N23" s="2392"/>
      <c r="O23" s="2393"/>
      <c r="P23" s="2392"/>
      <c r="Q23" s="2392"/>
      <c r="R23" s="2394"/>
    </row>
    <row r="24" spans="1:18" s="2365" customFormat="1" ht="15.75" thickBot="1">
      <c r="A24" s="2409"/>
      <c r="B24" s="2407" t="s">
        <v>2117</v>
      </c>
      <c r="C24" s="137" t="str">
        <f>C10</f>
        <v>支路——东北旺路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D1" workbookViewId="0">
      <selection activeCell="G17" sqref="G17"/>
    </sheetView>
  </sheetViews>
  <sheetFormatPr defaultRowHeight="13.5"/>
  <cols>
    <col min="1" max="1" width="23.375" style="1737" customWidth="1"/>
    <col min="2" max="9" width="15.75" style="1737" customWidth="1"/>
    <col min="10" max="16384" width="9" style="1737"/>
  </cols>
  <sheetData>
    <row r="1" spans="1:10" ht="16.5">
      <c r="A1" s="1742" t="s">
        <v>1365</v>
      </c>
      <c r="B1" s="1742">
        <f>SUM(B14:B23)</f>
        <v>41293.960000000006</v>
      </c>
      <c r="C1" s="1741"/>
      <c r="D1" s="1741"/>
      <c r="E1" s="1741"/>
      <c r="F1" s="1741"/>
      <c r="G1" s="1739"/>
    </row>
    <row r="2" spans="1:10" ht="16.5">
      <c r="A2" s="1742" t="s">
        <v>1353</v>
      </c>
      <c r="B2" s="1742">
        <f>SUM(C14:C23)</f>
        <v>13315.65</v>
      </c>
      <c r="C2" s="1741"/>
      <c r="D2" s="1741"/>
      <c r="E2" s="1741"/>
      <c r="F2" s="1741"/>
      <c r="G2" s="1739"/>
    </row>
    <row r="3" spans="1:10" ht="16.5">
      <c r="A3" s="1742" t="s">
        <v>1362</v>
      </c>
      <c r="B3" s="1743">
        <f>项目基本情况!D3</f>
        <v>43100</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145208</v>
      </c>
      <c r="C5" s="1742">
        <f ca="1">ROUND(B5*10000/$B$1,0)</f>
        <v>35164</v>
      </c>
      <c r="D5" s="1742">
        <f ca="1">ROUND(B5*10000/$B$2,0)</f>
        <v>109051</v>
      </c>
      <c r="E5" s="1741"/>
      <c r="F5" s="1739"/>
      <c r="G5" s="1739"/>
    </row>
    <row r="6" spans="1:10" ht="16.5">
      <c r="A6" s="1742" t="s">
        <v>1356</v>
      </c>
      <c r="B6" s="1742">
        <f ca="1">SUM(G14:G23)</f>
        <v>145208</v>
      </c>
      <c r="C6" s="1742">
        <f ca="1">ROUND(B6*10000/$B$1,0)</f>
        <v>35164</v>
      </c>
      <c r="D6" s="1742">
        <f ca="1">ROUND(B6*10000/$B$2,0)</f>
        <v>109051</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结果表仓储!B118</f>
        <v>8246.2800000000007</v>
      </c>
      <c r="C14" s="1740">
        <f>结果表仓储!C118</f>
        <v>2659.1</v>
      </c>
      <c r="D14" s="1740">
        <f ca="1">结果表仓储!H118</f>
        <v>25728</v>
      </c>
      <c r="E14" s="1740">
        <f ca="1">ROUND(D14*10000/B14,0)</f>
        <v>31200</v>
      </c>
      <c r="F14" s="1740">
        <f ca="1">ROUND(D14*10000/C14,0)</f>
        <v>96755</v>
      </c>
      <c r="G14" s="1740">
        <f ca="1">结果表仓储!D122</f>
        <v>25728</v>
      </c>
      <c r="H14" s="1740" t="str">
        <f>结果表仓储!D124</f>
        <v>——</v>
      </c>
      <c r="I14" s="1740" t="str">
        <f>结果表仓储!D126</f>
        <v>——</v>
      </c>
      <c r="J14" s="1739"/>
    </row>
    <row r="15" spans="1:10" ht="16.5">
      <c r="A15" s="1738" t="s">
        <v>1349</v>
      </c>
      <c r="B15" s="1745">
        <f>'数据-汇总表'!F19</f>
        <v>25919.38</v>
      </c>
      <c r="C15" s="1745">
        <f>'数据-汇总表'!D19</f>
        <v>8357.9599999999991</v>
      </c>
      <c r="D15" s="1745">
        <f ca="1">结果表办公!G19</f>
        <v>113243</v>
      </c>
      <c r="E15" s="1740">
        <f t="shared" ref="E15:E23" ca="1" si="0">ROUND(D15*10000/B15,0)</f>
        <v>43690</v>
      </c>
      <c r="F15" s="1740">
        <f t="shared" ref="F15:F23" ca="1" si="1">ROUND(D15*10000/C15,0)</f>
        <v>135491</v>
      </c>
      <c r="G15" s="1746">
        <f ca="1">D15</f>
        <v>113243</v>
      </c>
      <c r="H15" s="1746"/>
      <c r="I15" s="1745"/>
      <c r="J15" s="1739"/>
    </row>
    <row r="16" spans="1:10" ht="16.5">
      <c r="A16" s="1738" t="s">
        <v>1348</v>
      </c>
      <c r="B16" s="1745">
        <f>'数据-汇总表'!G21</f>
        <v>7128.3</v>
      </c>
      <c r="C16" s="1745">
        <f>'数据-汇总表'!D21</f>
        <v>2298.59</v>
      </c>
      <c r="D16" s="1745">
        <f ca="1">结果表车库!G19</f>
        <v>6237</v>
      </c>
      <c r="E16" s="1740">
        <f t="shared" ca="1" si="0"/>
        <v>8750</v>
      </c>
      <c r="F16" s="1740">
        <f t="shared" ca="1" si="1"/>
        <v>27134</v>
      </c>
      <c r="G16" s="1746">
        <f ca="1">D16</f>
        <v>6237</v>
      </c>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37" zoomScaleNormal="100" zoomScaleSheetLayoutView="100" zoomScalePageLayoutView="80" workbookViewId="0">
      <selection activeCell="D99" sqref="D9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27</v>
      </c>
      <c r="D1" s="2415"/>
      <c r="E1" s="2415"/>
      <c r="F1" s="2417" t="s">
        <v>2119</v>
      </c>
      <c r="G1" s="2068" t="s">
        <v>3059</v>
      </c>
      <c r="H1" s="2418" t="str">
        <f>IF(G1="现房","——","估价对象范围")</f>
        <v>——</v>
      </c>
      <c r="I1" s="2419" t="s">
        <v>3174</v>
      </c>
    </row>
    <row r="2" spans="1:12" ht="21.75" customHeight="1" thickBot="1">
      <c r="A2" s="3096" t="str">
        <f>项目基本情况!S2</f>
        <v>北京市房地产</v>
      </c>
      <c r="B2" s="3097"/>
      <c r="C2" s="3097"/>
      <c r="D2" s="3097"/>
      <c r="E2" s="3097"/>
      <c r="F2" s="3097"/>
      <c r="G2" s="3097"/>
      <c r="H2" s="3097"/>
      <c r="I2" s="3098"/>
    </row>
    <row r="3" spans="1:12" ht="12.75">
      <c r="A3" s="3099" t="s">
        <v>2120</v>
      </c>
      <c r="B3" s="3100"/>
      <c r="C3" s="3100"/>
      <c r="D3" s="3100"/>
      <c r="E3" s="3100"/>
      <c r="F3" s="3100"/>
      <c r="G3" s="3100"/>
      <c r="H3" s="3100"/>
      <c r="I3" s="3100"/>
    </row>
    <row r="4" spans="1:12" ht="14.25">
      <c r="A4" s="2422" t="s">
        <v>2121</v>
      </c>
      <c r="B4" s="2423" t="s">
        <v>2122</v>
      </c>
      <c r="C4" s="2424" t="s">
        <v>3175</v>
      </c>
      <c r="D4" s="2424" t="s">
        <v>3163</v>
      </c>
      <c r="E4" s="3101" t="s">
        <v>2123</v>
      </c>
      <c r="F4" s="3102"/>
      <c r="G4" s="3102"/>
      <c r="H4" s="3102"/>
      <c r="I4" s="3103"/>
      <c r="K4" s="2425" t="str">
        <f>IF(ISNUMBER(FIND("比较法",结果表办公!C4)),"比较法",IF(ISNUMBER(FIND("成本法",结果表办公!C4)),"成本法",IF(ISNUMBER(FIND("假设开发法",结果表办公!C4)),"假设开发法",IF(ISNUMBER(FIND("收益法",结果表办公!C4)),"收益法","基准地价系数修正法"))))</f>
        <v>比较法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92" t="s">
        <v>2124</v>
      </c>
      <c r="B5" s="3065">
        <v>25</v>
      </c>
      <c r="C5" s="3093"/>
      <c r="D5" s="3095"/>
      <c r="E5" s="140" t="s">
        <v>2125</v>
      </c>
      <c r="F5" s="2426"/>
      <c r="G5" s="2426"/>
      <c r="H5" s="2426"/>
      <c r="I5" s="1830"/>
    </row>
    <row r="6" spans="1:12" ht="12.75">
      <c r="A6" s="3092"/>
      <c r="B6" s="3065"/>
      <c r="C6" s="3104"/>
      <c r="D6" s="3095"/>
      <c r="E6" s="140" t="s">
        <v>2126</v>
      </c>
      <c r="F6" s="2426"/>
      <c r="G6" s="2426"/>
      <c r="H6" s="2426"/>
      <c r="I6" s="1830"/>
    </row>
    <row r="7" spans="1:12" ht="12.75">
      <c r="A7" s="3092"/>
      <c r="B7" s="3065"/>
      <c r="C7" s="3094"/>
      <c r="D7" s="3095"/>
      <c r="E7" s="140" t="s">
        <v>2127</v>
      </c>
      <c r="F7" s="2426"/>
      <c r="G7" s="2426"/>
      <c r="H7" s="2426"/>
      <c r="I7" s="1830"/>
    </row>
    <row r="8" spans="1:12" ht="12.75">
      <c r="A8" s="3092" t="s">
        <v>2128</v>
      </c>
      <c r="B8" s="3065">
        <v>15</v>
      </c>
      <c r="C8" s="3093"/>
      <c r="D8" s="3095"/>
      <c r="E8" s="140" t="s">
        <v>2129</v>
      </c>
      <c r="F8" s="2426"/>
      <c r="G8" s="2426"/>
      <c r="H8" s="2426"/>
      <c r="I8" s="1830"/>
    </row>
    <row r="9" spans="1:12" ht="12.75">
      <c r="A9" s="3092"/>
      <c r="B9" s="3065"/>
      <c r="C9" s="3094"/>
      <c r="D9" s="3095"/>
      <c r="E9" s="140" t="s">
        <v>2130</v>
      </c>
      <c r="F9" s="2426"/>
      <c r="G9" s="2426"/>
      <c r="H9" s="2426"/>
      <c r="I9" s="1830"/>
    </row>
    <row r="10" spans="1:12" ht="12.75">
      <c r="A10" s="3092" t="s">
        <v>2131</v>
      </c>
      <c r="B10" s="3065">
        <v>15</v>
      </c>
      <c r="C10" s="3093"/>
      <c r="D10" s="3095"/>
      <c r="E10" s="140" t="s">
        <v>2132</v>
      </c>
      <c r="F10" s="2426"/>
      <c r="G10" s="2426"/>
      <c r="H10" s="2426"/>
      <c r="I10" s="1830"/>
    </row>
    <row r="11" spans="1:12" ht="12.75">
      <c r="A11" s="3092"/>
      <c r="B11" s="3065"/>
      <c r="C11" s="3094"/>
      <c r="D11" s="3095"/>
      <c r="E11" s="140" t="s">
        <v>2133</v>
      </c>
      <c r="F11" s="2426"/>
      <c r="G11" s="2426"/>
      <c r="H11" s="2426"/>
      <c r="I11" s="1830"/>
    </row>
    <row r="12" spans="1:12" ht="12.75">
      <c r="A12" s="3092" t="s">
        <v>2134</v>
      </c>
      <c r="B12" s="3065">
        <v>15</v>
      </c>
      <c r="C12" s="3093"/>
      <c r="D12" s="3095"/>
      <c r="E12" s="140" t="s">
        <v>2135</v>
      </c>
      <c r="F12" s="2426"/>
      <c r="G12" s="2426"/>
      <c r="H12" s="2426"/>
      <c r="I12" s="1830"/>
    </row>
    <row r="13" spans="1:12" ht="12.75">
      <c r="A13" s="3092"/>
      <c r="B13" s="3065"/>
      <c r="C13" s="3094"/>
      <c r="D13" s="3095"/>
      <c r="E13" s="140" t="s">
        <v>2136</v>
      </c>
      <c r="F13" s="2426"/>
      <c r="G13" s="2426"/>
      <c r="H13" s="2426"/>
      <c r="I13" s="1830"/>
    </row>
    <row r="14" spans="1:12" ht="12.75">
      <c r="A14" s="3092" t="s">
        <v>2137</v>
      </c>
      <c r="B14" s="3065">
        <v>30</v>
      </c>
      <c r="C14" s="3093">
        <v>0.5</v>
      </c>
      <c r="D14" s="3095">
        <f>1-C14</f>
        <v>0.5</v>
      </c>
      <c r="E14" s="140" t="s">
        <v>2138</v>
      </c>
      <c r="F14" s="2426"/>
      <c r="G14" s="2426"/>
      <c r="H14" s="2426"/>
      <c r="I14" s="1830"/>
    </row>
    <row r="15" spans="1:12" ht="12.75">
      <c r="A15" s="3092"/>
      <c r="B15" s="3065"/>
      <c r="C15" s="3104"/>
      <c r="D15" s="3095"/>
      <c r="E15" s="140" t="s">
        <v>2139</v>
      </c>
      <c r="F15" s="2426"/>
      <c r="G15" s="2426"/>
      <c r="H15" s="2426"/>
      <c r="I15" s="1830"/>
    </row>
    <row r="16" spans="1:12" ht="12.75">
      <c r="A16" s="3092"/>
      <c r="B16" s="3065"/>
      <c r="C16" s="3094"/>
      <c r="D16" s="3095"/>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25919.38</v>
      </c>
      <c r="M18" s="2425">
        <f>IF(C1="",'数据-汇总表'!E3,SUMIF(项目类型,C1,'数据-汇总表'!E17:E26))</f>
        <v>25919.38</v>
      </c>
    </row>
    <row r="19" spans="1:35" ht="15">
      <c r="A19" s="2431" t="s">
        <v>2146</v>
      </c>
      <c r="B19" s="2432" t="s">
        <v>2147</v>
      </c>
      <c r="C19" s="143">
        <f ca="1">SUMIF(INDIRECT("'"&amp;C4&amp;"'"&amp;"!A:A"),结果表办公!B19,INDIRECT("'"&amp;C4&amp;"'"&amp;"!B:B"))</f>
        <v>112964</v>
      </c>
      <c r="D19" s="144">
        <f ca="1">SUMIF(INDIRECT("'"&amp;D4&amp;"'"&amp;"!A:A"),结果表办公!B19,INDIRECT("'"&amp;D4&amp;"'"&amp;"!B:B"))</f>
        <v>113521</v>
      </c>
      <c r="E19" s="2431" t="s">
        <v>2148</v>
      </c>
      <c r="F19" s="2432" t="s">
        <v>2147</v>
      </c>
      <c r="G19" s="145">
        <f ca="1">ROUND(C19*$C$18+D19*$D$18,0)</f>
        <v>113243</v>
      </c>
      <c r="H19" s="2433" t="s">
        <v>2149</v>
      </c>
      <c r="I19" s="138"/>
      <c r="K19" s="2425" t="s">
        <v>2150</v>
      </c>
      <c r="L19" s="2425">
        <f>IF(C1="",'数据-汇总表'!D3,SUMIF(项目类型,C1,'数据-汇总表'!D17:D26)+SUMIF(项目类型,C1,'数据-汇总表'!H17:H27))</f>
        <v>8357.9599999999991</v>
      </c>
      <c r="M19" s="2425">
        <f>IF(C1="",'数据-汇总表'!D3,SUMIF(项目类型,C1,'数据-汇总表'!D17:D26))</f>
        <v>8357.9599999999991</v>
      </c>
    </row>
    <row r="20" spans="1:35" ht="15">
      <c r="A20" s="2434"/>
      <c r="B20" s="1246" t="s">
        <v>2151</v>
      </c>
      <c r="C20" s="146">
        <f ca="1">SUMIF(INDIRECT("'"&amp;C4&amp;"'"&amp;"!A:A"),结果表办公!B20,INDIRECT("'"&amp;C4&amp;"'"&amp;"!B:B"))</f>
        <v>43583</v>
      </c>
      <c r="D20" s="147">
        <f ca="1">SUMIF(INDIRECT("'"&amp;D4&amp;"'"&amp;"!A:A"),结果表办公!B20,INDIRECT("'"&amp;D4&amp;"'"&amp;"!B:B"))</f>
        <v>43798</v>
      </c>
      <c r="E20" s="2434"/>
      <c r="F20" s="1246" t="s">
        <v>2151</v>
      </c>
      <c r="G20" s="148">
        <f ca="1">ROUND(C20*$C$18+D20*$D$18,0)</f>
        <v>43691</v>
      </c>
      <c r="H20" s="979" t="s">
        <v>2152</v>
      </c>
      <c r="I20" s="138"/>
    </row>
    <row r="21" spans="1:35" ht="15" customHeight="1" thickBot="1">
      <c r="A21" s="999"/>
      <c r="B21" s="2435" t="s">
        <v>2153</v>
      </c>
      <c r="C21" s="789">
        <f ca="1">ROUND(C19*10000/L19,0)</f>
        <v>135157</v>
      </c>
      <c r="D21" s="790">
        <f ca="1">ROUND(D19*10000/L19,0)</f>
        <v>135824</v>
      </c>
      <c r="E21" s="999"/>
      <c r="F21" s="2435" t="s">
        <v>2153</v>
      </c>
      <c r="G21" s="149">
        <f ca="1">ROUND(G19*10000/L19,0)</f>
        <v>135491</v>
      </c>
      <c r="H21" s="2436" t="s">
        <v>2152</v>
      </c>
      <c r="I21" s="138"/>
    </row>
    <row r="22" spans="1:35" ht="15" thickBot="1">
      <c r="A22" s="2278" t="s">
        <v>2154</v>
      </c>
      <c r="B22" s="2437"/>
      <c r="C22" s="2438"/>
      <c r="D22" s="791">
        <f ca="1">IF(C19&lt;D19,D19/C19-1,C19/D19-1)</f>
        <v>4.9307744060054226E-3</v>
      </c>
      <c r="E22" s="138"/>
      <c r="F22" s="138"/>
      <c r="G22" s="138"/>
      <c r="H22" s="138"/>
      <c r="I22" s="138"/>
    </row>
    <row r="23" spans="1:35" ht="13.5" thickBot="1">
      <c r="A23" s="2415"/>
      <c r="B23" s="2415"/>
      <c r="C23" s="2415"/>
      <c r="D23" s="2415"/>
      <c r="E23" s="138"/>
      <c r="F23" s="138"/>
      <c r="G23" s="138"/>
      <c r="H23" s="138"/>
      <c r="I23" s="138"/>
    </row>
    <row r="24" spans="1:35" ht="14.25">
      <c r="A24" s="3105" t="s">
        <v>2155</v>
      </c>
      <c r="B24" s="2432" t="s">
        <v>2147</v>
      </c>
      <c r="C24" s="145">
        <f>IF(B30=0,0,D30)</f>
        <v>0</v>
      </c>
      <c r="D24" s="2439"/>
      <c r="E24" s="138"/>
      <c r="F24" s="138"/>
      <c r="G24" s="138"/>
      <c r="H24" s="138"/>
      <c r="I24" s="138"/>
    </row>
    <row r="25" spans="1:35" ht="14.25">
      <c r="A25" s="3106"/>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f>系统读取表!H22</f>
        <v>0</v>
      </c>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113243</v>
      </c>
      <c r="D32" s="2446" t="s">
        <v>2162</v>
      </c>
      <c r="E32" s="138"/>
      <c r="F32" s="138"/>
      <c r="G32" s="138"/>
      <c r="H32" s="138"/>
      <c r="I32" s="138"/>
    </row>
    <row r="33" spans="1:15" ht="15">
      <c r="A33" s="956" t="s">
        <v>2163</v>
      </c>
      <c r="B33" s="2447"/>
      <c r="C33" s="2448"/>
      <c r="D33" s="2449"/>
      <c r="E33" s="2450" t="s">
        <v>2164</v>
      </c>
      <c r="F33" s="294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07" t="s">
        <v>2169</v>
      </c>
      <c r="B36" s="2458" t="s">
        <v>2170</v>
      </c>
      <c r="C36" s="154"/>
      <c r="D36" s="2459"/>
      <c r="E36" s="2460"/>
      <c r="F36" s="2461"/>
      <c r="G36" s="138"/>
      <c r="H36" s="138"/>
      <c r="I36" s="138"/>
    </row>
    <row r="37" spans="1:15" ht="15.75" thickBot="1">
      <c r="A37" s="3108"/>
      <c r="B37" s="2264" t="s">
        <v>2171</v>
      </c>
      <c r="C37" s="156"/>
      <c r="D37" s="1391"/>
      <c r="E37" s="1391"/>
      <c r="F37" s="2461"/>
      <c r="G37" s="138"/>
      <c r="H37" s="138"/>
      <c r="I37" s="138"/>
    </row>
    <row r="38" spans="1:15" ht="15.75" thickBot="1">
      <c r="A38" s="3109"/>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hidden="1" customHeight="1" thickBot="1">
      <c r="A45" s="3110" t="s">
        <v>2183</v>
      </c>
      <c r="B45" s="3111"/>
      <c r="C45" s="3112"/>
      <c r="D45" s="164">
        <f ca="1">ROUND(H101*F45,0)</f>
        <v>113243</v>
      </c>
      <c r="E45" s="165" t="s">
        <v>2184</v>
      </c>
      <c r="F45" s="166">
        <v>1</v>
      </c>
      <c r="G45" s="167" t="s">
        <v>2185</v>
      </c>
      <c r="H45" s="138"/>
      <c r="I45" s="138"/>
      <c r="J45" s="3113" t="s">
        <v>2186</v>
      </c>
      <c r="K45" s="3113"/>
      <c r="L45" s="3113"/>
      <c r="M45" s="3113"/>
      <c r="N45" s="3113"/>
      <c r="O45" s="3113"/>
    </row>
    <row r="46" spans="1:15" ht="14.25" hidden="1" customHeight="1">
      <c r="A46" s="3114" t="s">
        <v>2187</v>
      </c>
      <c r="B46" s="3115"/>
      <c r="C46" s="3115"/>
      <c r="D46" s="3115"/>
      <c r="E46" s="3115"/>
      <c r="F46" s="3115"/>
      <c r="G46" s="3116"/>
      <c r="H46" s="2477"/>
      <c r="I46" s="168"/>
      <c r="J46" s="2955">
        <v>1</v>
      </c>
      <c r="K46" s="3113" t="s">
        <v>2188</v>
      </c>
      <c r="L46" s="3113"/>
      <c r="M46" s="3117"/>
      <c r="N46" s="3117"/>
      <c r="O46" s="3117"/>
    </row>
    <row r="47" spans="1:15" ht="12" hidden="1" customHeight="1">
      <c r="A47" s="169" t="s">
        <v>2189</v>
      </c>
      <c r="B47" s="170"/>
      <c r="C47" s="171"/>
      <c r="D47" s="172" t="s">
        <v>2190</v>
      </c>
      <c r="E47" s="24" t="s">
        <v>2191</v>
      </c>
      <c r="F47" s="173" t="s">
        <v>2192</v>
      </c>
      <c r="G47" s="174" t="s">
        <v>2193</v>
      </c>
      <c r="H47" s="2477"/>
      <c r="I47" s="168"/>
      <c r="J47" s="2955">
        <v>2</v>
      </c>
      <c r="K47" s="3113" t="s">
        <v>2194</v>
      </c>
      <c r="L47" s="3113"/>
      <c r="M47" s="3118">
        <f>'数据-取费表'!B2</f>
        <v>43100</v>
      </c>
      <c r="N47" s="3118"/>
      <c r="O47" s="3118"/>
    </row>
    <row r="48" spans="1:15" ht="25.5" hidden="1">
      <c r="A48" s="3119" t="s">
        <v>2195</v>
      </c>
      <c r="B48" s="3120"/>
      <c r="C48" s="3120"/>
      <c r="D48" s="140">
        <f>IF(H48="情况1",0,IF(H48="情况2",D52,IF(H48="情况3",D53,IF(H48="情况4",D54))))</f>
        <v>0</v>
      </c>
      <c r="E48" s="2946" t="str">
        <f>IF(H48="情况4","(销售额-原购置价)×税（费）率","销售额×税（费）率")</f>
        <v>销售额×税（费）率</v>
      </c>
      <c r="F48" s="175" t="str">
        <f>IF(H48="情况1","免征",'数据-取费表'!B41)</f>
        <v>免征</v>
      </c>
      <c r="G48" s="2478" t="s">
        <v>2196</v>
      </c>
      <c r="H48" s="2479" t="s">
        <v>2197</v>
      </c>
      <c r="I48" s="2477"/>
      <c r="J48" s="2955">
        <v>3</v>
      </c>
      <c r="K48" s="3113" t="s">
        <v>2198</v>
      </c>
      <c r="L48" s="3113"/>
      <c r="M48" s="3121">
        <f ca="1">H101</f>
        <v>113243</v>
      </c>
      <c r="N48" s="3121"/>
      <c r="O48" s="3121"/>
    </row>
    <row r="49" spans="1:35" ht="25.5" hidden="1" customHeight="1">
      <c r="A49" s="176" t="s">
        <v>2199</v>
      </c>
      <c r="B49" s="3122" t="s">
        <v>2200</v>
      </c>
      <c r="C49" s="3122"/>
      <c r="D49" s="177">
        <v>0</v>
      </c>
      <c r="E49" s="23" t="s">
        <v>2201</v>
      </c>
      <c r="F49" s="28" t="s">
        <v>34</v>
      </c>
      <c r="G49" s="3123"/>
      <c r="H49" s="138"/>
      <c r="I49" s="2480"/>
      <c r="J49" s="2955">
        <v>4</v>
      </c>
      <c r="K49" s="3113" t="str">
        <f>IF(项目基本情况!E8="房地产抵押价值","房地产抵押价值","抵押担保权已注销时的房地产抵押价值")</f>
        <v>抵押担保权已注销时的房地产抵押价值</v>
      </c>
      <c r="L49" s="3113"/>
      <c r="M49" s="3121" t="str">
        <f>IF(项目基本情况!E8="房地产抵押价值",H107,H109)</f>
        <v>——</v>
      </c>
      <c r="N49" s="3121"/>
      <c r="O49" s="3121"/>
    </row>
    <row r="50" spans="1:35" ht="25.5" hidden="1" customHeight="1">
      <c r="A50" s="178"/>
      <c r="B50" s="3122" t="s">
        <v>2202</v>
      </c>
      <c r="C50" s="3122"/>
      <c r="D50" s="179"/>
      <c r="E50" s="31"/>
      <c r="F50" s="180"/>
      <c r="G50" s="3124"/>
      <c r="H50" s="138"/>
      <c r="I50" s="2480"/>
      <c r="J50" s="3113" t="s">
        <v>2203</v>
      </c>
      <c r="K50" s="3113"/>
      <c r="L50" s="3113"/>
      <c r="M50" s="3113"/>
      <c r="N50" s="3113"/>
      <c r="O50" s="3113"/>
    </row>
    <row r="51" spans="1:35" ht="12" hidden="1" customHeight="1">
      <c r="A51" s="181"/>
      <c r="B51" s="3122" t="s">
        <v>2204</v>
      </c>
      <c r="C51" s="3122"/>
      <c r="D51" s="182"/>
      <c r="E51" s="30"/>
      <c r="F51" s="180"/>
      <c r="G51" s="3125"/>
      <c r="H51" s="138"/>
      <c r="I51" s="2480"/>
      <c r="J51" s="2954" t="s">
        <v>2205</v>
      </c>
      <c r="K51" s="3113" t="s">
        <v>2206</v>
      </c>
      <c r="L51" s="3113"/>
      <c r="M51" s="2954" t="s">
        <v>2207</v>
      </c>
      <c r="N51" s="2954" t="s">
        <v>2208</v>
      </c>
      <c r="O51" s="2954" t="s">
        <v>2209</v>
      </c>
    </row>
    <row r="52" spans="1:35" ht="24" hidden="1" customHeight="1">
      <c r="A52" s="183" t="s">
        <v>2210</v>
      </c>
      <c r="B52" s="3122" t="s">
        <v>2211</v>
      </c>
      <c r="C52" s="3122"/>
      <c r="D52" s="182">
        <f ca="1">ROUND(D45*'数据-取费表'!B41/(1+'数据-取费表'!C42),0)</f>
        <v>6040</v>
      </c>
      <c r="E52" s="11" t="s">
        <v>2212</v>
      </c>
      <c r="F52" s="184">
        <f>'数据-取费表'!B41</f>
        <v>5.6000000000000001E-2</v>
      </c>
      <c r="G52" s="2482"/>
      <c r="H52" s="138"/>
      <c r="I52" s="2480"/>
      <c r="J52" s="2955">
        <v>1</v>
      </c>
      <c r="K52" s="3128" t="s">
        <v>2213</v>
      </c>
      <c r="L52" s="3128"/>
      <c r="M52" s="1750">
        <f>D48</f>
        <v>0</v>
      </c>
      <c r="N52" s="2955" t="str">
        <f>E48</f>
        <v>销售额×税（费）率</v>
      </c>
      <c r="O52" s="1751" t="str">
        <f>F48</f>
        <v>免征</v>
      </c>
    </row>
    <row r="53" spans="1:35" ht="12" hidden="1" customHeight="1">
      <c r="A53" s="183" t="s">
        <v>2214</v>
      </c>
      <c r="B53" s="3126" t="s">
        <v>2215</v>
      </c>
      <c r="C53" s="3127"/>
      <c r="D53" s="182">
        <f ca="1">ROUND(D45*'数据-取费表'!B41/(1+'数据-取费表'!C42),0)</f>
        <v>6040</v>
      </c>
      <c r="E53" s="11" t="s">
        <v>2212</v>
      </c>
      <c r="F53" s="184">
        <f>'数据-取费表'!B41</f>
        <v>5.6000000000000001E-2</v>
      </c>
      <c r="G53" s="2482"/>
      <c r="H53" s="138"/>
      <c r="I53" s="2480"/>
      <c r="J53" s="2955">
        <v>2</v>
      </c>
      <c r="K53" s="3128" t="s">
        <v>2216</v>
      </c>
      <c r="L53" s="3128"/>
      <c r="M53" s="1750">
        <f t="shared" ref="M53:O54" ca="1" si="0">D55</f>
        <v>57</v>
      </c>
      <c r="N53" s="2955" t="str">
        <f t="shared" si="0"/>
        <v>销售额×税（费）率</v>
      </c>
      <c r="O53" s="1751">
        <f t="shared" si="0"/>
        <v>5.0000000000000001E-4</v>
      </c>
    </row>
    <row r="54" spans="1:35" ht="12" hidden="1" customHeight="1">
      <c r="A54" s="183" t="s">
        <v>2217</v>
      </c>
      <c r="B54" s="3126" t="s">
        <v>2218</v>
      </c>
      <c r="C54" s="3127"/>
      <c r="D54" s="182">
        <f ca="1">C68</f>
        <v>6040</v>
      </c>
      <c r="E54" s="30" t="s">
        <v>2219</v>
      </c>
      <c r="F54" s="184">
        <f>'数据-取费表'!B41</f>
        <v>5.6000000000000001E-2</v>
      </c>
      <c r="G54" s="2482"/>
      <c r="H54" s="2483"/>
      <c r="I54" s="2480"/>
      <c r="J54" s="2955">
        <v>3</v>
      </c>
      <c r="K54" s="3128" t="s">
        <v>2220</v>
      </c>
      <c r="L54" s="3128"/>
      <c r="M54" s="1750">
        <f t="shared" ca="1" si="0"/>
        <v>64095</v>
      </c>
      <c r="N54" s="2955" t="str">
        <f t="shared" si="0"/>
        <v>增值额×税（费）率</v>
      </c>
      <c r="O54" s="1752" t="str">
        <f t="shared" si="0"/>
        <v>——</v>
      </c>
    </row>
    <row r="55" spans="1:35" ht="24" hidden="1" customHeight="1">
      <c r="A55" s="3129" t="s">
        <v>2221</v>
      </c>
      <c r="B55" s="3120"/>
      <c r="C55" s="3120"/>
      <c r="D55" s="185">
        <f ca="1">IF(H55="个人住宅",0,ROUND(D45*I55,0))</f>
        <v>57</v>
      </c>
      <c r="E55" s="11" t="s">
        <v>2222</v>
      </c>
      <c r="F55" s="184">
        <f>IF(H55="正常",I55,"免征")</f>
        <v>5.0000000000000001E-4</v>
      </c>
      <c r="G55" s="2482"/>
      <c r="H55" s="2479" t="s">
        <v>2223</v>
      </c>
      <c r="I55" s="186">
        <f>'数据-取费表'!B49</f>
        <v>5.0000000000000001E-4</v>
      </c>
      <c r="J55" s="2955" t="str">
        <f>IF(H59="非个人房产","",4)</f>
        <v/>
      </c>
      <c r="K55" s="3128" t="str">
        <f>IF(H59="非个人房产","——","个人所得税")</f>
        <v>——</v>
      </c>
      <c r="L55" s="3128"/>
      <c r="M55" s="1753" t="str">
        <f>D59</f>
        <v>——</v>
      </c>
      <c r="N55" s="2956" t="str">
        <f>E59</f>
        <v>——</v>
      </c>
      <c r="O55" s="1754" t="str">
        <f>F59</f>
        <v>——</v>
      </c>
    </row>
    <row r="56" spans="1:35" ht="24.75" hidden="1">
      <c r="A56" s="3129" t="s">
        <v>2224</v>
      </c>
      <c r="B56" s="3120"/>
      <c r="C56" s="3120"/>
      <c r="D56" s="185">
        <f ca="1">IF(H56="个人住宅",D57,D58)</f>
        <v>64095</v>
      </c>
      <c r="E56" s="11" t="s">
        <v>2225</v>
      </c>
      <c r="F56" s="184" t="str">
        <f>IF(H56="正常",F58,"免征")</f>
        <v>——</v>
      </c>
      <c r="G56" s="2484" t="s">
        <v>2226</v>
      </c>
      <c r="H56" s="2485" t="s">
        <v>2223</v>
      </c>
      <c r="I56" s="2486"/>
      <c r="J56" s="2955" t="str">
        <f>IF(项目基本情况!K6="上海银行",IF(J55="",4,J55+1),"")</f>
        <v/>
      </c>
      <c r="K56" s="3130" t="str">
        <f>IF(项目基本情况!K6="上海银行","其他处置费用","")</f>
        <v/>
      </c>
      <c r="L56" s="3131"/>
      <c r="M56" s="1750" t="str">
        <f>IF(项目基本情况!K6="上海银行",M69,"")</f>
        <v/>
      </c>
      <c r="N56" s="3138" t="str">
        <f>IF(项目基本情况!K6="上海银行","包含处置中涉及的律师、诉讼、拍卖、评估等费用","")</f>
        <v/>
      </c>
      <c r="O56" s="3139"/>
    </row>
    <row r="57" spans="1:35" ht="12.75" hidden="1">
      <c r="A57" s="183" t="s">
        <v>2199</v>
      </c>
      <c r="B57" s="3101" t="s">
        <v>2227</v>
      </c>
      <c r="C57" s="3103"/>
      <c r="D57" s="187">
        <v>0</v>
      </c>
      <c r="E57" s="23" t="s">
        <v>2201</v>
      </c>
      <c r="F57" s="155"/>
      <c r="G57" s="2482"/>
      <c r="H57" s="2486"/>
      <c r="I57" s="2486"/>
      <c r="J57" s="3128">
        <f>IF(AND(J55="",J56=""),4,IF(项目基本情况!K6="上海银行",结果表办公!J56+1,结果表办公!J55+1))</f>
        <v>4</v>
      </c>
      <c r="K57" s="3128" t="s">
        <v>2228</v>
      </c>
      <c r="L57" s="2487" t="s">
        <v>2229</v>
      </c>
      <c r="M57" s="1755"/>
      <c r="N57" s="1756">
        <f ca="1">SUMIF(M52:M56,"&lt;9e307")</f>
        <v>64152</v>
      </c>
      <c r="O57" s="2488"/>
      <c r="P57" s="1749" t="e">
        <f ca="1">N57/M49</f>
        <v>#VALUE!</v>
      </c>
    </row>
    <row r="58" spans="1:35" ht="24.75" hidden="1">
      <c r="A58" s="183" t="s">
        <v>2210</v>
      </c>
      <c r="B58" s="3101" t="s">
        <v>2230</v>
      </c>
      <c r="C58" s="3102"/>
      <c r="D58" s="185">
        <f ca="1">IF(H58="转让取得",C81,C97)</f>
        <v>64095</v>
      </c>
      <c r="E58" s="11" t="s">
        <v>2225</v>
      </c>
      <c r="F58" s="24" t="s">
        <v>34</v>
      </c>
      <c r="G58" s="2482"/>
      <c r="H58" s="2485" t="s">
        <v>2231</v>
      </c>
      <c r="I58" s="2486"/>
      <c r="J58" s="3128"/>
      <c r="K58" s="3128"/>
      <c r="L58" s="2487" t="s">
        <v>2232</v>
      </c>
      <c r="M58" s="1757"/>
      <c r="N58" s="2489" t="str">
        <f ca="1">NUMBERSTRING(INT(N57*10000),2)&amp;"元整"</f>
        <v>陆亿肆仟壹佰伍拾贰万元整</v>
      </c>
      <c r="O58" s="2490"/>
    </row>
    <row r="59" spans="1:35" ht="24.75" hidden="1"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42">
        <f>J57+1</f>
        <v>5</v>
      </c>
      <c r="K59" s="3128" t="s">
        <v>2235</v>
      </c>
      <c r="L59" s="2955" t="s">
        <v>2229</v>
      </c>
      <c r="M59" s="1758"/>
      <c r="N59" s="1759" t="e">
        <f ca="1">M49-N57</f>
        <v>#VALUE!</v>
      </c>
      <c r="O59" s="2492"/>
    </row>
    <row r="60" spans="1:35" ht="12" hidden="1" customHeight="1">
      <c r="A60" s="2493"/>
      <c r="B60" s="2415"/>
      <c r="C60" s="2415"/>
      <c r="D60" s="2415"/>
      <c r="E60" s="2164"/>
      <c r="F60" s="2486"/>
      <c r="G60" s="2486"/>
      <c r="H60" s="2494"/>
      <c r="I60" s="138"/>
      <c r="J60" s="3143"/>
      <c r="K60" s="3128"/>
      <c r="L60" s="2487" t="s">
        <v>2232</v>
      </c>
      <c r="M60" s="1757"/>
      <c r="N60" s="2489" t="e">
        <f ca="1">NUMBERSTRING(INT(N59*10000),2)&amp;"元整"</f>
        <v>#VALUE!</v>
      </c>
      <c r="O60" s="2490"/>
    </row>
    <row r="61" spans="1:35" ht="13.5" hidden="1" thickBot="1">
      <c r="A61" s="3132" t="s">
        <v>2236</v>
      </c>
      <c r="B61" s="3132"/>
      <c r="C61" s="3132"/>
      <c r="D61" s="3132"/>
      <c r="E61" s="3132"/>
      <c r="F61" s="2486"/>
      <c r="G61" s="2486"/>
      <c r="H61" s="2494"/>
      <c r="I61" s="138"/>
      <c r="J61" s="2955">
        <f>J59+1</f>
        <v>6</v>
      </c>
      <c r="K61" s="3128" t="s">
        <v>2237</v>
      </c>
      <c r="L61" s="3128"/>
      <c r="M61" s="1760"/>
      <c r="N61" s="1761" t="e">
        <f ca="1">ROUND(N59*10000/'数据-汇总表'!E3,0)</f>
        <v>#VALUE!</v>
      </c>
      <c r="O61" s="2495"/>
    </row>
    <row r="62" spans="1:35" ht="12.75" hidden="1">
      <c r="A62" s="3133" t="s">
        <v>2238</v>
      </c>
      <c r="B62" s="3134"/>
      <c r="C62" s="2949"/>
      <c r="D62" s="2949" t="s">
        <v>2239</v>
      </c>
      <c r="E62" s="192" t="s">
        <v>2240</v>
      </c>
      <c r="F62" s="2486"/>
      <c r="G62" s="2486"/>
      <c r="H62" s="2494"/>
      <c r="I62" s="138"/>
    </row>
    <row r="63" spans="1:35" ht="12.75" hidden="1">
      <c r="A63" s="203" t="s">
        <v>775</v>
      </c>
      <c r="B63" s="193" t="s">
        <v>2241</v>
      </c>
      <c r="C63" s="194">
        <f ca="1">ROUND((C64+C65)/(1+'数据-取费表'!C42),0)</f>
        <v>107850</v>
      </c>
      <c r="D63" s="195"/>
      <c r="E63" s="196"/>
      <c r="F63" s="2486"/>
      <c r="G63" s="2486"/>
      <c r="H63" s="2494"/>
      <c r="I63" s="138"/>
      <c r="J63" s="3135" t="s">
        <v>2242</v>
      </c>
      <c r="K63" s="2959" t="s">
        <v>2243</v>
      </c>
      <c r="L63" s="1748" t="e">
        <f>IF(M49&gt;10000,M49*0.5%,IF(AND(M49&gt;1000,M49&lt;=10000),M49*1%,IF(AND(M49&gt;100,M49&lt;=1000),M49*3%,IF(AND(M49&gt;10,M49&lt;=100),M49*5%,M49*8%))))</f>
        <v>#VALUE!</v>
      </c>
      <c r="M63" s="24" t="e">
        <f>ROUND(L63,1)</f>
        <v>#VALUE!</v>
      </c>
      <c r="Z63" s="2420"/>
      <c r="AI63" s="2421"/>
    </row>
    <row r="64" spans="1:35" ht="14.25" hidden="1" customHeight="1">
      <c r="A64" s="197" t="s">
        <v>770</v>
      </c>
      <c r="B64" s="198" t="s">
        <v>2244</v>
      </c>
      <c r="C64" s="199">
        <f ca="1">D45</f>
        <v>113243</v>
      </c>
      <c r="D64" s="200" t="s">
        <v>32</v>
      </c>
      <c r="E64" s="201"/>
      <c r="F64" s="2486"/>
      <c r="G64" s="2486"/>
      <c r="H64" s="2494"/>
      <c r="I64" s="138"/>
      <c r="J64" s="3135"/>
      <c r="K64" s="2959"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hidden="1" customHeight="1">
      <c r="A65" s="197" t="s">
        <v>771</v>
      </c>
      <c r="B65" s="198" t="s">
        <v>2247</v>
      </c>
      <c r="C65" s="202"/>
      <c r="D65" s="200"/>
      <c r="E65" s="201"/>
      <c r="F65" s="2486"/>
      <c r="G65" s="2486"/>
      <c r="H65" s="2494"/>
      <c r="I65" s="138"/>
      <c r="J65" s="3135"/>
      <c r="K65" s="2959" t="s">
        <v>2248</v>
      </c>
      <c r="L65" s="1748" t="e">
        <f>IF(M49&gt;1000,M49*0.1%,IF(AND(M49&gt;500,M49&lt;=1000),M49*0.5%,IF(AND(M49&gt;50,M49&lt;=500),M49*1%,IF(AND(M49&gt;1,M49&lt;=50),M49*1.5%))))</f>
        <v>#VALUE!</v>
      </c>
      <c r="M65" s="24" t="e">
        <f t="shared" si="1"/>
        <v>#VALUE!</v>
      </c>
      <c r="N65" s="138" t="s">
        <v>2246</v>
      </c>
      <c r="Z65" s="2420"/>
      <c r="AI65" s="2421"/>
    </row>
    <row r="66" spans="1:35" ht="14.25" hidden="1" customHeight="1">
      <c r="A66" s="203" t="s">
        <v>772</v>
      </c>
      <c r="B66" s="204" t="s">
        <v>2249</v>
      </c>
      <c r="C66" s="205"/>
      <c r="D66" s="206" t="s">
        <v>32</v>
      </c>
      <c r="E66" s="1772" t="s">
        <v>1371</v>
      </c>
      <c r="F66" s="2486"/>
      <c r="G66" s="2486"/>
      <c r="H66" s="2494"/>
      <c r="I66" s="138"/>
      <c r="J66" s="3135"/>
      <c r="K66" s="2959" t="s">
        <v>2250</v>
      </c>
      <c r="L66" s="1748" t="e">
        <f>M49*0.5%</f>
        <v>#VALUE!</v>
      </c>
      <c r="M66" s="24" t="e">
        <f>IF(L66&gt;0.5,0.5,ROUND(L66,0))</f>
        <v>#VALUE!</v>
      </c>
      <c r="N66" s="138" t="s">
        <v>2251</v>
      </c>
      <c r="Z66" s="2420"/>
      <c r="AI66" s="2421"/>
    </row>
    <row r="67" spans="1:35" ht="14.25" hidden="1" customHeight="1">
      <c r="A67" s="203" t="s">
        <v>773</v>
      </c>
      <c r="B67" s="204" t="s">
        <v>2252</v>
      </c>
      <c r="C67" s="207">
        <f ca="1">C63-C66</f>
        <v>107850</v>
      </c>
      <c r="D67" s="200" t="s">
        <v>32</v>
      </c>
      <c r="E67" s="201"/>
      <c r="F67" s="2486"/>
      <c r="G67" s="2486"/>
      <c r="H67" s="2494"/>
      <c r="I67" s="138"/>
      <c r="J67" s="3135"/>
      <c r="K67" s="2959"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hidden="1" customHeight="1" thickBot="1">
      <c r="A68" s="208" t="s">
        <v>774</v>
      </c>
      <c r="B68" s="209" t="s">
        <v>2254</v>
      </c>
      <c r="C68" s="210">
        <f ca="1">IF(C67&lt;=0,0,ROUND(C67*D68,0))</f>
        <v>6040</v>
      </c>
      <c r="D68" s="211">
        <f>'数据-取费表'!B41</f>
        <v>5.6000000000000001E-2</v>
      </c>
      <c r="E68" s="212"/>
      <c r="F68" s="2486"/>
      <c r="G68" s="2486"/>
      <c r="H68" s="2494"/>
      <c r="I68" s="138"/>
      <c r="J68" s="3135"/>
      <c r="K68" s="2959" t="s">
        <v>2255</v>
      </c>
      <c r="L68" s="1748" t="e">
        <f>IF(M49&gt;10000,M49*0.5%,IF(AND(M49&gt;5000,M49&lt;=10000),M49*1%,IF(AND(M49&gt;1000,M49&lt;=5000),M49*2%,IF(AND(M49&gt;200,M49&lt;=1000),M49*3%,M49*5%))))</f>
        <v>#VALUE!</v>
      </c>
      <c r="M68" s="24" t="e">
        <f>ROUND(L68,1)</f>
        <v>#VALUE!</v>
      </c>
      <c r="Z68" s="2420"/>
      <c r="AI68" s="2421"/>
    </row>
    <row r="69" spans="1:35" s="2443" customFormat="1" ht="16.5" hidden="1" customHeight="1">
      <c r="A69" s="2497"/>
      <c r="B69" s="2498"/>
      <c r="C69" s="2499"/>
      <c r="D69" s="2500"/>
      <c r="E69" s="2501"/>
      <c r="F69" s="2164"/>
      <c r="G69" s="2164"/>
      <c r="H69" s="2163"/>
      <c r="I69" s="2415"/>
      <c r="J69" s="3135"/>
      <c r="K69" s="2959"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36" t="s">
        <v>2257</v>
      </c>
      <c r="B70" s="3137"/>
      <c r="C70" s="3137"/>
      <c r="D70" s="3137"/>
      <c r="E70" s="3137"/>
      <c r="F70" s="3137"/>
      <c r="G70" s="3137"/>
      <c r="H70" s="313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33" t="s">
        <v>2238</v>
      </c>
      <c r="B71" s="3134"/>
      <c r="C71" s="2949"/>
      <c r="D71" s="2949"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2258</v>
      </c>
      <c r="C72" s="207">
        <f ca="1">ROUND(D45/(1+'数据-取费表'!C42),0)</f>
        <v>107850</v>
      </c>
      <c r="D72" s="200" t="s">
        <v>32</v>
      </c>
      <c r="E72" s="2948"/>
      <c r="F72" s="2943"/>
      <c r="G72" s="294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2259</v>
      </c>
      <c r="C73" s="207">
        <f ca="1">C74+C78</f>
        <v>647</v>
      </c>
      <c r="D73" s="200" t="s">
        <v>32</v>
      </c>
      <c r="E73" s="2948"/>
      <c r="F73" s="2943"/>
      <c r="G73" s="294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2260</v>
      </c>
      <c r="C74" s="200">
        <f>ROUND(IF(G77="2016年5月1日后购买",C75/(1+'数据-取费表'!C42)+C76+C77,C75+C76+C77),0)</f>
        <v>0</v>
      </c>
      <c r="D74" s="200" t="s">
        <v>32</v>
      </c>
      <c r="E74" s="2948"/>
      <c r="F74" s="2943"/>
      <c r="G74" s="294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2265</v>
      </c>
      <c r="C76" s="200">
        <f>IF(F75="购房发票",ROUND(C75*H75*D76,0),0)</f>
        <v>0</v>
      </c>
      <c r="D76" s="222">
        <v>0.05</v>
      </c>
      <c r="E76" s="3126" t="s">
        <v>2266</v>
      </c>
      <c r="F76" s="3122"/>
      <c r="G76" s="3122"/>
      <c r="H76" s="315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2267</v>
      </c>
      <c r="C77" s="200">
        <f>ROUND(IF(G77="个人住宅",0,IF(G77="2016年5月1日前购买",C75*D77,C75*D77/(1+'数据-取费表'!C42))),0)</f>
        <v>0</v>
      </c>
      <c r="D77" s="223">
        <f>'数据-取费表'!B48+'数据-取费表'!B49</f>
        <v>3.0499999999999999E-2</v>
      </c>
      <c r="E77" s="2960" t="s">
        <v>2268</v>
      </c>
      <c r="F77" s="224"/>
      <c r="G77" s="2510" t="s">
        <v>2269</v>
      </c>
      <c r="H77" s="295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2270</v>
      </c>
      <c r="C78" s="225">
        <f ca="1">ROUND(D45*D78/(1+'数据-取费表'!C42),0)</f>
        <v>647</v>
      </c>
      <c r="D78" s="226">
        <f>'数据-取费表'!B43</f>
        <v>6.000000000000001E-3</v>
      </c>
      <c r="E78" s="3144" t="s">
        <v>2271</v>
      </c>
      <c r="F78" s="3145"/>
      <c r="G78" s="3145"/>
      <c r="H78" s="314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2272</v>
      </c>
      <c r="C79" s="207">
        <f ca="1">C72-C73</f>
        <v>107203</v>
      </c>
      <c r="D79" s="200" t="s">
        <v>32</v>
      </c>
      <c r="E79" s="2948"/>
      <c r="F79" s="2943"/>
      <c r="G79" s="294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2273</v>
      </c>
      <c r="C80" s="227">
        <f ca="1">IF(C79&lt;=0,0,C79/C73)</f>
        <v>165.69242658423494</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2274</v>
      </c>
      <c r="C81" s="228">
        <f ca="1">ROUND(IF(C79&lt;=0,0,IF(C80&gt;=200%,C79*60%-C73*35%,IF(C80&gt;=100%,C79*50%-C73*15%,IF(C80&gt;=50%,C79*40%-C73*5%,IF(C80&lt;50%,C79*30%,0))))),0)</f>
        <v>64095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36" t="s">
        <v>2275</v>
      </c>
      <c r="B83" s="3137"/>
      <c r="C83" s="3137"/>
      <c r="D83" s="3137"/>
      <c r="E83" s="3137"/>
      <c r="F83" s="3137"/>
      <c r="G83" s="3137"/>
      <c r="H83" s="313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33" t="s">
        <v>2238</v>
      </c>
      <c r="B84" s="3134"/>
      <c r="C84" s="2949"/>
      <c r="D84" s="2949"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775</v>
      </c>
      <c r="B85" s="204" t="s">
        <v>2258</v>
      </c>
      <c r="C85" s="207">
        <f ca="1">ROUND(D45/(1+'数据-取费表'!C42),0)</f>
        <v>107850</v>
      </c>
      <c r="D85" s="200" t="s">
        <v>32</v>
      </c>
      <c r="E85" s="2948"/>
      <c r="F85" s="2943"/>
      <c r="G85" s="294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772</v>
      </c>
      <c r="B86" s="173" t="s">
        <v>2259</v>
      </c>
      <c r="C86" s="207">
        <f ca="1">IF(H88="仅含出让金",C87+C90+C91+C92+C93+C94,C87+C91+C92+C93+C94)</f>
        <v>647</v>
      </c>
      <c r="D86" s="235"/>
      <c r="E86" s="2948"/>
      <c r="F86" s="2943"/>
      <c r="G86" s="294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770</v>
      </c>
      <c r="B87" s="198" t="s">
        <v>2276</v>
      </c>
      <c r="C87" s="225">
        <f>C88+C89</f>
        <v>0</v>
      </c>
      <c r="D87" s="226"/>
      <c r="E87" s="2944"/>
      <c r="F87" s="2945"/>
      <c r="G87" s="2945"/>
      <c r="H87" s="294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776</v>
      </c>
      <c r="B88" s="198" t="s">
        <v>2277</v>
      </c>
      <c r="C88" s="236"/>
      <c r="D88" s="226"/>
      <c r="E88" s="237" t="s">
        <v>2278</v>
      </c>
      <c r="F88" s="2945"/>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777</v>
      </c>
      <c r="B89" s="198" t="s">
        <v>2267</v>
      </c>
      <c r="C89" s="225">
        <f>ROUND(C88*D89,0)</f>
        <v>0</v>
      </c>
      <c r="D89" s="226">
        <f>'数据-取费表'!B48+'数据-取费表'!B49</f>
        <v>3.0499999999999999E-2</v>
      </c>
      <c r="E89" s="237" t="s">
        <v>2280</v>
      </c>
      <c r="F89" s="2945"/>
      <c r="G89" s="2945"/>
      <c r="H89" s="294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771</v>
      </c>
      <c r="B90" s="198" t="s">
        <v>2281</v>
      </c>
      <c r="C90" s="236"/>
      <c r="D90" s="226"/>
      <c r="E90" s="237" t="str">
        <f>IF(H88="-","土地取得成本中已包含该笔费用"," ")</f>
        <v xml:space="preserve"> </v>
      </c>
      <c r="F90" s="2945"/>
      <c r="G90" s="2945"/>
      <c r="H90" s="294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2282</v>
      </c>
      <c r="B91" s="198" t="s">
        <v>2283</v>
      </c>
      <c r="C91" s="225">
        <f>IF(H91="——",成本法仓储!C33,I91)</f>
        <v>0</v>
      </c>
      <c r="D91" s="226"/>
      <c r="E91" s="3144" t="s">
        <v>2284</v>
      </c>
      <c r="F91" s="3145"/>
      <c r="G91" s="3145"/>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2286</v>
      </c>
      <c r="B92" s="198" t="s">
        <v>2287</v>
      </c>
      <c r="C92" s="225">
        <f>ROUND((C87+C90+C91)*D92,0)</f>
        <v>0</v>
      </c>
      <c r="D92" s="226">
        <v>0.1</v>
      </c>
      <c r="E92" s="3144" t="s">
        <v>2288</v>
      </c>
      <c r="F92" s="3145"/>
      <c r="G92" s="3145"/>
      <c r="H92" s="314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2289</v>
      </c>
      <c r="B93" s="198" t="s">
        <v>2270</v>
      </c>
      <c r="C93" s="225">
        <f ca="1">ROUND(D45*D93/(1+'数据-取费表'!C42),0)</f>
        <v>647</v>
      </c>
      <c r="D93" s="226">
        <f>'数据-取费表'!B43</f>
        <v>6.000000000000001E-3</v>
      </c>
      <c r="E93" s="3144" t="s">
        <v>2271</v>
      </c>
      <c r="F93" s="3145"/>
      <c r="G93" s="3145"/>
      <c r="H93" s="314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2290</v>
      </c>
      <c r="B94" s="198" t="s">
        <v>2291</v>
      </c>
      <c r="C94" s="236">
        <f>ROUND((C87+C90+C91)*D94,0)</f>
        <v>0</v>
      </c>
      <c r="D94" s="226">
        <v>0.2</v>
      </c>
      <c r="E94" s="3147" t="s">
        <v>2292</v>
      </c>
      <c r="F94" s="3148"/>
      <c r="G94" s="3148"/>
      <c r="H94" s="314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4" t="s">
        <v>2272</v>
      </c>
      <c r="C95" s="207">
        <f ca="1">ROUND(C85-C86,0)</f>
        <v>107203</v>
      </c>
      <c r="D95" s="200" t="s">
        <v>32</v>
      </c>
      <c r="E95" s="2948"/>
      <c r="F95" s="2943"/>
      <c r="G95" s="294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4" t="s">
        <v>2273</v>
      </c>
      <c r="C96" s="227">
        <f ca="1">IF(C95&lt;=0,0,C95/C86)</f>
        <v>165.69242658423494</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9" t="s">
        <v>2274</v>
      </c>
      <c r="C97" s="228">
        <f ca="1">ROUND(IF(C95&lt;=0,0,IF(C96&gt;=200%,C95*60%-C86*35%,IF(C96&gt;=100%,C95*50%-C86*15%,IF(C96&gt;=50%,C95*40%-C86*5%,IF(C96&lt;50%,C95*30%,0))))),0)</f>
        <v>64095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6" t="s">
        <v>2294</v>
      </c>
      <c r="B100" s="3087"/>
      <c r="C100" s="3087"/>
      <c r="D100" s="3150"/>
      <c r="E100" s="3087" t="s">
        <v>2295</v>
      </c>
      <c r="F100" s="3087"/>
      <c r="G100" s="3087"/>
      <c r="H100" s="3150"/>
      <c r="I100" s="138"/>
    </row>
    <row r="101" spans="1:35" ht="18.75" customHeight="1">
      <c r="A101" s="3151" t="s">
        <v>2296</v>
      </c>
      <c r="B101" s="3152"/>
      <c r="C101" s="736" t="str">
        <f>C4</f>
        <v>比较法-办公</v>
      </c>
      <c r="D101" s="737" t="str">
        <f>D4</f>
        <v>收益法办公</v>
      </c>
      <c r="E101" s="3153" t="s">
        <v>2297</v>
      </c>
      <c r="F101" s="3154"/>
      <c r="G101" s="2517" t="s">
        <v>2298</v>
      </c>
      <c r="H101" s="1044">
        <f ca="1">H118</f>
        <v>113243</v>
      </c>
      <c r="I101" s="138"/>
    </row>
    <row r="102" spans="1:35" ht="18.75" customHeight="1">
      <c r="A102" s="3155" t="s">
        <v>2299</v>
      </c>
      <c r="B102" s="2517" t="s">
        <v>2298</v>
      </c>
      <c r="C102" s="736">
        <f ca="1">C19</f>
        <v>112964</v>
      </c>
      <c r="D102" s="737">
        <f ca="1">D19</f>
        <v>113521</v>
      </c>
      <c r="E102" s="3153"/>
      <c r="F102" s="3154"/>
      <c r="G102" s="2517" t="s">
        <v>2300</v>
      </c>
      <c r="H102" s="371">
        <f ca="1">I118</f>
        <v>43690</v>
      </c>
      <c r="I102" s="138"/>
    </row>
    <row r="103" spans="1:35" ht="42.75" customHeight="1">
      <c r="A103" s="3155"/>
      <c r="B103" s="2517" t="s">
        <v>2300</v>
      </c>
      <c r="C103" s="738">
        <f ca="1">C20</f>
        <v>43583</v>
      </c>
      <c r="D103" s="739">
        <f ca="1">D20</f>
        <v>43798</v>
      </c>
      <c r="E103" s="3156" t="s">
        <v>2301</v>
      </c>
      <c r="F103" s="3157"/>
      <c r="G103" s="2518" t="s">
        <v>2302</v>
      </c>
      <c r="H103" s="1044">
        <f>IF(D36="正常操作",H104+H105+H106,H105+H106)</f>
        <v>0</v>
      </c>
      <c r="I103" s="138"/>
    </row>
    <row r="104" spans="1:35" ht="18.75" customHeight="1">
      <c r="A104" s="3155" t="s">
        <v>2303</v>
      </c>
      <c r="B104" s="2519" t="s">
        <v>2298</v>
      </c>
      <c r="C104" s="740">
        <f ca="1">H118</f>
        <v>113243</v>
      </c>
      <c r="D104" s="741"/>
      <c r="E104" s="2264" t="s">
        <v>2304</v>
      </c>
      <c r="F104" s="2256"/>
      <c r="G104" s="2518" t="s">
        <v>2302</v>
      </c>
      <c r="H104" s="1045">
        <f>IF(D36="同一抵押权人同一抵押物续贷",C36&amp;"（未扣减，详见特别提示）",C36)</f>
        <v>0</v>
      </c>
      <c r="I104" s="138"/>
    </row>
    <row r="105" spans="1:35" ht="18.75" customHeight="1" thickBot="1">
      <c r="A105" s="3164"/>
      <c r="B105" s="2520" t="s">
        <v>2300</v>
      </c>
      <c r="C105" s="742">
        <f ca="1">I118</f>
        <v>43690</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65" t="str">
        <f>IF(项目基本情况!E8="已注销","——","3.房地产抵押价值")</f>
        <v>3.房地产抵押价值</v>
      </c>
      <c r="F107" s="3154"/>
      <c r="G107" s="2517" t="s">
        <v>2298</v>
      </c>
      <c r="H107" s="1044">
        <f ca="1">IF(E107="——","——",H101-H103)</f>
        <v>113243</v>
      </c>
      <c r="I107" s="138"/>
    </row>
    <row r="108" spans="1:35" ht="18.75" customHeight="1">
      <c r="A108" s="138"/>
      <c r="B108" s="138"/>
      <c r="C108" s="138"/>
      <c r="D108" s="138"/>
      <c r="E108" s="3165"/>
      <c r="F108" s="3154"/>
      <c r="G108" s="2517" t="s">
        <v>2300</v>
      </c>
      <c r="H108" s="371">
        <f ca="1">ROUND(H107*10000/'数据-汇总表'!E3,0)</f>
        <v>27424</v>
      </c>
      <c r="I108" s="138"/>
    </row>
    <row r="109" spans="1:35" ht="18.75" customHeight="1">
      <c r="A109" s="138"/>
      <c r="B109" s="138"/>
      <c r="C109" s="138"/>
      <c r="D109" s="138"/>
      <c r="E109" s="3165" t="str">
        <f>IF(项目基本情况!E8="已注销及未注销","4.抵押担保权已注销时的房地产抵押价值",IF(项目基本情况!E8="已注销","3.抵押担保权已注销时的房地产抵押价值","——"))</f>
        <v>——</v>
      </c>
      <c r="F109" s="3154"/>
      <c r="G109" s="2517" t="s">
        <v>2298</v>
      </c>
      <c r="H109" s="348" t="str">
        <f>IF(E109="——","——",H101-H105-H106)</f>
        <v>——</v>
      </c>
      <c r="I109" s="138"/>
    </row>
    <row r="110" spans="1:35" ht="18.75" customHeight="1">
      <c r="A110" s="138"/>
      <c r="B110" s="138"/>
      <c r="C110" s="138"/>
      <c r="D110" s="138"/>
      <c r="E110" s="3165"/>
      <c r="F110" s="3154"/>
      <c r="G110" s="2517" t="s">
        <v>2300</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7" t="s">
        <v>2298</v>
      </c>
      <c r="H111" s="1044" t="str">
        <f>IF(E111="——","——",N59)</f>
        <v>——</v>
      </c>
      <c r="I111" s="138"/>
    </row>
    <row r="112" spans="1:35" ht="18.75" customHeight="1" thickBot="1">
      <c r="A112" s="138"/>
      <c r="B112" s="138"/>
      <c r="C112" s="138"/>
      <c r="D112" s="138"/>
      <c r="E112" s="3168"/>
      <c r="F112" s="3169"/>
      <c r="G112" s="2522" t="s">
        <v>2300</v>
      </c>
      <c r="H112" s="790" t="str">
        <f>IF(E111="——","——",N61)</f>
        <v>——</v>
      </c>
      <c r="I112" s="138"/>
    </row>
    <row r="113" spans="1:11" ht="18.75" customHeight="1">
      <c r="A113" s="138"/>
      <c r="B113" s="138"/>
      <c r="C113" s="138"/>
      <c r="D113" s="138"/>
      <c r="E113" s="3170" t="s">
        <v>2306</v>
      </c>
      <c r="F113" s="3170"/>
      <c r="G113" s="3170"/>
      <c r="H113" s="3170"/>
      <c r="I113" s="138"/>
    </row>
    <row r="114" spans="1:11" ht="3.75" customHeight="1">
      <c r="A114" s="2415"/>
      <c r="B114" s="2415"/>
      <c r="C114" s="2415"/>
      <c r="D114" s="2415"/>
      <c r="E114" s="2493"/>
      <c r="F114" s="2493"/>
      <c r="G114" s="2493"/>
      <c r="H114" s="2493"/>
      <c r="I114" s="2415"/>
    </row>
    <row r="115" spans="1:11" ht="18.75" customHeight="1">
      <c r="A115" s="3171" t="s">
        <v>2308</v>
      </c>
      <c r="B115" s="3172"/>
      <c r="C115" s="3172"/>
      <c r="D115" s="3172"/>
      <c r="E115" s="3172"/>
      <c r="F115" s="3172"/>
      <c r="G115" s="3172"/>
      <c r="H115" s="3172"/>
      <c r="I115" s="3173"/>
    </row>
    <row r="116" spans="1:11" ht="27" customHeight="1">
      <c r="A116" s="3065" t="s">
        <v>2309</v>
      </c>
      <c r="B116" s="3159" t="s">
        <v>2310</v>
      </c>
      <c r="C116" s="3159" t="s">
        <v>2311</v>
      </c>
      <c r="D116" s="3161" t="s">
        <v>2312</v>
      </c>
      <c r="E116" s="3162"/>
      <c r="F116" s="3163" t="s">
        <v>2313</v>
      </c>
      <c r="G116" s="3163"/>
      <c r="H116" s="3065" t="s">
        <v>2314</v>
      </c>
      <c r="I116" s="3065"/>
    </row>
    <row r="117" spans="1:11" ht="18.75" customHeight="1">
      <c r="A117" s="3065"/>
      <c r="B117" s="3160"/>
      <c r="C117" s="3160"/>
      <c r="D117" s="2940" t="s">
        <v>2315</v>
      </c>
      <c r="E117" s="2940" t="s">
        <v>2316</v>
      </c>
      <c r="F117" s="2940" t="s">
        <v>2315</v>
      </c>
      <c r="G117" s="2940" t="s">
        <v>2317</v>
      </c>
      <c r="H117" s="2940" t="s">
        <v>2315</v>
      </c>
      <c r="I117" s="2940" t="s">
        <v>2317</v>
      </c>
    </row>
    <row r="118" spans="1:11" ht="24.75" customHeight="1">
      <c r="A118" s="2523" t="str">
        <f>项目基本情况!S2</f>
        <v>北京市房地产</v>
      </c>
      <c r="B118" s="2940">
        <f>M18</f>
        <v>25919.38</v>
      </c>
      <c r="C118" s="2940">
        <f>M19</f>
        <v>8357.9599999999991</v>
      </c>
      <c r="D118" s="2940" t="e">
        <f ca="1">ROUND(IF(D32="总价",C34,E118*B118/10000),0)</f>
        <v>#REF!</v>
      </c>
      <c r="E118" s="2940" t="e">
        <f ca="1">ROUND(IF(C33="自定义",IF(D32="楼面单价",C34,D118*10000/B118),I118-G118),0)</f>
        <v>#REF!</v>
      </c>
      <c r="F118" s="2940" t="e">
        <f ca="1">ROUND(IF(D32="总价",C35,G118*B118/10000),0)</f>
        <v>#REF!</v>
      </c>
      <c r="G118" s="2940" t="e">
        <f ca="1">ROUND(IF(D32="楼面单价",C35,F118*10000/B118),0)</f>
        <v>#REF!</v>
      </c>
      <c r="H118" s="2940">
        <f ca="1">ROUND(IF(D32="总价",C32,I118*B118/10000),0)</f>
        <v>113243</v>
      </c>
      <c r="I118" s="2940">
        <f ca="1">ROUND(IF(D32="楼面单价",C32,H118*10000/B118),0)</f>
        <v>43690</v>
      </c>
    </row>
    <row r="119" spans="1:11" ht="18.75" customHeight="1">
      <c r="A119" s="3065" t="s">
        <v>2318</v>
      </c>
      <c r="B119" s="3065"/>
      <c r="C119" s="3065"/>
      <c r="D119" s="3177" t="e">
        <f ca="1">NUMBERSTRING(INT(D118*10000),2)&amp;"元整"</f>
        <v>#REF!</v>
      </c>
      <c r="E119" s="3179"/>
      <c r="F119" s="3177" t="e">
        <f ca="1">NUMBERSTRING(INT(F118*10000),2)&amp;"元整"</f>
        <v>#REF!</v>
      </c>
      <c r="G119" s="3179"/>
      <c r="H119" s="3177" t="str">
        <f ca="1">NUMBERSTRING(INT(H118*10000),2)&amp;"元整"</f>
        <v>壹拾壹亿叁仟贰佰肆拾叁万元整</v>
      </c>
      <c r="I119" s="3179"/>
    </row>
    <row r="120" spans="1:11" ht="18.75" customHeight="1">
      <c r="A120" s="3181" t="str">
        <f>IF(项目基本情况!B9="房地产市场价值","",MID(E103,3,LEN(E103)-2))</f>
        <v/>
      </c>
      <c r="B120" s="3182"/>
      <c r="C120" s="3183"/>
      <c r="D120" s="3181">
        <f>H103</f>
        <v>0</v>
      </c>
      <c r="E120" s="3182"/>
      <c r="F120" s="3182"/>
      <c r="G120" s="3182"/>
      <c r="H120" s="3182"/>
      <c r="I120" s="3183"/>
      <c r="K120" s="2420" t="str">
        <f>IF(D120=0,"故，本次评估不存在"&amp;A120,"故，本次评估"&amp;A120&amp;"为人民币"&amp;D120&amp;"万元整。")</f>
        <v>故，本次评估不存在</v>
      </c>
    </row>
    <row r="121" spans="1:11" ht="18.75" customHeight="1">
      <c r="A121" s="3174" t="s">
        <v>2318</v>
      </c>
      <c r="B121" s="3175"/>
      <c r="C121" s="3176"/>
      <c r="D121" s="3177" t="str">
        <f>IF(D120=0,"零元整",NUMBERSTRING(INT(D120*10000),2)&amp;"元整")</f>
        <v>零元整</v>
      </c>
      <c r="E121" s="3178"/>
      <c r="F121" s="3178"/>
      <c r="G121" s="3178"/>
      <c r="H121" s="3178"/>
      <c r="I121" s="3179"/>
    </row>
    <row r="122" spans="1:11" ht="18.75" customHeight="1">
      <c r="A122" s="3180" t="str">
        <f>IF(项目基本情况!B9="房地产市场价值","",MID(E107,3,LEN(E107)-2))</f>
        <v/>
      </c>
      <c r="B122" s="3180"/>
      <c r="C122" s="3180"/>
      <c r="D122" s="3181">
        <f ca="1">H107</f>
        <v>113243</v>
      </c>
      <c r="E122" s="3182"/>
      <c r="F122" s="3182"/>
      <c r="G122" s="3182"/>
      <c r="H122" s="3182"/>
      <c r="I122" s="3183"/>
    </row>
    <row r="123" spans="1:11" ht="18.75" customHeight="1">
      <c r="A123" s="3065" t="s">
        <v>2318</v>
      </c>
      <c r="B123" s="3065"/>
      <c r="C123" s="3065"/>
      <c r="D123" s="3177" t="str">
        <f ca="1">NUMBERSTRING(INT(D122*10000),2)&amp;"元整"</f>
        <v>壹拾壹亿叁仟贰佰肆拾叁万元整</v>
      </c>
      <c r="E123" s="3178"/>
      <c r="F123" s="3178"/>
      <c r="G123" s="3178"/>
      <c r="H123" s="3178"/>
      <c r="I123" s="3179"/>
    </row>
    <row r="124" spans="1:11" ht="18.75" customHeight="1">
      <c r="A124" s="3180" t="str">
        <f>IF(项目基本情况!B9="房地产市场价值","",MID(E109,3,LEN(E109)-2))</f>
        <v/>
      </c>
      <c r="B124" s="3180"/>
      <c r="C124" s="3180"/>
      <c r="D124" s="3181" t="str">
        <f>H109</f>
        <v>——</v>
      </c>
      <c r="E124" s="3182"/>
      <c r="F124" s="3182"/>
      <c r="G124" s="3182"/>
      <c r="H124" s="3182"/>
      <c r="I124" s="3183"/>
    </row>
    <row r="125" spans="1:11" ht="18.75" customHeight="1">
      <c r="A125" s="3065" t="s">
        <v>2318</v>
      </c>
      <c r="B125" s="3065"/>
      <c r="C125" s="3065"/>
      <c r="D125" s="3177" t="e">
        <f>NUMBERSTRING(INT(D124*10000),2)&amp;"元整"</f>
        <v>#VALUE!</v>
      </c>
      <c r="E125" s="3178"/>
      <c r="F125" s="3178"/>
      <c r="G125" s="3178"/>
      <c r="H125" s="3178"/>
      <c r="I125" s="3179"/>
    </row>
    <row r="126" spans="1:11" ht="18.75" customHeight="1">
      <c r="A126" s="3180" t="str">
        <f>IF(项目基本情况!B9="房地产市场价值","",MID(E111,3,LEN(E111)-2))</f>
        <v/>
      </c>
      <c r="B126" s="3180"/>
      <c r="C126" s="3180"/>
      <c r="D126" s="3181" t="str">
        <f>H111</f>
        <v>——</v>
      </c>
      <c r="E126" s="3182"/>
      <c r="F126" s="3182"/>
      <c r="G126" s="3182"/>
      <c r="H126" s="3182"/>
      <c r="I126" s="3183"/>
    </row>
    <row r="127" spans="1:11" ht="18.75" customHeight="1">
      <c r="A127" s="3065" t="s">
        <v>2318</v>
      </c>
      <c r="B127" s="3065"/>
      <c r="C127" s="3065"/>
      <c r="D127" s="3177" t="e">
        <f>NUMBERSTRING(INT(D126*10000),2)&amp;"元整"</f>
        <v>#VALUE!</v>
      </c>
      <c r="E127" s="3178"/>
      <c r="F127" s="3178"/>
      <c r="G127" s="3178"/>
      <c r="H127" s="3178"/>
      <c r="I127" s="3179"/>
    </row>
    <row r="128" spans="1:11" ht="21.75" customHeight="1">
      <c r="A128" s="3184" t="s">
        <v>2319</v>
      </c>
      <c r="B128" s="3184"/>
      <c r="C128" s="3184"/>
      <c r="D128" s="3184"/>
      <c r="E128" s="3184"/>
      <c r="F128" s="3184"/>
      <c r="G128" s="3184"/>
      <c r="H128" s="3184"/>
      <c r="I128" s="3184"/>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57" sqref="H5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2687</v>
      </c>
      <c r="C1" s="1619" t="s">
        <v>2531</v>
      </c>
      <c r="D1" s="1620" t="s">
        <v>27</v>
      </c>
      <c r="E1" s="1629"/>
      <c r="F1" s="2583" t="s">
        <v>3137</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112964</v>
      </c>
      <c r="C2" s="2585" t="s">
        <v>70</v>
      </c>
      <c r="D2" s="1364"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43583</v>
      </c>
      <c r="C3" s="400" t="s">
        <v>2645</v>
      </c>
      <c r="D3" s="399">
        <f>IF(D1="",'数据-汇总表'!E3,SUMIF('数据-汇总表'!$C19:$C33,D1,'数据-汇总表'!$E19:$E33))</f>
        <v>25919.38</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204" t="s">
        <v>2647</v>
      </c>
      <c r="D4" s="3205"/>
      <c r="E4" s="3206" t="s">
        <v>2648</v>
      </c>
      <c r="F4" s="3207"/>
      <c r="G4" s="3204" t="s">
        <v>2649</v>
      </c>
      <c r="H4" s="3205"/>
      <c r="I4" s="3204" t="s">
        <v>2650</v>
      </c>
      <c r="J4" s="3205"/>
      <c r="K4" s="610" t="s">
        <v>2651</v>
      </c>
      <c r="L4" s="1129"/>
      <c r="M4" s="1130"/>
      <c r="N4" s="1130"/>
      <c r="O4" s="1130"/>
      <c r="P4" s="3208" t="s">
        <v>2652</v>
      </c>
      <c r="Q4" s="3209"/>
      <c r="R4" s="3190" t="s">
        <v>2648</v>
      </c>
      <c r="S4" s="3191"/>
      <c r="T4" s="3190" t="s">
        <v>2649</v>
      </c>
      <c r="U4" s="3191"/>
      <c r="V4" s="3216" t="s">
        <v>2650</v>
      </c>
      <c r="W4" s="3216"/>
      <c r="X4" s="2669"/>
      <c r="Y4" s="3190" t="s">
        <v>2652</v>
      </c>
      <c r="Z4" s="3191"/>
      <c r="AA4" s="3185" t="s">
        <v>2648</v>
      </c>
      <c r="AB4" s="3185" t="s">
        <v>2649</v>
      </c>
      <c r="AC4" s="3201" t="s">
        <v>2650</v>
      </c>
    </row>
    <row r="5" spans="1:29" ht="15" customHeight="1">
      <c r="A5" s="404"/>
      <c r="B5" s="405"/>
      <c r="C5" s="3196" t="s">
        <v>2543</v>
      </c>
      <c r="D5" s="3197"/>
      <c r="E5" s="3194" t="s">
        <v>3070</v>
      </c>
      <c r="F5" s="3195"/>
      <c r="G5" s="3194" t="s">
        <v>3072</v>
      </c>
      <c r="H5" s="3195"/>
      <c r="I5" s="3194" t="s">
        <v>3071</v>
      </c>
      <c r="J5" s="3195"/>
      <c r="K5" s="610"/>
      <c r="L5" s="1129"/>
      <c r="M5" s="1130"/>
      <c r="N5" s="1130"/>
      <c r="O5" s="1130"/>
      <c r="P5" s="3210"/>
      <c r="Q5" s="3211"/>
      <c r="R5" s="3192"/>
      <c r="S5" s="3193"/>
      <c r="T5" s="3192"/>
      <c r="U5" s="3193"/>
      <c r="V5" s="3217"/>
      <c r="W5" s="3217"/>
      <c r="X5" s="1812"/>
      <c r="Y5" s="3192"/>
      <c r="Z5" s="3193"/>
      <c r="AA5" s="3186"/>
      <c r="AB5" s="3186"/>
      <c r="AC5" s="3202"/>
    </row>
    <row r="6" spans="1:29" ht="15.75" thickBot="1">
      <c r="A6" s="406"/>
      <c r="B6" s="407"/>
      <c r="C6" s="3198" t="s">
        <v>2547</v>
      </c>
      <c r="D6" s="3199"/>
      <c r="E6" s="3198" t="s">
        <v>2547</v>
      </c>
      <c r="F6" s="3199"/>
      <c r="G6" s="3198" t="s">
        <v>2547</v>
      </c>
      <c r="H6" s="3199"/>
      <c r="I6" s="3198" t="s">
        <v>2547</v>
      </c>
      <c r="J6" s="3199"/>
      <c r="K6" s="610" t="s">
        <v>2548</v>
      </c>
      <c r="L6" s="1129"/>
      <c r="M6" s="1130"/>
      <c r="N6" s="1130"/>
      <c r="O6" s="1130"/>
      <c r="P6" s="3212"/>
      <c r="Q6" s="3213"/>
      <c r="R6" s="3192"/>
      <c r="S6" s="3193"/>
      <c r="T6" s="3214"/>
      <c r="U6" s="3215"/>
      <c r="V6" s="3217"/>
      <c r="W6" s="3217"/>
      <c r="X6" s="1812"/>
      <c r="Y6" s="3214"/>
      <c r="Z6" s="3215"/>
      <c r="AA6" s="3187"/>
      <c r="AB6" s="3187"/>
      <c r="AC6" s="3203"/>
    </row>
    <row r="7" spans="1:29" s="117" customFormat="1" ht="15.75" thickBot="1">
      <c r="A7" s="408" t="s">
        <v>2549</v>
      </c>
      <c r="B7" s="409"/>
      <c r="C7" s="410">
        <f>'数据-取费表'!B2</f>
        <v>43100</v>
      </c>
      <c r="D7" s="411">
        <v>100</v>
      </c>
      <c r="E7" s="412">
        <v>43044</v>
      </c>
      <c r="F7" s="413">
        <f>SUMIF(59:59,YEAR(E7)&amp;"-"&amp;MONTH(E7),60:60)</f>
        <v>100</v>
      </c>
      <c r="G7" s="412">
        <v>43070</v>
      </c>
      <c r="H7" s="411">
        <f>SUMIF(59:59,YEAR(G7)&amp;"-"&amp;MONTH(G7),60:60)</f>
        <v>100</v>
      </c>
      <c r="I7" s="412">
        <v>43094</v>
      </c>
      <c r="J7" s="411">
        <f>SUMIF(59:59,YEAR(I7)&amp;"-"&amp;MONTH(I7),60:60)</f>
        <v>100</v>
      </c>
      <c r="K7" s="611"/>
      <c r="L7" s="1131"/>
      <c r="M7" s="1132"/>
      <c r="N7" s="1132"/>
      <c r="O7" s="1132"/>
      <c r="P7" s="3218" t="s">
        <v>2550</v>
      </c>
      <c r="Q7" s="3219"/>
      <c r="R7" s="770" t="s">
        <v>17</v>
      </c>
      <c r="S7" s="771">
        <f t="shared" ref="S7:S15" si="0">F7</f>
        <v>100</v>
      </c>
      <c r="T7" s="770" t="s">
        <v>17</v>
      </c>
      <c r="U7" s="771">
        <f t="shared" ref="U7:U15" si="1">H7</f>
        <v>100</v>
      </c>
      <c r="V7" s="770" t="s">
        <v>17</v>
      </c>
      <c r="W7" s="771">
        <f t="shared" ref="W7:W15" si="2">J7</f>
        <v>100</v>
      </c>
      <c r="X7" s="772"/>
      <c r="Y7" s="3188" t="s">
        <v>2550</v>
      </c>
      <c r="Z7" s="3189"/>
      <c r="AA7" s="773">
        <f>D7/F7</f>
        <v>1</v>
      </c>
      <c r="AB7" s="773">
        <f>D7/H7</f>
        <v>1</v>
      </c>
      <c r="AC7" s="2670">
        <f>D7/J7</f>
        <v>1</v>
      </c>
    </row>
    <row r="8" spans="1:29" s="117" customFormat="1" ht="15.75" thickBot="1">
      <c r="A8" s="408" t="s">
        <v>2551</v>
      </c>
      <c r="B8" s="409"/>
      <c r="C8" s="414" t="s">
        <v>2653</v>
      </c>
      <c r="D8" s="411">
        <v>100</v>
      </c>
      <c r="E8" s="414" t="s">
        <v>3073</v>
      </c>
      <c r="F8" s="413">
        <f>SUMIF(62:62,E8,63:63)-SUMIF(62:62,C8,63:63)+100</f>
        <v>100</v>
      </c>
      <c r="G8" s="414" t="s">
        <v>3073</v>
      </c>
      <c r="H8" s="411">
        <f>SUMIF(62:62,G8,63:63)-SUMIF(62:62,C8,63:63)+100</f>
        <v>100</v>
      </c>
      <c r="I8" s="414" t="s">
        <v>3073</v>
      </c>
      <c r="J8" s="411">
        <f>SUMIF(62:62,I8,63:63)-SUMIF(62:62,C8,63:63)+100</f>
        <v>100</v>
      </c>
      <c r="K8" s="611"/>
      <c r="L8" s="1131"/>
      <c r="M8" s="1132"/>
      <c r="N8" s="1132"/>
      <c r="O8" s="1132"/>
      <c r="P8" s="3218" t="s">
        <v>2553</v>
      </c>
      <c r="Q8" s="3189"/>
      <c r="R8" s="770" t="s">
        <v>17</v>
      </c>
      <c r="S8" s="771">
        <f t="shared" si="0"/>
        <v>100</v>
      </c>
      <c r="T8" s="770" t="s">
        <v>17</v>
      </c>
      <c r="U8" s="771">
        <f t="shared" si="1"/>
        <v>100</v>
      </c>
      <c r="V8" s="770" t="s">
        <v>17</v>
      </c>
      <c r="W8" s="771">
        <f t="shared" si="2"/>
        <v>100</v>
      </c>
      <c r="X8" s="772"/>
      <c r="Y8" s="3188" t="s">
        <v>2553</v>
      </c>
      <c r="Z8" s="3189"/>
      <c r="AA8" s="773">
        <f t="shared" ref="AA8:AA47" si="3">D8/F8</f>
        <v>1</v>
      </c>
      <c r="AB8" s="773">
        <f t="shared" ref="AB8:AB47" si="4">D8/H8</f>
        <v>1</v>
      </c>
      <c r="AC8" s="2670">
        <f t="shared" ref="AC8:AC47" si="5">D8/J8</f>
        <v>1</v>
      </c>
    </row>
    <row r="9" spans="1:29" s="117" customFormat="1">
      <c r="A9" s="415" t="s">
        <v>2554</v>
      </c>
      <c r="B9" s="71" t="s">
        <v>2555</v>
      </c>
      <c r="C9" s="2971" t="s">
        <v>3074</v>
      </c>
      <c r="D9" s="135">
        <v>100</v>
      </c>
      <c r="E9" s="2972" t="s">
        <v>3075</v>
      </c>
      <c r="F9" s="135">
        <f>SUMIF(64:64,E9,65:65)-SUMIF(64:64,C9,65:65)+100</f>
        <v>100</v>
      </c>
      <c r="G9" s="2973" t="s">
        <v>3074</v>
      </c>
      <c r="H9" s="135">
        <f>SUMIF(64:64,G9,65:65)-SUMIF(64:64,C9,65:65)+100</f>
        <v>100</v>
      </c>
      <c r="I9" s="2973" t="s">
        <v>3074</v>
      </c>
      <c r="J9" s="135">
        <f>SUMIF(64:64,I9,65:65)-SUMIF(64:64,C9,65:65)+100</f>
        <v>100</v>
      </c>
      <c r="K9" s="611"/>
      <c r="L9" s="1131"/>
      <c r="M9" s="1132"/>
      <c r="N9" s="1132"/>
      <c r="O9" s="1132"/>
      <c r="P9" s="3200" t="s">
        <v>2556</v>
      </c>
      <c r="Q9" s="1794" t="str">
        <f t="shared" ref="Q9:Q15" si="6">B9</f>
        <v>用途</v>
      </c>
      <c r="R9" s="770" t="s">
        <v>17</v>
      </c>
      <c r="S9" s="771">
        <f t="shared" si="0"/>
        <v>100</v>
      </c>
      <c r="T9" s="770" t="s">
        <v>17</v>
      </c>
      <c r="U9" s="771">
        <f t="shared" si="1"/>
        <v>100</v>
      </c>
      <c r="V9" s="770" t="s">
        <v>17</v>
      </c>
      <c r="W9" s="771">
        <f t="shared" si="2"/>
        <v>100</v>
      </c>
      <c r="X9" s="772"/>
      <c r="Y9" s="3065" t="s">
        <v>2557</v>
      </c>
      <c r="Z9" s="55" t="str">
        <f t="shared" ref="Z9:Z15" si="7">Q9</f>
        <v>用途</v>
      </c>
      <c r="AA9" s="773">
        <f t="shared" si="3"/>
        <v>1</v>
      </c>
      <c r="AB9" s="773">
        <f t="shared" si="4"/>
        <v>1</v>
      </c>
      <c r="AC9" s="2670">
        <f t="shared" si="5"/>
        <v>1</v>
      </c>
    </row>
    <row r="10" spans="1:29" s="427" customFormat="1" ht="27">
      <c r="A10" s="421"/>
      <c r="B10" s="422" t="s">
        <v>2558</v>
      </c>
      <c r="C10" s="423" t="s">
        <v>3076</v>
      </c>
      <c r="D10" s="136">
        <v>100</v>
      </c>
      <c r="E10" s="423" t="s">
        <v>3077</v>
      </c>
      <c r="F10" s="136">
        <f>SUMIF(66:66,E10,67:67)-SUMIF(66:66,C10,67:67)+100</f>
        <v>98</v>
      </c>
      <c r="G10" s="424" t="s">
        <v>3077</v>
      </c>
      <c r="H10" s="136">
        <f>SUMIF(66:66,G10,67:67)-SUMIF(66:66,C10,67:67)+100</f>
        <v>98</v>
      </c>
      <c r="I10" s="423" t="s">
        <v>3077</v>
      </c>
      <c r="J10" s="136">
        <f>SUMIF(66:66,I10,67:67)-SUMIF(66:66,C10,67:67)+100</f>
        <v>98</v>
      </c>
      <c r="K10" s="612">
        <v>2</v>
      </c>
      <c r="L10" s="1134"/>
      <c r="M10" s="1135"/>
      <c r="N10" s="1135"/>
      <c r="O10" s="1135"/>
      <c r="P10" s="3200"/>
      <c r="Q10" s="1794" t="str">
        <f t="shared" si="6"/>
        <v>土地使用年限（年）</v>
      </c>
      <c r="R10" s="770" t="s">
        <v>17</v>
      </c>
      <c r="S10" s="771">
        <f t="shared" si="0"/>
        <v>98</v>
      </c>
      <c r="T10" s="770" t="s">
        <v>17</v>
      </c>
      <c r="U10" s="771">
        <f t="shared" si="1"/>
        <v>98</v>
      </c>
      <c r="V10" s="770" t="s">
        <v>17</v>
      </c>
      <c r="W10" s="771">
        <f t="shared" si="2"/>
        <v>98</v>
      </c>
      <c r="X10" s="772"/>
      <c r="Y10" s="3065"/>
      <c r="Z10" s="55" t="str">
        <f t="shared" si="7"/>
        <v>土地使用年限（年）</v>
      </c>
      <c r="AA10" s="773">
        <f t="shared" si="3"/>
        <v>1.0204081632653061</v>
      </c>
      <c r="AB10" s="773">
        <f t="shared" si="4"/>
        <v>1.0204081632653061</v>
      </c>
      <c r="AC10" s="2670">
        <f t="shared" si="5"/>
        <v>1.0204081632653061</v>
      </c>
    </row>
    <row r="11" spans="1:29" ht="15">
      <c r="A11" s="428"/>
      <c r="B11" s="422" t="s">
        <v>2559</v>
      </c>
      <c r="C11" s="429">
        <v>1.95</v>
      </c>
      <c r="D11" s="136">
        <v>100</v>
      </c>
      <c r="E11" s="429">
        <v>1.9</v>
      </c>
      <c r="F11" s="136">
        <f>LOOKUP(E11,69:69,70:70)-LOOKUP(C11,69:69,70:70)+100</f>
        <v>100</v>
      </c>
      <c r="G11" s="430">
        <v>7.7</v>
      </c>
      <c r="H11" s="136">
        <f>LOOKUP(G11,69:69,70:70)-LOOKUP(C11,69:69,70:70)+100</f>
        <v>94</v>
      </c>
      <c r="I11" s="429">
        <v>2.5</v>
      </c>
      <c r="J11" s="136">
        <f>LOOKUP(I11,69:69,70:70)-LOOKUP(C11,69:69,70:70)+100</f>
        <v>99</v>
      </c>
      <c r="K11" s="612">
        <v>1</v>
      </c>
      <c r="L11" s="1137"/>
      <c r="M11" s="1130"/>
      <c r="N11" s="1130"/>
      <c r="O11" s="1130"/>
      <c r="P11" s="3200"/>
      <c r="Q11" s="1794" t="str">
        <f t="shared" si="6"/>
        <v>容积率</v>
      </c>
      <c r="R11" s="770" t="s">
        <v>17</v>
      </c>
      <c r="S11" s="771">
        <f t="shared" si="0"/>
        <v>100</v>
      </c>
      <c r="T11" s="770" t="s">
        <v>17</v>
      </c>
      <c r="U11" s="771">
        <f t="shared" si="1"/>
        <v>94</v>
      </c>
      <c r="V11" s="770" t="s">
        <v>17</v>
      </c>
      <c r="W11" s="771">
        <f t="shared" si="2"/>
        <v>99</v>
      </c>
      <c r="X11" s="772"/>
      <c r="Y11" s="3065"/>
      <c r="Z11" s="55" t="str">
        <f t="shared" si="7"/>
        <v>容积率</v>
      </c>
      <c r="AA11" s="773">
        <f t="shared" si="3"/>
        <v>1</v>
      </c>
      <c r="AB11" s="773">
        <f t="shared" si="4"/>
        <v>1.0638297872340425</v>
      </c>
      <c r="AC11" s="2670">
        <f t="shared" si="5"/>
        <v>1.0101010101010102</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200"/>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200"/>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200"/>
      <c r="Q14" s="1794">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20" t="s">
        <v>2561</v>
      </c>
      <c r="Q15" s="1809" t="str">
        <f t="shared" si="6"/>
        <v>办公集聚程度</v>
      </c>
      <c r="R15" s="774" t="s">
        <v>17</v>
      </c>
      <c r="S15" s="775">
        <f t="shared" si="0"/>
        <v>100</v>
      </c>
      <c r="T15" s="774" t="s">
        <v>17</v>
      </c>
      <c r="U15" s="775">
        <f t="shared" si="1"/>
        <v>100</v>
      </c>
      <c r="V15" s="774" t="s">
        <v>17</v>
      </c>
      <c r="W15" s="775">
        <f t="shared" si="2"/>
        <v>100</v>
      </c>
      <c r="X15" s="1812"/>
      <c r="Y15" s="3222" t="s">
        <v>2561</v>
      </c>
      <c r="Z15" s="1813" t="str">
        <f t="shared" si="7"/>
        <v>办公集聚程度</v>
      </c>
      <c r="AA15" s="1810">
        <f t="shared" si="3"/>
        <v>1</v>
      </c>
      <c r="AB15" s="1810">
        <f t="shared" si="4"/>
        <v>1</v>
      </c>
      <c r="AC15" s="2673">
        <f t="shared" si="5"/>
        <v>1</v>
      </c>
    </row>
    <row r="16" spans="1:29" ht="15">
      <c r="A16" s="428"/>
      <c r="B16" s="630"/>
      <c r="C16" s="2977" t="s">
        <v>3120</v>
      </c>
      <c r="D16" s="448"/>
      <c r="E16" s="2978" t="s">
        <v>3119</v>
      </c>
      <c r="F16" s="448"/>
      <c r="G16" s="2977" t="s">
        <v>3119</v>
      </c>
      <c r="H16" s="450"/>
      <c r="I16" s="2978" t="s">
        <v>3119</v>
      </c>
      <c r="J16" s="448"/>
      <c r="K16" s="615"/>
      <c r="L16" s="1139"/>
      <c r="M16" s="1130"/>
      <c r="N16" s="1130"/>
      <c r="O16" s="1130"/>
      <c r="P16" s="3221"/>
      <c r="Q16" s="1809"/>
      <c r="R16" s="774"/>
      <c r="S16" s="775"/>
      <c r="T16" s="774"/>
      <c r="U16" s="775"/>
      <c r="V16" s="774"/>
      <c r="W16" s="775"/>
      <c r="X16" s="1812"/>
      <c r="Y16" s="3223"/>
      <c r="Z16" s="1813"/>
      <c r="AA16" s="1810">
        <v>1</v>
      </c>
      <c r="AB16" s="1810">
        <v>1</v>
      </c>
      <c r="AC16" s="2673">
        <v>1</v>
      </c>
    </row>
    <row r="17" spans="1:29" ht="71.25">
      <c r="A17" s="428"/>
      <c r="B17" s="631" t="s">
        <v>2098</v>
      </c>
      <c r="C17" s="2674" t="str">
        <f>估价对象房地状况!C6</f>
        <v>估价对象周边道路通达、公共交通便捷、停车便捷，综合评价交通便捷度较好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21"/>
      <c r="Q17" s="1809" t="str">
        <f>B17</f>
        <v>交通便捷度</v>
      </c>
      <c r="R17" s="774" t="s">
        <v>17</v>
      </c>
      <c r="S17" s="775">
        <f>F17</f>
        <v>100</v>
      </c>
      <c r="T17" s="774" t="s">
        <v>17</v>
      </c>
      <c r="U17" s="775">
        <f>H17</f>
        <v>100</v>
      </c>
      <c r="V17" s="774" t="s">
        <v>17</v>
      </c>
      <c r="W17" s="775">
        <f>J17</f>
        <v>100</v>
      </c>
      <c r="X17" s="1812"/>
      <c r="Y17" s="3223"/>
      <c r="Z17" s="1813" t="str">
        <f>Q17</f>
        <v>交通便捷度</v>
      </c>
      <c r="AA17" s="1810">
        <f t="shared" si="3"/>
        <v>1</v>
      </c>
      <c r="AB17" s="1810">
        <f t="shared" si="4"/>
        <v>1</v>
      </c>
      <c r="AC17" s="2673">
        <f t="shared" si="5"/>
        <v>1</v>
      </c>
    </row>
    <row r="18" spans="1:29" ht="15">
      <c r="A18" s="428"/>
      <c r="B18" s="632"/>
      <c r="C18" s="2979" t="s">
        <v>3119</v>
      </c>
      <c r="D18" s="450"/>
      <c r="E18" s="2980" t="s">
        <v>3119</v>
      </c>
      <c r="F18" s="450"/>
      <c r="G18" s="2981" t="s">
        <v>3119</v>
      </c>
      <c r="H18" s="448"/>
      <c r="I18" s="2981" t="s">
        <v>3119</v>
      </c>
      <c r="J18" s="448"/>
      <c r="K18" s="615"/>
      <c r="L18" s="1139"/>
      <c r="M18" s="1130"/>
      <c r="N18" s="1130"/>
      <c r="O18" s="1130"/>
      <c r="P18" s="3221"/>
      <c r="Q18" s="1809"/>
      <c r="R18" s="774"/>
      <c r="S18" s="775"/>
      <c r="T18" s="774"/>
      <c r="U18" s="775"/>
      <c r="V18" s="774"/>
      <c r="W18" s="775"/>
      <c r="X18" s="1812"/>
      <c r="Y18" s="3223"/>
      <c r="Z18" s="1813"/>
      <c r="AA18" s="1810">
        <v>1</v>
      </c>
      <c r="AB18" s="1810">
        <v>1</v>
      </c>
      <c r="AC18" s="2673">
        <v>1</v>
      </c>
    </row>
    <row r="19" spans="1:29" ht="42.75">
      <c r="A19" s="428"/>
      <c r="B19" s="631" t="s">
        <v>2689</v>
      </c>
      <c r="C19" s="2674"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21"/>
      <c r="Q19" s="1809" t="str">
        <f>B19</f>
        <v>公共配套设施</v>
      </c>
      <c r="R19" s="774" t="s">
        <v>17</v>
      </c>
      <c r="S19" s="775">
        <f>F19</f>
        <v>100</v>
      </c>
      <c r="T19" s="774" t="s">
        <v>17</v>
      </c>
      <c r="U19" s="775">
        <f>H19</f>
        <v>100</v>
      </c>
      <c r="V19" s="774" t="s">
        <v>17</v>
      </c>
      <c r="W19" s="775">
        <f>J19</f>
        <v>100</v>
      </c>
      <c r="X19" s="1812"/>
      <c r="Y19" s="3223"/>
      <c r="Z19" s="1813" t="str">
        <f>Q19</f>
        <v>公共配套设施</v>
      </c>
      <c r="AA19" s="1810">
        <f t="shared" si="3"/>
        <v>1</v>
      </c>
      <c r="AB19" s="1810">
        <f t="shared" si="4"/>
        <v>1</v>
      </c>
      <c r="AC19" s="2673">
        <f t="shared" si="5"/>
        <v>1</v>
      </c>
    </row>
    <row r="20" spans="1:29" ht="15">
      <c r="A20" s="428"/>
      <c r="B20" s="632"/>
      <c r="C20" s="2977" t="s">
        <v>3119</v>
      </c>
      <c r="D20" s="448"/>
      <c r="E20" s="2982" t="s">
        <v>3119</v>
      </c>
      <c r="F20" s="448"/>
      <c r="G20" s="2983" t="s">
        <v>3119</v>
      </c>
      <c r="H20" s="448"/>
      <c r="I20" s="2983" t="s">
        <v>3119</v>
      </c>
      <c r="J20" s="448"/>
      <c r="K20" s="615"/>
      <c r="L20" s="1139"/>
      <c r="M20" s="1130"/>
      <c r="N20" s="1130"/>
      <c r="O20" s="1130"/>
      <c r="P20" s="3221"/>
      <c r="Q20" s="1809"/>
      <c r="R20" s="774"/>
      <c r="S20" s="775"/>
      <c r="T20" s="774"/>
      <c r="U20" s="775"/>
      <c r="V20" s="774"/>
      <c r="W20" s="775"/>
      <c r="X20" s="1812"/>
      <c r="Y20" s="3223"/>
      <c r="Z20" s="1813"/>
      <c r="AA20" s="1810">
        <v>1</v>
      </c>
      <c r="AB20" s="1810">
        <v>1</v>
      </c>
      <c r="AC20" s="2673">
        <v>1</v>
      </c>
    </row>
    <row r="21" spans="1:29" ht="42.75">
      <c r="A21" s="428"/>
      <c r="B21" s="633" t="s">
        <v>2690</v>
      </c>
      <c r="C21" s="2674"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21"/>
      <c r="Q21" s="1809" t="str">
        <f>B21</f>
        <v>基础设施水平</v>
      </c>
      <c r="R21" s="774" t="s">
        <v>17</v>
      </c>
      <c r="S21" s="775">
        <f>F21</f>
        <v>100</v>
      </c>
      <c r="T21" s="774" t="s">
        <v>17</v>
      </c>
      <c r="U21" s="775">
        <f>H21</f>
        <v>100</v>
      </c>
      <c r="V21" s="774" t="s">
        <v>17</v>
      </c>
      <c r="W21" s="775">
        <f>J21</f>
        <v>100</v>
      </c>
      <c r="X21" s="1812"/>
      <c r="Y21" s="3223"/>
      <c r="Z21" s="1813" t="str">
        <f>Q21</f>
        <v>基础设施水平</v>
      </c>
      <c r="AA21" s="1810">
        <f t="shared" ref="AA21" si="8">D21/F21</f>
        <v>1</v>
      </c>
      <c r="AB21" s="1810">
        <f t="shared" ref="AB21" si="9">D21/H21</f>
        <v>1</v>
      </c>
      <c r="AC21" s="2673">
        <f t="shared" ref="AC21" si="10">D21/J21</f>
        <v>1</v>
      </c>
    </row>
    <row r="22" spans="1:29" ht="15">
      <c r="A22" s="428"/>
      <c r="B22" s="633"/>
      <c r="C22" s="2984" t="s">
        <v>3121</v>
      </c>
      <c r="D22" s="448"/>
      <c r="E22" s="2984" t="s">
        <v>3121</v>
      </c>
      <c r="F22" s="448"/>
      <c r="G22" s="2984" t="s">
        <v>3121</v>
      </c>
      <c r="H22" s="448"/>
      <c r="I22" s="2984" t="s">
        <v>3121</v>
      </c>
      <c r="J22" s="448"/>
      <c r="K22" s="1382"/>
      <c r="L22" s="1139"/>
      <c r="M22" s="1130"/>
      <c r="N22" s="1130"/>
      <c r="O22" s="1130"/>
      <c r="P22" s="3221"/>
      <c r="Q22" s="1809"/>
      <c r="R22" s="774"/>
      <c r="S22" s="775"/>
      <c r="T22" s="774"/>
      <c r="U22" s="775"/>
      <c r="V22" s="774"/>
      <c r="W22" s="775"/>
      <c r="X22" s="1812"/>
      <c r="Y22" s="3223"/>
      <c r="Z22" s="1813"/>
      <c r="AA22" s="1810">
        <v>1</v>
      </c>
      <c r="AB22" s="1810">
        <v>1</v>
      </c>
      <c r="AC22" s="2673">
        <v>1</v>
      </c>
    </row>
    <row r="23" spans="1:29" ht="57">
      <c r="A23" s="428"/>
      <c r="B23" s="631" t="s">
        <v>2691</v>
      </c>
      <c r="C23" s="2674" t="str">
        <f>估价对象房地状况!C9</f>
        <v>区域自然环境较好；人文环境一般；综合评价环境状况较好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21"/>
      <c r="Q23" s="1809" t="str">
        <f>B23</f>
        <v>环境质量</v>
      </c>
      <c r="R23" s="774" t="s">
        <v>17</v>
      </c>
      <c r="S23" s="775">
        <f>F23</f>
        <v>100</v>
      </c>
      <c r="T23" s="774" t="s">
        <v>17</v>
      </c>
      <c r="U23" s="775">
        <f>H23</f>
        <v>100</v>
      </c>
      <c r="V23" s="774" t="s">
        <v>17</v>
      </c>
      <c r="W23" s="775">
        <f>J23</f>
        <v>100</v>
      </c>
      <c r="X23" s="1812"/>
      <c r="Y23" s="3223"/>
      <c r="Z23" s="1813" t="str">
        <f>Q23</f>
        <v>环境质量</v>
      </c>
      <c r="AA23" s="1810">
        <f t="shared" si="3"/>
        <v>1</v>
      </c>
      <c r="AB23" s="1810">
        <f t="shared" si="4"/>
        <v>1</v>
      </c>
      <c r="AC23" s="2673">
        <f t="shared" si="5"/>
        <v>1</v>
      </c>
    </row>
    <row r="24" spans="1:29" ht="15">
      <c r="A24" s="428"/>
      <c r="B24" s="633"/>
      <c r="C24" s="2979" t="s">
        <v>3119</v>
      </c>
      <c r="D24" s="448"/>
      <c r="E24" s="2979" t="s">
        <v>3119</v>
      </c>
      <c r="F24" s="448"/>
      <c r="G24" s="2979" t="s">
        <v>3119</v>
      </c>
      <c r="H24" s="448"/>
      <c r="I24" s="2979" t="s">
        <v>3119</v>
      </c>
      <c r="J24" s="448"/>
      <c r="K24" s="615"/>
      <c r="L24" s="1139"/>
      <c r="M24" s="1130"/>
      <c r="N24" s="1130"/>
      <c r="O24" s="1130"/>
      <c r="P24" s="3221"/>
      <c r="Q24" s="1809"/>
      <c r="R24" s="774"/>
      <c r="S24" s="775"/>
      <c r="T24" s="774"/>
      <c r="U24" s="775"/>
      <c r="V24" s="774"/>
      <c r="W24" s="775"/>
      <c r="X24" s="1812"/>
      <c r="Y24" s="3223"/>
      <c r="Z24" s="1813"/>
      <c r="AA24" s="1810">
        <v>1</v>
      </c>
      <c r="AB24" s="1810">
        <v>1</v>
      </c>
      <c r="AC24" s="2673">
        <v>1</v>
      </c>
    </row>
    <row r="25" spans="1:29" ht="27">
      <c r="A25" s="404"/>
      <c r="B25" s="631" t="s">
        <v>2692</v>
      </c>
      <c r="C25" s="2985" t="s">
        <v>3122</v>
      </c>
      <c r="D25" s="435">
        <v>100</v>
      </c>
      <c r="E25" s="2986" t="s">
        <v>3123</v>
      </c>
      <c r="F25" s="435">
        <f>SUMIF(87:87,E26,88:88)-SUMIF(87:87,C26,88:88)+100</f>
        <v>100</v>
      </c>
      <c r="G25" s="2986" t="s">
        <v>3125</v>
      </c>
      <c r="H25" s="435">
        <f>SUMIF(87:87,G26,88:88)-SUMIF(87:87,C26,88:88)+100</f>
        <v>100</v>
      </c>
      <c r="I25" s="2986" t="s">
        <v>3124</v>
      </c>
      <c r="J25" s="435">
        <f>SUMIF(87:87,I26,88:88)-SUMIF(87:87,C26,88:88)+100</f>
        <v>100</v>
      </c>
      <c r="K25" s="614">
        <v>1</v>
      </c>
      <c r="L25" s="1139"/>
      <c r="M25" s="1130"/>
      <c r="N25" s="1130"/>
      <c r="O25" s="1130"/>
      <c r="P25" s="3221"/>
      <c r="Q25" s="1809" t="str">
        <f>B25</f>
        <v>毗邻道路的类型与等级</v>
      </c>
      <c r="R25" s="774" t="s">
        <v>17</v>
      </c>
      <c r="S25" s="775">
        <f>F25</f>
        <v>100</v>
      </c>
      <c r="T25" s="774" t="s">
        <v>17</v>
      </c>
      <c r="U25" s="775">
        <f>H25</f>
        <v>100</v>
      </c>
      <c r="V25" s="774" t="s">
        <v>17</v>
      </c>
      <c r="W25" s="775">
        <f>J25</f>
        <v>100</v>
      </c>
      <c r="X25" s="1812"/>
      <c r="Y25" s="3223"/>
      <c r="Z25" s="1813" t="str">
        <f>Q25</f>
        <v>毗邻道路的类型与等级</v>
      </c>
      <c r="AA25" s="1810">
        <f t="shared" si="3"/>
        <v>1</v>
      </c>
      <c r="AB25" s="1810">
        <f t="shared" si="4"/>
        <v>1</v>
      </c>
      <c r="AC25" s="2673">
        <f t="shared" si="5"/>
        <v>1</v>
      </c>
    </row>
    <row r="26" spans="1:29" ht="15">
      <c r="A26" s="404"/>
      <c r="B26" s="632"/>
      <c r="C26" s="2987" t="s">
        <v>3126</v>
      </c>
      <c r="D26" s="435"/>
      <c r="E26" s="2987" t="s">
        <v>3126</v>
      </c>
      <c r="F26" s="435"/>
      <c r="G26" s="2987" t="s">
        <v>3126</v>
      </c>
      <c r="H26" s="435"/>
      <c r="I26" s="2987" t="s">
        <v>3126</v>
      </c>
      <c r="J26" s="435"/>
      <c r="K26" s="615"/>
      <c r="L26" s="1139"/>
      <c r="M26" s="1130"/>
      <c r="N26" s="1130"/>
      <c r="O26" s="1130"/>
      <c r="P26" s="3221"/>
      <c r="Q26" s="1809"/>
      <c r="R26" s="774"/>
      <c r="S26" s="775"/>
      <c r="T26" s="774"/>
      <c r="U26" s="775"/>
      <c r="V26" s="774"/>
      <c r="W26" s="775"/>
      <c r="X26" s="1812"/>
      <c r="Y26" s="3223"/>
      <c r="Z26" s="1813"/>
      <c r="AA26" s="1810">
        <v>1</v>
      </c>
      <c r="AB26" s="1810">
        <v>1</v>
      </c>
      <c r="AC26" s="2673">
        <v>1</v>
      </c>
    </row>
    <row r="27" spans="1:29" ht="15">
      <c r="A27" s="428"/>
      <c r="B27" s="632" t="s">
        <v>2660</v>
      </c>
      <c r="C27" s="634" t="s">
        <v>3127</v>
      </c>
      <c r="D27" s="435">
        <v>100</v>
      </c>
      <c r="E27" s="616" t="s">
        <v>3127</v>
      </c>
      <c r="F27" s="435">
        <f>SUMIF(89:89,E27,90:90)-SUMIF(89:89,C27,90:90)+100</f>
        <v>100</v>
      </c>
      <c r="G27" s="634" t="s">
        <v>3128</v>
      </c>
      <c r="H27" s="435">
        <f>SUMIF(89:89,G27,90:90)-SUMIF(89:89,C27,90:90)+100</f>
        <v>103</v>
      </c>
      <c r="I27" s="616" t="s">
        <v>3127</v>
      </c>
      <c r="J27" s="435">
        <f>SUMIF(89:89,I27,90:90)-SUMIF(89:89,C27,90:90)+100</f>
        <v>100</v>
      </c>
      <c r="K27" s="612">
        <v>3</v>
      </c>
      <c r="L27" s="1139"/>
      <c r="M27" s="1130"/>
      <c r="N27" s="1130"/>
      <c r="O27" s="1130"/>
      <c r="P27" s="3221"/>
      <c r="Q27" s="1809" t="str">
        <f t="shared" ref="Q27:Q47" si="11">B27</f>
        <v>楼层</v>
      </c>
      <c r="R27" s="774" t="s">
        <v>17</v>
      </c>
      <c r="S27" s="775">
        <f>F27</f>
        <v>100</v>
      </c>
      <c r="T27" s="774" t="s">
        <v>17</v>
      </c>
      <c r="U27" s="775">
        <f>H27</f>
        <v>103</v>
      </c>
      <c r="V27" s="774" t="s">
        <v>17</v>
      </c>
      <c r="W27" s="775">
        <f>J27</f>
        <v>100</v>
      </c>
      <c r="X27" s="1812"/>
      <c r="Y27" s="3223"/>
      <c r="Z27" s="1813" t="str">
        <f>Q27</f>
        <v>楼层</v>
      </c>
      <c r="AA27" s="1810">
        <f t="shared" si="3"/>
        <v>1</v>
      </c>
      <c r="AB27" s="1810">
        <f t="shared" si="4"/>
        <v>0.970873786407767</v>
      </c>
      <c r="AC27" s="2673">
        <f t="shared" si="5"/>
        <v>1</v>
      </c>
    </row>
    <row r="28" spans="1:29" s="117" customFormat="1" ht="15">
      <c r="A28" s="431"/>
      <c r="B28" s="631" t="s">
        <v>2693</v>
      </c>
      <c r="C28" s="2675" t="s">
        <v>3178</v>
      </c>
      <c r="D28" s="462">
        <v>100</v>
      </c>
      <c r="E28" s="2664" t="s">
        <v>3178</v>
      </c>
      <c r="F28" s="462">
        <f>SUMIF(91:91,E28,92:92)-SUMIF(91:91,C28,92:92)+100</f>
        <v>100</v>
      </c>
      <c r="G28" s="2675" t="s">
        <v>3178</v>
      </c>
      <c r="H28" s="462">
        <f>SUMIF(91:91,G28,92:92)-SUMIF(91:91,C28,92:92)+100</f>
        <v>100</v>
      </c>
      <c r="I28" s="2664" t="s">
        <v>3179</v>
      </c>
      <c r="J28" s="462">
        <f>SUMIF(91:91,I28,92:92)-SUMIF(91:91,C28,92:92)+100</f>
        <v>100.265</v>
      </c>
      <c r="K28" s="612">
        <v>0.26500000000000001</v>
      </c>
      <c r="L28" s="1131"/>
      <c r="M28" s="1132"/>
      <c r="N28" s="1132"/>
      <c r="O28" s="1132"/>
      <c r="P28" s="3221"/>
      <c r="Q28" s="1794" t="str">
        <f t="shared" si="11"/>
        <v>朝向</v>
      </c>
      <c r="R28" s="770" t="s">
        <v>17</v>
      </c>
      <c r="S28" s="771">
        <f>F28</f>
        <v>100</v>
      </c>
      <c r="T28" s="770" t="s">
        <v>17</v>
      </c>
      <c r="U28" s="771">
        <f>H28</f>
        <v>100</v>
      </c>
      <c r="V28" s="770" t="s">
        <v>17</v>
      </c>
      <c r="W28" s="771">
        <f>J28</f>
        <v>100.265</v>
      </c>
      <c r="X28" s="772"/>
      <c r="Y28" s="3223"/>
      <c r="Z28" s="55" t="str">
        <f>Q28</f>
        <v>朝向</v>
      </c>
      <c r="AA28" s="1810">
        <f>D28/F28</f>
        <v>1</v>
      </c>
      <c r="AB28" s="1810">
        <f>D28/H28</f>
        <v>1</v>
      </c>
      <c r="AC28" s="2673">
        <f>D28/J28</f>
        <v>0.99735700393956017</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221"/>
      <c r="Q29" s="1809">
        <f t="shared" si="11"/>
        <v>111</v>
      </c>
      <c r="R29" s="774" t="s">
        <v>17</v>
      </c>
      <c r="S29" s="775">
        <f t="shared" ref="S29:S47" si="12">F29</f>
        <v>100</v>
      </c>
      <c r="T29" s="774" t="s">
        <v>17</v>
      </c>
      <c r="U29" s="775">
        <f t="shared" ref="U29:U47" si="13">H29</f>
        <v>100</v>
      </c>
      <c r="V29" s="774" t="s">
        <v>17</v>
      </c>
      <c r="W29" s="775">
        <f t="shared" ref="W29:W47" si="14">J29</f>
        <v>100</v>
      </c>
      <c r="X29" s="1812"/>
      <c r="Y29" s="3223"/>
      <c r="Z29" s="1813">
        <f t="shared" ref="Z29:Z47" si="15">Q29</f>
        <v>111</v>
      </c>
      <c r="AA29" s="1810">
        <f t="shared" si="3"/>
        <v>1</v>
      </c>
      <c r="AB29" s="1810">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221"/>
      <c r="Q30" s="1809">
        <f t="shared" si="11"/>
        <v>111</v>
      </c>
      <c r="R30" s="774" t="s">
        <v>17</v>
      </c>
      <c r="S30" s="775">
        <f t="shared" si="12"/>
        <v>100</v>
      </c>
      <c r="T30" s="774" t="s">
        <v>17</v>
      </c>
      <c r="U30" s="775">
        <f t="shared" si="13"/>
        <v>100</v>
      </c>
      <c r="V30" s="774" t="s">
        <v>17</v>
      </c>
      <c r="W30" s="775">
        <f t="shared" si="14"/>
        <v>100</v>
      </c>
      <c r="X30" s="1812"/>
      <c r="Y30" s="3223"/>
      <c r="Z30" s="1813">
        <f t="shared" si="15"/>
        <v>111</v>
      </c>
      <c r="AA30" s="1810">
        <f t="shared" si="3"/>
        <v>1</v>
      </c>
      <c r="AB30" s="1810">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221"/>
      <c r="Q31" s="1809">
        <f t="shared" si="11"/>
        <v>111</v>
      </c>
      <c r="R31" s="774" t="s">
        <v>17</v>
      </c>
      <c r="S31" s="775">
        <f t="shared" si="12"/>
        <v>100</v>
      </c>
      <c r="T31" s="774" t="s">
        <v>17</v>
      </c>
      <c r="U31" s="775">
        <f t="shared" si="13"/>
        <v>100</v>
      </c>
      <c r="V31" s="774" t="s">
        <v>17</v>
      </c>
      <c r="W31" s="775">
        <f t="shared" si="14"/>
        <v>100</v>
      </c>
      <c r="X31" s="1812"/>
      <c r="Y31" s="3223"/>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221"/>
      <c r="Q32" s="1809">
        <f t="shared" si="11"/>
        <v>111</v>
      </c>
      <c r="R32" s="774" t="s">
        <v>17</v>
      </c>
      <c r="S32" s="775">
        <f t="shared" si="12"/>
        <v>100</v>
      </c>
      <c r="T32" s="774" t="s">
        <v>17</v>
      </c>
      <c r="U32" s="775">
        <f t="shared" si="13"/>
        <v>100</v>
      </c>
      <c r="V32" s="774" t="s">
        <v>17</v>
      </c>
      <c r="W32" s="775">
        <f t="shared" si="14"/>
        <v>100</v>
      </c>
      <c r="X32" s="1812"/>
      <c r="Y32" s="3223"/>
      <c r="Z32" s="1813">
        <f t="shared" si="15"/>
        <v>111</v>
      </c>
      <c r="AA32" s="1810">
        <f t="shared" si="3"/>
        <v>1</v>
      </c>
      <c r="AB32" s="1810">
        <f t="shared" si="4"/>
        <v>1</v>
      </c>
      <c r="AC32" s="2673">
        <f t="shared" si="5"/>
        <v>1</v>
      </c>
    </row>
    <row r="33" spans="1:29" ht="15">
      <c r="A33" s="440" t="s">
        <v>2564</v>
      </c>
      <c r="B33" s="71" t="s">
        <v>2694</v>
      </c>
      <c r="C33" s="2677" t="s">
        <v>3138</v>
      </c>
      <c r="D33" s="467">
        <v>100</v>
      </c>
      <c r="E33" s="2677" t="s">
        <v>3138</v>
      </c>
      <c r="F33" s="461">
        <f>SUMIF(101:101,E33,102:102)-SUMIF(101:101,C33,102:102)+100</f>
        <v>100</v>
      </c>
      <c r="G33" s="2677" t="s">
        <v>3138</v>
      </c>
      <c r="H33" s="435">
        <f>SUMIF(101:101,G33,102:102)-SUMIF(101:101,C33,102:102)+100</f>
        <v>100</v>
      </c>
      <c r="I33" s="2677" t="s">
        <v>3138</v>
      </c>
      <c r="J33" s="467">
        <f>SUMIF(101:101,I33,102:102)-SUMIF(101:101,C33,102:102)+100</f>
        <v>100</v>
      </c>
      <c r="K33" s="612">
        <v>1</v>
      </c>
      <c r="L33" s="1139"/>
      <c r="M33" s="1130"/>
      <c r="N33" s="1130"/>
      <c r="O33" s="1130"/>
      <c r="P33" s="3224" t="s">
        <v>2566</v>
      </c>
      <c r="Q33" s="1809" t="str">
        <f t="shared" si="11"/>
        <v>建筑类型</v>
      </c>
      <c r="R33" s="774" t="s">
        <v>17</v>
      </c>
      <c r="S33" s="775">
        <f t="shared" si="12"/>
        <v>100</v>
      </c>
      <c r="T33" s="774" t="s">
        <v>17</v>
      </c>
      <c r="U33" s="775">
        <f t="shared" si="13"/>
        <v>100</v>
      </c>
      <c r="V33" s="774" t="s">
        <v>17</v>
      </c>
      <c r="W33" s="775">
        <f t="shared" si="14"/>
        <v>100</v>
      </c>
      <c r="X33" s="1812"/>
      <c r="Y33" s="3227" t="s">
        <v>2566</v>
      </c>
      <c r="Z33" s="1813" t="str">
        <f t="shared" si="15"/>
        <v>建筑类型</v>
      </c>
      <c r="AA33" s="1810">
        <f t="shared" si="3"/>
        <v>1</v>
      </c>
      <c r="AB33" s="1810">
        <f t="shared" si="4"/>
        <v>1</v>
      </c>
      <c r="AC33" s="2673">
        <f t="shared" si="5"/>
        <v>1</v>
      </c>
    </row>
    <row r="34" spans="1:29" s="471" customFormat="1" ht="15">
      <c r="A34" s="468"/>
      <c r="B34" s="422" t="s">
        <v>2567</v>
      </c>
      <c r="C34" s="469">
        <f>'数据-汇总表'!F19</f>
        <v>25919.38</v>
      </c>
      <c r="D34" s="136">
        <v>100</v>
      </c>
      <c r="E34" s="430">
        <v>142411</v>
      </c>
      <c r="F34" s="425">
        <f>LOOKUP(E34,104:104,105:105)-LOOKUP(C34,104:104,105:105)+100</f>
        <v>101</v>
      </c>
      <c r="G34" s="429">
        <v>173590</v>
      </c>
      <c r="H34" s="136">
        <f>LOOKUP(G34,104:104,105:105)-LOOKUP(C34,104:104,105:105)+100</f>
        <v>101</v>
      </c>
      <c r="I34" s="429">
        <v>144300</v>
      </c>
      <c r="J34" s="136">
        <f>LOOKUP(I34,104:104,105:105)-LOOKUP(C34,104:104,105:105)+100</f>
        <v>101</v>
      </c>
      <c r="K34" s="613"/>
      <c r="L34" s="1137"/>
      <c r="M34" s="1140"/>
      <c r="N34" s="1140"/>
      <c r="O34" s="1140"/>
      <c r="P34" s="3225"/>
      <c r="Q34" s="776" t="str">
        <f t="shared" si="11"/>
        <v>项目建筑规模</v>
      </c>
      <c r="R34" s="777" t="s">
        <v>17</v>
      </c>
      <c r="S34" s="778">
        <f t="shared" si="12"/>
        <v>101</v>
      </c>
      <c r="T34" s="777" t="s">
        <v>17</v>
      </c>
      <c r="U34" s="778">
        <f t="shared" si="13"/>
        <v>101</v>
      </c>
      <c r="V34" s="777" t="s">
        <v>17</v>
      </c>
      <c r="W34" s="778">
        <f t="shared" si="14"/>
        <v>101</v>
      </c>
      <c r="X34" s="779"/>
      <c r="Y34" s="3227"/>
      <c r="Z34" s="780" t="str">
        <f t="shared" si="15"/>
        <v>项目建筑规模</v>
      </c>
      <c r="AA34" s="1810">
        <f t="shared" si="3"/>
        <v>0.99009900990099009</v>
      </c>
      <c r="AB34" s="1810">
        <f t="shared" si="4"/>
        <v>0.99009900990099009</v>
      </c>
      <c r="AC34" s="2673">
        <f t="shared" si="5"/>
        <v>0.99009900990099009</v>
      </c>
    </row>
    <row r="35" spans="1:29" ht="15">
      <c r="A35" s="472"/>
      <c r="B35" s="422" t="s">
        <v>2568</v>
      </c>
      <c r="C35" s="460" t="s">
        <v>3139</v>
      </c>
      <c r="D35" s="435">
        <v>100</v>
      </c>
      <c r="E35" s="460" t="s">
        <v>3139</v>
      </c>
      <c r="F35" s="461">
        <f>SUMIF(106:106,E35,107:107)-SUMIF(106:106,C35,107:107)+100</f>
        <v>100</v>
      </c>
      <c r="G35" s="460" t="s">
        <v>3139</v>
      </c>
      <c r="H35" s="435">
        <f>SUMIF(106:106,G35,107:107)-SUMIF(106:106,C35,107:107)+100</f>
        <v>100</v>
      </c>
      <c r="I35" s="460" t="s">
        <v>3139</v>
      </c>
      <c r="J35" s="435">
        <f>SUMIF(106:106,I35,107:107)-SUMIF(106:106,C35,107:107)+100</f>
        <v>100</v>
      </c>
      <c r="K35" s="612">
        <v>2</v>
      </c>
      <c r="L35" s="1139"/>
      <c r="M35" s="1130"/>
      <c r="N35" s="1130"/>
      <c r="O35" s="1130"/>
      <c r="P35" s="3225"/>
      <c r="Q35" s="1809" t="str">
        <f t="shared" si="11"/>
        <v>建筑结构</v>
      </c>
      <c r="R35" s="774" t="s">
        <v>17</v>
      </c>
      <c r="S35" s="775">
        <f t="shared" si="12"/>
        <v>100</v>
      </c>
      <c r="T35" s="774" t="s">
        <v>17</v>
      </c>
      <c r="U35" s="775">
        <f t="shared" si="13"/>
        <v>100</v>
      </c>
      <c r="V35" s="774" t="s">
        <v>17</v>
      </c>
      <c r="W35" s="775">
        <f t="shared" si="14"/>
        <v>100</v>
      </c>
      <c r="X35" s="1812"/>
      <c r="Y35" s="3227"/>
      <c r="Z35" s="1813" t="str">
        <f t="shared" si="15"/>
        <v>建筑结构</v>
      </c>
      <c r="AA35" s="1810">
        <f t="shared" si="3"/>
        <v>1</v>
      </c>
      <c r="AB35" s="1810">
        <f t="shared" si="4"/>
        <v>1</v>
      </c>
      <c r="AC35" s="2673">
        <f t="shared" si="5"/>
        <v>1</v>
      </c>
    </row>
    <row r="36" spans="1:29" ht="15">
      <c r="A36" s="472"/>
      <c r="B36" s="422" t="s">
        <v>2662</v>
      </c>
      <c r="C36" s="460" t="s">
        <v>3140</v>
      </c>
      <c r="D36" s="435">
        <v>100</v>
      </c>
      <c r="E36" s="460" t="s">
        <v>3140</v>
      </c>
      <c r="F36" s="461">
        <f>SUMIF(108:108,E36,109:109)-SUMIF(108:108,C36,109:109)+100</f>
        <v>100</v>
      </c>
      <c r="G36" s="460" t="s">
        <v>3140</v>
      </c>
      <c r="H36" s="435">
        <f>SUMIF(108:108,G36,109:109)-SUMIF(108:108,C36,109:109)+100</f>
        <v>100</v>
      </c>
      <c r="I36" s="460" t="s">
        <v>3140</v>
      </c>
      <c r="J36" s="435">
        <f>SUMIF(108:108,I36,109:109)-SUMIF(108:108,C36,109:109)+100</f>
        <v>100</v>
      </c>
      <c r="K36" s="612">
        <v>2</v>
      </c>
      <c r="L36" s="1139"/>
      <c r="M36" s="1130"/>
      <c r="N36" s="1130"/>
      <c r="O36" s="1130"/>
      <c r="P36" s="3225"/>
      <c r="Q36" s="1809" t="str">
        <f t="shared" si="11"/>
        <v>公共部分装修</v>
      </c>
      <c r="R36" s="774" t="s">
        <v>17</v>
      </c>
      <c r="S36" s="775">
        <f t="shared" si="12"/>
        <v>100</v>
      </c>
      <c r="T36" s="774" t="s">
        <v>17</v>
      </c>
      <c r="U36" s="775">
        <f t="shared" si="13"/>
        <v>100</v>
      </c>
      <c r="V36" s="774" t="s">
        <v>17</v>
      </c>
      <c r="W36" s="775">
        <f t="shared" si="14"/>
        <v>100</v>
      </c>
      <c r="X36" s="1812"/>
      <c r="Y36" s="3227"/>
      <c r="Z36" s="1813" t="str">
        <f t="shared" si="15"/>
        <v>公共部分装修</v>
      </c>
      <c r="AA36" s="1810">
        <f t="shared" si="3"/>
        <v>1</v>
      </c>
      <c r="AB36" s="1810">
        <f t="shared" si="4"/>
        <v>1</v>
      </c>
      <c r="AC36" s="2673">
        <f t="shared" si="5"/>
        <v>1</v>
      </c>
    </row>
    <row r="37" spans="1:29" ht="15">
      <c r="A37" s="472"/>
      <c r="B37" s="422" t="s">
        <v>2663</v>
      </c>
      <c r="C37" s="474">
        <v>0.93</v>
      </c>
      <c r="D37" s="435">
        <v>100</v>
      </c>
      <c r="E37" s="474">
        <v>0.77</v>
      </c>
      <c r="F37" s="461">
        <f>LOOKUP(E37,111:111,112:112)-LOOKUP(C37,111:111,112:112)+100</f>
        <v>97</v>
      </c>
      <c r="G37" s="474">
        <v>0.8</v>
      </c>
      <c r="H37" s="461">
        <f>LOOKUP(G37,111:111,112:112)-LOOKUP(C37,111:111,112:112)+100</f>
        <v>98.5</v>
      </c>
      <c r="I37" s="474">
        <v>0.75</v>
      </c>
      <c r="J37" s="435">
        <f>LOOKUP(I37,111:111,112:112)-LOOKUP(C37,111:111,112:112)+100</f>
        <v>97</v>
      </c>
      <c r="K37" s="612">
        <v>1.5</v>
      </c>
      <c r="L37" s="1139"/>
      <c r="M37" s="1130"/>
      <c r="N37" s="1130"/>
      <c r="O37" s="1130"/>
      <c r="P37" s="3225"/>
      <c r="Q37" s="1809" t="str">
        <f t="shared" si="11"/>
        <v>成新度</v>
      </c>
      <c r="R37" s="774" t="s">
        <v>17</v>
      </c>
      <c r="S37" s="775">
        <f t="shared" si="12"/>
        <v>97</v>
      </c>
      <c r="T37" s="774" t="s">
        <v>17</v>
      </c>
      <c r="U37" s="775">
        <f t="shared" si="13"/>
        <v>98.5</v>
      </c>
      <c r="V37" s="774" t="s">
        <v>17</v>
      </c>
      <c r="W37" s="775">
        <f t="shared" si="14"/>
        <v>97</v>
      </c>
      <c r="X37" s="1812"/>
      <c r="Y37" s="3227"/>
      <c r="Z37" s="1813" t="str">
        <f t="shared" si="15"/>
        <v>成新度</v>
      </c>
      <c r="AA37" s="1810">
        <f t="shared" si="3"/>
        <v>1.0309278350515463</v>
      </c>
      <c r="AB37" s="1810">
        <f t="shared" si="4"/>
        <v>1.015228426395939</v>
      </c>
      <c r="AC37" s="2673">
        <f t="shared" si="5"/>
        <v>1.0309278350515463</v>
      </c>
    </row>
    <row r="38" spans="1:29" s="117" customFormat="1" ht="15">
      <c r="A38" s="473"/>
      <c r="B38" s="422" t="s">
        <v>2695</v>
      </c>
      <c r="C38" s="2991" t="s">
        <v>3141</v>
      </c>
      <c r="D38" s="136">
        <v>100</v>
      </c>
      <c r="E38" s="2991" t="s">
        <v>3141</v>
      </c>
      <c r="F38" s="461">
        <f>SUMIF(113:113,E38,114:114)-SUMIF(113:113,C38,114:114)+100</f>
        <v>100</v>
      </c>
      <c r="G38" s="2991" t="s">
        <v>3141</v>
      </c>
      <c r="H38" s="435">
        <f>SUMIF(113:113,G38,114:114)-SUMIF(113:113,C38,114:114)+100</f>
        <v>100</v>
      </c>
      <c r="I38" s="2991" t="s">
        <v>3141</v>
      </c>
      <c r="J38" s="435">
        <f>SUMIF(113:113,I38,114:114)-SUMIF(113:113,C38,114:114)+100</f>
        <v>100</v>
      </c>
      <c r="K38" s="612">
        <v>1</v>
      </c>
      <c r="L38" s="1131"/>
      <c r="M38" s="1132"/>
      <c r="N38" s="1132"/>
      <c r="O38" s="1132"/>
      <c r="P38" s="3225"/>
      <c r="Q38" s="1794"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70">
        <f t="shared" si="5"/>
        <v>1</v>
      </c>
    </row>
    <row r="39" spans="1:29" ht="15">
      <c r="A39" s="472"/>
      <c r="B39" s="422" t="s">
        <v>2696</v>
      </c>
      <c r="C39" s="2991" t="s">
        <v>3142</v>
      </c>
      <c r="D39" s="435">
        <v>100</v>
      </c>
      <c r="E39" s="2991" t="s">
        <v>3142</v>
      </c>
      <c r="F39" s="461">
        <f>SUMIF(115:115,E39,116:116)-SUMIF(115:115,C39,116:116)+100</f>
        <v>100</v>
      </c>
      <c r="G39" s="2991" t="s">
        <v>3142</v>
      </c>
      <c r="H39" s="435">
        <f>SUMIF(115:115,G39,116:116)-SUMIF(115:115,C39,116:116)+100</f>
        <v>100</v>
      </c>
      <c r="I39" s="2991" t="s">
        <v>3142</v>
      </c>
      <c r="J39" s="435">
        <f>SUMIF(115:115,I39,116:116)-SUMIF(115:115,C39,116:116)+100</f>
        <v>100</v>
      </c>
      <c r="K39" s="612">
        <v>1</v>
      </c>
      <c r="L39" s="1139"/>
      <c r="M39" s="1130"/>
      <c r="N39" s="1130"/>
      <c r="O39" s="1130"/>
      <c r="P39" s="3225" t="s">
        <v>2566</v>
      </c>
      <c r="Q39" s="1809" t="str">
        <f t="shared" si="11"/>
        <v>物业管理</v>
      </c>
      <c r="R39" s="774" t="s">
        <v>17</v>
      </c>
      <c r="S39" s="775">
        <f t="shared" si="12"/>
        <v>100</v>
      </c>
      <c r="T39" s="774" t="s">
        <v>17</v>
      </c>
      <c r="U39" s="775">
        <f t="shared" si="13"/>
        <v>100</v>
      </c>
      <c r="V39" s="774" t="s">
        <v>17</v>
      </c>
      <c r="W39" s="775">
        <f t="shared" si="14"/>
        <v>100</v>
      </c>
      <c r="X39" s="1812"/>
      <c r="Y39" s="3227" t="s">
        <v>2566</v>
      </c>
      <c r="Z39" s="1813" t="str">
        <f t="shared" si="15"/>
        <v>物业管理</v>
      </c>
      <c r="AA39" s="1810">
        <f t="shared" si="3"/>
        <v>1</v>
      </c>
      <c r="AB39" s="1810">
        <f t="shared" si="4"/>
        <v>1</v>
      </c>
      <c r="AC39" s="2673">
        <f t="shared" si="5"/>
        <v>1</v>
      </c>
    </row>
    <row r="40" spans="1:29" ht="15">
      <c r="A40" s="472"/>
      <c r="B40" s="422" t="s">
        <v>2664</v>
      </c>
      <c r="C40" s="2991" t="s">
        <v>3143</v>
      </c>
      <c r="D40" s="435">
        <v>100</v>
      </c>
      <c r="E40" s="2991" t="s">
        <v>3143</v>
      </c>
      <c r="F40" s="461">
        <f>SUMIF(117:117,E40,118:118)-SUMIF(117:117,C40,118:118)+100</f>
        <v>100</v>
      </c>
      <c r="G40" s="2991" t="s">
        <v>3143</v>
      </c>
      <c r="H40" s="435">
        <f>SUMIF(117:117,G40,118:118)-SUMIF(117:117,C40,118:118)+100</f>
        <v>100</v>
      </c>
      <c r="I40" s="2991" t="s">
        <v>3143</v>
      </c>
      <c r="J40" s="435">
        <f>SUMIF(117:117,I40,118:118)-SUMIF(117:117,C40,118:118)+100</f>
        <v>100</v>
      </c>
      <c r="K40" s="612">
        <v>1</v>
      </c>
      <c r="L40" s="1139"/>
      <c r="M40" s="1130"/>
      <c r="N40" s="1130"/>
      <c r="O40" s="1130"/>
      <c r="P40" s="3225"/>
      <c r="Q40" s="1809" t="str">
        <f t="shared" si="11"/>
        <v>市政基础设施</v>
      </c>
      <c r="R40" s="774" t="s">
        <v>17</v>
      </c>
      <c r="S40" s="775">
        <f t="shared" si="12"/>
        <v>100</v>
      </c>
      <c r="T40" s="774" t="s">
        <v>17</v>
      </c>
      <c r="U40" s="775">
        <f t="shared" si="13"/>
        <v>100</v>
      </c>
      <c r="V40" s="774" t="s">
        <v>17</v>
      </c>
      <c r="W40" s="775">
        <f t="shared" si="14"/>
        <v>100</v>
      </c>
      <c r="X40" s="1812"/>
      <c r="Y40" s="3227"/>
      <c r="Z40" s="1813" t="str">
        <f t="shared" si="15"/>
        <v>市政基础设施</v>
      </c>
      <c r="AA40" s="1810">
        <f t="shared" si="3"/>
        <v>1</v>
      </c>
      <c r="AB40" s="1810">
        <f t="shared" si="4"/>
        <v>1</v>
      </c>
      <c r="AC40" s="2673">
        <f t="shared" si="5"/>
        <v>1</v>
      </c>
    </row>
    <row r="41" spans="1:29" ht="15">
      <c r="A41" s="472"/>
      <c r="B41" s="422" t="s">
        <v>2666</v>
      </c>
      <c r="C41" s="2992" t="s">
        <v>3144</v>
      </c>
      <c r="D41" s="435">
        <v>100</v>
      </c>
      <c r="E41" s="2992" t="s">
        <v>3144</v>
      </c>
      <c r="F41" s="461">
        <f>SUMIF(119:119,E41,120:120)-SUMIF(119:119,C41,120:120)+100</f>
        <v>100</v>
      </c>
      <c r="G41" s="2992" t="s">
        <v>3144</v>
      </c>
      <c r="H41" s="435">
        <f>SUMIF(119:119,G41,120:120)-SUMIF(119:119,C41,120:120)+100</f>
        <v>100</v>
      </c>
      <c r="I41" s="2992" t="s">
        <v>3144</v>
      </c>
      <c r="J41" s="435">
        <f>SUMIF(119:119,I41,120:120)-SUMIF(119:119,C41,120:120)+100</f>
        <v>100</v>
      </c>
      <c r="K41" s="612">
        <v>2</v>
      </c>
      <c r="L41" s="1139"/>
      <c r="M41" s="1130"/>
      <c r="N41" s="1130"/>
      <c r="O41" s="1130"/>
      <c r="P41" s="3225"/>
      <c r="Q41" s="1809" t="str">
        <f t="shared" si="11"/>
        <v>层高</v>
      </c>
      <c r="R41" s="774" t="s">
        <v>17</v>
      </c>
      <c r="S41" s="775">
        <f t="shared" si="12"/>
        <v>100</v>
      </c>
      <c r="T41" s="774" t="s">
        <v>17</v>
      </c>
      <c r="U41" s="775">
        <f t="shared" si="13"/>
        <v>100</v>
      </c>
      <c r="V41" s="774" t="s">
        <v>17</v>
      </c>
      <c r="W41" s="775">
        <f t="shared" si="14"/>
        <v>100</v>
      </c>
      <c r="X41" s="1812"/>
      <c r="Y41" s="3227"/>
      <c r="Z41" s="1813" t="str">
        <f t="shared" si="15"/>
        <v>层高</v>
      </c>
      <c r="AA41" s="1810">
        <f t="shared" si="3"/>
        <v>1</v>
      </c>
      <c r="AB41" s="1810">
        <f t="shared" si="4"/>
        <v>1</v>
      </c>
      <c r="AC41" s="2673">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0">
        <f t="shared" si="3"/>
        <v>1</v>
      </c>
      <c r="AB42" s="1810">
        <f t="shared" si="4"/>
        <v>1</v>
      </c>
      <c r="AC42" s="2673">
        <f t="shared" si="5"/>
        <v>1</v>
      </c>
    </row>
    <row r="43" spans="1:29" ht="15">
      <c r="A43" s="472"/>
      <c r="B43" s="422" t="s">
        <v>2669</v>
      </c>
      <c r="C43" s="2991" t="s">
        <v>3145</v>
      </c>
      <c r="D43" s="435">
        <v>100</v>
      </c>
      <c r="E43" s="2991" t="s">
        <v>3140</v>
      </c>
      <c r="F43" s="461">
        <f>SUMIF(123:123,E43,124:124)-SUMIF(123:123,C43,124:124)+100</f>
        <v>103</v>
      </c>
      <c r="G43" s="2991" t="s">
        <v>3140</v>
      </c>
      <c r="H43" s="435">
        <f>SUMIF(123:123,G43,124:124)-SUMIF(123:123,C43,124:124)+100</f>
        <v>103</v>
      </c>
      <c r="I43" s="2991" t="s">
        <v>3140</v>
      </c>
      <c r="J43" s="435">
        <f>SUMIF(123:123,I43,124:124)-SUMIF(123:123,C43,124:124)+100</f>
        <v>103</v>
      </c>
      <c r="K43" s="612">
        <v>3</v>
      </c>
      <c r="L43" s="1139"/>
      <c r="M43" s="1130"/>
      <c r="N43" s="1130"/>
      <c r="O43" s="1130"/>
      <c r="P43" s="3225"/>
      <c r="Q43" s="1809" t="str">
        <f t="shared" si="11"/>
        <v>内部装修</v>
      </c>
      <c r="R43" s="774" t="s">
        <v>17</v>
      </c>
      <c r="S43" s="775">
        <f t="shared" si="12"/>
        <v>103</v>
      </c>
      <c r="T43" s="774" t="s">
        <v>17</v>
      </c>
      <c r="U43" s="775">
        <f t="shared" si="13"/>
        <v>103</v>
      </c>
      <c r="V43" s="774" t="s">
        <v>17</v>
      </c>
      <c r="W43" s="775">
        <f t="shared" si="14"/>
        <v>103</v>
      </c>
      <c r="X43" s="1812"/>
      <c r="Y43" s="3227"/>
      <c r="Z43" s="1813" t="str">
        <f t="shared" si="15"/>
        <v>内部装修</v>
      </c>
      <c r="AA43" s="1810">
        <f t="shared" si="3"/>
        <v>0.970873786407767</v>
      </c>
      <c r="AB43" s="1810">
        <f t="shared" si="4"/>
        <v>0.970873786407767</v>
      </c>
      <c r="AC43" s="2673">
        <f t="shared" si="5"/>
        <v>0.970873786407767</v>
      </c>
    </row>
    <row r="44" spans="1:29" ht="15">
      <c r="A44" s="472"/>
      <c r="B44" s="422" t="s">
        <v>2577</v>
      </c>
      <c r="C44" s="2991" t="s">
        <v>3119</v>
      </c>
      <c r="D44" s="435">
        <v>100</v>
      </c>
      <c r="E44" s="2993" t="s">
        <v>3119</v>
      </c>
      <c r="F44" s="461">
        <f>SUMIF(125:125,E44,126:126)-SUMIF(125:125,C44,126:126)+100</f>
        <v>100</v>
      </c>
      <c r="G44" s="2993" t="s">
        <v>3119</v>
      </c>
      <c r="H44" s="435">
        <f>SUMIF(125:125,G44,126:126)-SUMIF(125:125,C44,126:126)+100</f>
        <v>100</v>
      </c>
      <c r="I44" s="2993" t="s">
        <v>3119</v>
      </c>
      <c r="J44" s="435">
        <f>SUMIF(125:125,I44,126:126)-SUMIF(125:125,C44,126:126)+100</f>
        <v>100</v>
      </c>
      <c r="K44" s="612">
        <v>1</v>
      </c>
      <c r="L44" s="1139"/>
      <c r="M44" s="1130"/>
      <c r="N44" s="1130"/>
      <c r="O44" s="1130"/>
      <c r="P44" s="3225"/>
      <c r="Q44" s="1809" t="str">
        <f t="shared" si="11"/>
        <v>内部装修维护情况</v>
      </c>
      <c r="R44" s="774" t="s">
        <v>17</v>
      </c>
      <c r="S44" s="775">
        <f t="shared" si="12"/>
        <v>100</v>
      </c>
      <c r="T44" s="774" t="s">
        <v>17</v>
      </c>
      <c r="U44" s="775">
        <f t="shared" si="13"/>
        <v>100</v>
      </c>
      <c r="V44" s="774" t="s">
        <v>17</v>
      </c>
      <c r="W44" s="775">
        <f t="shared" si="14"/>
        <v>100</v>
      </c>
      <c r="X44" s="1812"/>
      <c r="Y44" s="3227"/>
      <c r="Z44" s="1813" t="str">
        <f t="shared" si="15"/>
        <v>内部装修维护情况</v>
      </c>
      <c r="AA44" s="1810">
        <f t="shared" si="3"/>
        <v>1</v>
      </c>
      <c r="AB44" s="1810">
        <f t="shared" si="4"/>
        <v>1</v>
      </c>
      <c r="AC44" s="2673">
        <f t="shared" si="5"/>
        <v>1</v>
      </c>
    </row>
    <row r="45" spans="1:29" s="117" customFormat="1" ht="15">
      <c r="A45" s="473"/>
      <c r="B45" s="1385">
        <v>145208</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5"/>
      <c r="Q45" s="1794">
        <f t="shared" si="11"/>
        <v>145208</v>
      </c>
      <c r="R45" s="770" t="s">
        <v>17</v>
      </c>
      <c r="S45" s="771">
        <f t="shared" si="12"/>
        <v>100</v>
      </c>
      <c r="T45" s="770" t="s">
        <v>17</v>
      </c>
      <c r="U45" s="771">
        <f t="shared" si="13"/>
        <v>100</v>
      </c>
      <c r="V45" s="770" t="s">
        <v>17</v>
      </c>
      <c r="W45" s="771">
        <f t="shared" si="14"/>
        <v>100</v>
      </c>
      <c r="X45" s="772"/>
      <c r="Y45" s="3227"/>
      <c r="Z45" s="55">
        <f t="shared" si="15"/>
        <v>145208</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5"/>
      <c r="Q46" s="1809">
        <f t="shared" si="11"/>
        <v>111</v>
      </c>
      <c r="R46" s="774" t="s">
        <v>17</v>
      </c>
      <c r="S46" s="775">
        <f t="shared" si="12"/>
        <v>100</v>
      </c>
      <c r="T46" s="774" t="s">
        <v>17</v>
      </c>
      <c r="U46" s="775">
        <f t="shared" si="13"/>
        <v>100</v>
      </c>
      <c r="V46" s="774" t="s">
        <v>17</v>
      </c>
      <c r="W46" s="775">
        <f t="shared" si="14"/>
        <v>100</v>
      </c>
      <c r="X46" s="1812"/>
      <c r="Y46" s="3227"/>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6"/>
      <c r="Q47" s="1809">
        <f t="shared" si="11"/>
        <v>111</v>
      </c>
      <c r="R47" s="774" t="s">
        <v>17</v>
      </c>
      <c r="S47" s="775">
        <f t="shared" si="12"/>
        <v>100</v>
      </c>
      <c r="T47" s="774" t="s">
        <v>17</v>
      </c>
      <c r="U47" s="775">
        <f t="shared" si="13"/>
        <v>100</v>
      </c>
      <c r="V47" s="774" t="s">
        <v>17</v>
      </c>
      <c r="W47" s="775">
        <f t="shared" si="14"/>
        <v>100</v>
      </c>
      <c r="X47" s="1812"/>
      <c r="Y47" s="3228"/>
      <c r="Z47" s="1813">
        <f t="shared" si="15"/>
        <v>111</v>
      </c>
      <c r="AA47" s="1810">
        <f t="shared" si="3"/>
        <v>1</v>
      </c>
      <c r="AB47" s="1810">
        <f t="shared" si="4"/>
        <v>1</v>
      </c>
      <c r="AC47" s="2673">
        <f t="shared" si="5"/>
        <v>1</v>
      </c>
    </row>
    <row r="48" spans="1:29" ht="15">
      <c r="A48" s="479" t="s">
        <v>2578</v>
      </c>
      <c r="B48" s="480"/>
      <c r="C48" s="1406" t="s">
        <v>1</v>
      </c>
      <c r="D48" s="1407"/>
      <c r="E48" s="2996">
        <v>42498</v>
      </c>
      <c r="F48" s="1409"/>
      <c r="G48" s="2997">
        <v>43150</v>
      </c>
      <c r="H48" s="1411"/>
      <c r="I48" s="2996">
        <v>42595</v>
      </c>
      <c r="J48" s="485"/>
      <c r="K48" s="783"/>
      <c r="L48" s="1142"/>
      <c r="M48" s="1130"/>
      <c r="N48" s="1130"/>
      <c r="O48" s="1130"/>
      <c r="P48" s="3200" t="str">
        <f>A48</f>
        <v>成交单价（元/平方米）</v>
      </c>
      <c r="Q48" s="3229"/>
      <c r="R48" s="3230">
        <f>E48</f>
        <v>42498</v>
      </c>
      <c r="S48" s="3230"/>
      <c r="T48" s="3230">
        <f>G48</f>
        <v>43150</v>
      </c>
      <c r="U48" s="3230"/>
      <c r="V48" s="3230">
        <f>I48</f>
        <v>42595</v>
      </c>
      <c r="W48" s="3230"/>
      <c r="X48" s="446"/>
      <c r="Y48" s="781"/>
      <c r="Z48" s="446"/>
      <c r="AA48" s="446"/>
      <c r="AB48" s="446"/>
      <c r="AC48" s="630"/>
    </row>
    <row r="49" spans="1:29" ht="15.75" thickBot="1">
      <c r="A49" s="486" t="s">
        <v>2670</v>
      </c>
      <c r="B49" s="487"/>
      <c r="C49" s="1412">
        <f>R50</f>
        <v>43583</v>
      </c>
      <c r="D49" s="1413"/>
      <c r="E49" s="1414">
        <f>R49</f>
        <v>42975</v>
      </c>
      <c r="F49" s="1414"/>
      <c r="G49" s="1412">
        <f>T49</f>
        <v>44381</v>
      </c>
      <c r="H49" s="1413"/>
      <c r="I49" s="1414">
        <f>V49</f>
        <v>43393</v>
      </c>
      <c r="J49" s="489"/>
      <c r="K49" s="784"/>
      <c r="L49" s="1142"/>
      <c r="M49" s="1130"/>
      <c r="N49" s="1130"/>
      <c r="O49" s="1130"/>
      <c r="P49" s="3200" t="str">
        <f>A49</f>
        <v>比较价值（元/平方米）</v>
      </c>
      <c r="Q49" s="3229"/>
      <c r="R49" s="3230">
        <f>IF(F1="售价",ROUND(PRODUCT(R48,AA7:AA47),0),ROUND(PRODUCT(R48,AA7:AA47),1))</f>
        <v>42975</v>
      </c>
      <c r="S49" s="3230"/>
      <c r="T49" s="3230">
        <f>IF(F1="售价",ROUND(PRODUCT(T48,AB7:AB47),0),ROUND(PRODUCT(T48,AB7:AB47),1))</f>
        <v>44381</v>
      </c>
      <c r="U49" s="3230"/>
      <c r="V49" s="3230">
        <f>IF(F1="售价",ROUND(PRODUCT(V48,AC7:AC47),0),ROUND(PRODUCT(V48,AC7:AC47),1))</f>
        <v>43393</v>
      </c>
      <c r="W49" s="3230"/>
      <c r="X49" s="446"/>
      <c r="Y49" s="446"/>
      <c r="Z49" s="446"/>
      <c r="AA49" s="446"/>
      <c r="AB49" s="446"/>
      <c r="AC49" s="630"/>
    </row>
    <row r="50" spans="1:29" ht="15.75" thickBot="1">
      <c r="A50" s="492" t="s">
        <v>2671</v>
      </c>
      <c r="B50" s="493"/>
      <c r="C50" s="1416">
        <f>R50</f>
        <v>43583</v>
      </c>
      <c r="D50" s="1416"/>
      <c r="E50" s="1416"/>
      <c r="F50" s="1416"/>
      <c r="G50" s="1416"/>
      <c r="H50" s="1416"/>
      <c r="I50" s="1416"/>
      <c r="J50" s="494"/>
      <c r="K50" s="785"/>
      <c r="L50" s="1142"/>
      <c r="M50" s="1130"/>
      <c r="N50" s="1130"/>
      <c r="O50" s="1130"/>
      <c r="P50" s="3231" t="str">
        <f>A50</f>
        <v>估价对象XX用房的比较价值（楼面单价，元/平方米）</v>
      </c>
      <c r="Q50" s="3232"/>
      <c r="R50" s="3233">
        <f>IF(F1="售价",ROUND(AVERAGE(R49:V49),0),ROUND(AVERAGE(R49:V49),1))</f>
        <v>43583</v>
      </c>
      <c r="S50" s="3233"/>
      <c r="T50" s="3233"/>
      <c r="U50" s="3233"/>
      <c r="V50" s="3233"/>
      <c r="W50" s="3233"/>
      <c r="X50" s="2653"/>
      <c r="Y50" s="2653"/>
      <c r="Z50" s="2653"/>
      <c r="AA50" s="2653"/>
      <c r="AB50" s="2653"/>
      <c r="AC50" s="2654"/>
    </row>
    <row r="51" spans="1:29">
      <c r="A51" s="1143"/>
      <c r="B51" s="1143"/>
      <c r="C51" s="1143"/>
      <c r="D51" s="1143"/>
      <c r="E51" s="1143"/>
      <c r="F51" s="1143"/>
      <c r="G51" s="2998">
        <f ca="1">B45-系统读取表!B5</f>
        <v>0</v>
      </c>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1.1224057602710724E-2</v>
      </c>
      <c r="F53" s="500" t="str">
        <f>IF(OR(E53&gt;=0.3,E53&lt;=-0.3),"超过30%","")</f>
        <v/>
      </c>
      <c r="G53" s="499">
        <f>IF(G48&lt;G49,G49/G48-1,G48/G49-1)</f>
        <v>2.8528389339513405E-2</v>
      </c>
      <c r="H53" s="500" t="str">
        <f>IF(OR(G53&gt;=0.3,G53&lt;=-0.3),"超过30%","")</f>
        <v/>
      </c>
      <c r="I53" s="499">
        <f>IF(I48&lt;I49,I49/I48-1,I48/I49-1)</f>
        <v>1.8734593262119903E-2</v>
      </c>
      <c r="J53" s="500" t="str">
        <f>IF(OR(I53&gt;=0.3,I53&lt;=-0.3),"超过30%","")</f>
        <v/>
      </c>
      <c r="K53" s="1104"/>
      <c r="L53" s="1105"/>
      <c r="M53" s="1143"/>
      <c r="N53" s="1143"/>
      <c r="O53" s="1143"/>
    </row>
    <row r="54" spans="1:29" ht="13.5" customHeight="1">
      <c r="A54" s="1143"/>
      <c r="B54" s="1143"/>
      <c r="C54" s="497" t="s">
        <v>2673</v>
      </c>
      <c r="D54" s="501"/>
      <c r="E54" s="499">
        <f>IF(E49&lt;G49,G49/E49-1,E49/G49-1)</f>
        <v>3.2716695753344904E-2</v>
      </c>
      <c r="F54" s="500" t="str">
        <f>IF(OR(E54&gt;=0.2,E54&lt;=-0.2),"超过20%","")</f>
        <v/>
      </c>
      <c r="G54" s="499">
        <f>IF(G49&lt;I49,I49/G49-1,G49/I49-1)</f>
        <v>2.2768649321319057E-2</v>
      </c>
      <c r="H54" s="500" t="str">
        <f>IF(OR(G54&gt;=0.2,G54&lt;=-0.2),"超过20%","")</f>
        <v/>
      </c>
      <c r="I54" s="499">
        <f>IF(I49&lt;E49,E49/I49-1,I49/E49-1)</f>
        <v>9.72658522396741E-3</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1.5341898442279733E-2</v>
      </c>
      <c r="F55" s="500" t="str">
        <f>IF(OR(E55&gt;=0.3,E55&lt;=-0.3),"超过30%","")</f>
        <v/>
      </c>
      <c r="G55" s="499">
        <f>IF(G48&lt;I48,I48/G48-1,G48/I48-1)</f>
        <v>1.302969832139933E-2</v>
      </c>
      <c r="H55" s="500" t="str">
        <f>IF(OR(G55&gt;=0.3,G55&lt;=-0.3),"超过30%","")</f>
        <v/>
      </c>
      <c r="I55" s="499">
        <f>IF(I48&lt;E48,E48/I48-1,I48/E48-1)</f>
        <v>2.2824603510753771E-3</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79"/>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7" customFormat="1" ht="15">
      <c r="A60" s="509"/>
      <c r="B60" s="510"/>
      <c r="C60" s="1572">
        <v>100</v>
      </c>
      <c r="D60" s="512">
        <v>100</v>
      </c>
      <c r="E60" s="512">
        <v>100</v>
      </c>
      <c r="F60" s="512">
        <v>99</v>
      </c>
      <c r="G60" s="512">
        <v>99</v>
      </c>
      <c r="H60" s="512">
        <v>99</v>
      </c>
      <c r="I60" s="512"/>
      <c r="J60" s="512"/>
      <c r="K60" s="512"/>
      <c r="L60" s="512"/>
      <c r="M60" s="513"/>
      <c r="N60" s="512"/>
      <c r="O60" s="513"/>
      <c r="P60" s="2680"/>
    </row>
    <row r="61" spans="1:29" s="117" customFormat="1" ht="15.75" thickBot="1">
      <c r="A61" s="515" t="s">
        <v>2586</v>
      </c>
      <c r="B61" s="516"/>
      <c r="C61" s="517"/>
      <c r="D61" s="518"/>
      <c r="E61" s="518"/>
      <c r="F61" s="518"/>
      <c r="G61" s="518"/>
      <c r="H61" s="518"/>
      <c r="I61" s="518"/>
      <c r="J61" s="518"/>
      <c r="K61" s="518"/>
      <c r="L61" s="518"/>
      <c r="M61" s="519"/>
      <c r="N61" s="518"/>
      <c r="O61" s="519"/>
      <c r="P61" s="2680"/>
      <c r="Q61" s="504"/>
    </row>
    <row r="62" spans="1:29" s="117" customFormat="1" ht="15">
      <c r="A62" s="521" t="s">
        <v>2551</v>
      </c>
      <c r="B62" s="510"/>
      <c r="C62" s="522" t="s">
        <v>2653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2589</v>
      </c>
      <c r="B64" s="528" t="s">
        <v>2555</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2"/>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2"/>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v>
      </c>
      <c r="L68" s="547" t="str">
        <f t="shared" si="17"/>
        <v>（含）-</v>
      </c>
      <c r="M68" s="448" t="str">
        <f>M69&amp;"（含）"&amp;"-"&amp;P69</f>
        <v>（含）-</v>
      </c>
      <c r="N68" s="1152"/>
      <c r="O68" s="1152"/>
      <c r="P68" s="2682"/>
      <c r="Q68" s="504"/>
    </row>
    <row r="69" spans="1:17" ht="15">
      <c r="A69" s="534"/>
      <c r="B69" s="548"/>
      <c r="C69" s="549">
        <v>0</v>
      </c>
      <c r="D69" s="549">
        <v>1</v>
      </c>
      <c r="E69" s="549">
        <v>2</v>
      </c>
      <c r="F69" s="549">
        <v>3</v>
      </c>
      <c r="G69" s="549">
        <v>4</v>
      </c>
      <c r="H69" s="549">
        <v>5</v>
      </c>
      <c r="I69" s="549">
        <v>6</v>
      </c>
      <c r="J69" s="549">
        <v>7</v>
      </c>
      <c r="K69" s="550">
        <v>8</v>
      </c>
      <c r="L69" s="551"/>
      <c r="M69" s="552"/>
      <c r="N69" s="1151"/>
      <c r="O69" s="1151"/>
      <c r="P69" s="2682"/>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2"/>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2700</v>
      </c>
      <c r="C87" s="2974" t="s">
        <v>3078</v>
      </c>
      <c r="D87" s="2974" t="s">
        <v>3079</v>
      </c>
      <c r="E87" s="2974" t="s">
        <v>3080</v>
      </c>
      <c r="F87" s="2974" t="s">
        <v>3081</v>
      </c>
      <c r="G87" s="2974" t="s">
        <v>3082</v>
      </c>
      <c r="H87" s="554"/>
      <c r="I87" s="554"/>
      <c r="J87" s="554"/>
      <c r="K87" s="554"/>
      <c r="L87" s="580"/>
      <c r="M87" s="581"/>
      <c r="N87" s="1150"/>
      <c r="O87" s="1150"/>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2"/>
      <c r="Q88" s="504"/>
    </row>
    <row r="89" spans="1:17" s="117" customFormat="1" ht="15.75" thickTop="1">
      <c r="A89" s="579"/>
      <c r="B89" s="538" t="str">
        <f>B27</f>
        <v>楼层</v>
      </c>
      <c r="C89" s="2974" t="s">
        <v>3083</v>
      </c>
      <c r="D89" s="2974" t="s">
        <v>3084</v>
      </c>
      <c r="E89" s="2974" t="s">
        <v>3085</v>
      </c>
      <c r="F89" s="2634"/>
      <c r="G89" s="554"/>
      <c r="H89" s="554"/>
      <c r="I89" s="554"/>
      <c r="J89" s="554"/>
      <c r="K89" s="554"/>
      <c r="L89" s="554"/>
      <c r="M89" s="581"/>
      <c r="N89" s="1150"/>
      <c r="O89" s="1150"/>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2"/>
      <c r="Q90" s="504"/>
    </row>
    <row r="91" spans="1:17" s="471" customFormat="1" ht="15.75" thickTop="1">
      <c r="A91" s="553"/>
      <c r="B91" s="538" t="str">
        <f>B28</f>
        <v>朝向</v>
      </c>
      <c r="C91" s="2974" t="s">
        <v>3086</v>
      </c>
      <c r="D91" s="2974" t="s">
        <v>3087</v>
      </c>
      <c r="E91" s="2974" t="s">
        <v>3088</v>
      </c>
      <c r="F91" s="2974" t="s">
        <v>3089</v>
      </c>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99.734999999999999</v>
      </c>
      <c r="E92" s="544">
        <f t="shared" si="21"/>
        <v>99.47</v>
      </c>
      <c r="F92" s="544">
        <f t="shared" si="21"/>
        <v>99.204999999999998</v>
      </c>
      <c r="G92" s="544">
        <f t="shared" si="21"/>
        <v>98.94</v>
      </c>
      <c r="H92" s="544">
        <f t="shared" si="21"/>
        <v>98.674999999999997</v>
      </c>
      <c r="I92" s="544">
        <f t="shared" si="21"/>
        <v>98.41</v>
      </c>
      <c r="J92" s="544">
        <f t="shared" si="21"/>
        <v>98.144999999999996</v>
      </c>
      <c r="K92" s="544">
        <f t="shared" si="21"/>
        <v>97.88</v>
      </c>
      <c r="L92" s="544">
        <f t="shared" si="21"/>
        <v>97.614999999999995</v>
      </c>
      <c r="M92" s="544">
        <f t="shared" si="21"/>
        <v>97.35</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2564</v>
      </c>
      <c r="B101" s="528" t="s">
        <v>2613</v>
      </c>
      <c r="C101" s="2975" t="s">
        <v>3090</v>
      </c>
      <c r="D101" s="2975" t="s">
        <v>3091</v>
      </c>
      <c r="E101" s="2975" t="s">
        <v>3092</v>
      </c>
      <c r="F101" s="2975" t="s">
        <v>3093</v>
      </c>
      <c r="G101" s="2975" t="s">
        <v>3094</v>
      </c>
      <c r="H101" s="2975" t="s">
        <v>3095</v>
      </c>
      <c r="I101" s="530"/>
      <c r="J101" s="530"/>
      <c r="K101" s="531"/>
      <c r="L101" s="532"/>
      <c r="M101" s="533"/>
      <c r="N101" s="1151"/>
      <c r="O101" s="1151"/>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2"/>
      <c r="Q102" s="504"/>
    </row>
    <row r="103" spans="1:17" ht="29.25" thickTop="1">
      <c r="A103" s="534"/>
      <c r="B103" s="538" t="s">
        <v>2614</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100000</v>
      </c>
      <c r="E104" s="595">
        <v>200000</v>
      </c>
      <c r="F104" s="595">
        <v>300000</v>
      </c>
      <c r="G104" s="595">
        <v>400000</v>
      </c>
      <c r="H104" s="595">
        <v>500000</v>
      </c>
      <c r="I104" s="595"/>
      <c r="J104" s="596"/>
      <c r="K104" s="596"/>
      <c r="L104" s="597"/>
      <c r="M104" s="598"/>
      <c r="N104" s="1153"/>
      <c r="O104" s="1153"/>
      <c r="P104" s="2683"/>
      <c r="Q104" s="559"/>
    </row>
    <row r="105" spans="1:17" s="471" customFormat="1" ht="15.75" thickBot="1">
      <c r="A105" s="553"/>
      <c r="B105" s="543"/>
      <c r="C105" s="560">
        <v>100</v>
      </c>
      <c r="D105" s="536">
        <v>101</v>
      </c>
      <c r="E105" s="536">
        <v>102</v>
      </c>
      <c r="F105" s="560">
        <v>103</v>
      </c>
      <c r="G105" s="536">
        <v>104</v>
      </c>
      <c r="H105" s="536">
        <v>105</v>
      </c>
      <c r="I105" s="536"/>
      <c r="J105" s="536"/>
      <c r="K105" s="536"/>
      <c r="L105" s="536"/>
      <c r="M105" s="537"/>
      <c r="N105" s="1152"/>
      <c r="O105" s="1152"/>
      <c r="P105" s="2683"/>
      <c r="Q105" s="559"/>
    </row>
    <row r="106" spans="1:17" ht="15" thickTop="1">
      <c r="A106" s="599"/>
      <c r="B106" s="538" t="s">
        <v>2615</v>
      </c>
      <c r="C106" s="2974" t="s">
        <v>3096</v>
      </c>
      <c r="D106" s="2974" t="s">
        <v>3097</v>
      </c>
      <c r="E106" s="2976" t="s">
        <v>3098</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2617</v>
      </c>
      <c r="C108" s="2974" t="s">
        <v>3099</v>
      </c>
      <c r="D108" s="2974" t="s">
        <v>3100</v>
      </c>
      <c r="E108" s="2974" t="s">
        <v>3101</v>
      </c>
      <c r="F108" s="2976" t="s">
        <v>3102</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101.5</v>
      </c>
      <c r="E112" s="544">
        <f t="shared" ref="E112:M112" si="26">D112+$K37</f>
        <v>103</v>
      </c>
      <c r="F112" s="544">
        <f t="shared" si="26"/>
        <v>104.5</v>
      </c>
      <c r="G112" s="544">
        <f t="shared" si="26"/>
        <v>106</v>
      </c>
      <c r="H112" s="544">
        <f t="shared" si="26"/>
        <v>107.5</v>
      </c>
      <c r="I112" s="544">
        <f t="shared" si="26"/>
        <v>109</v>
      </c>
      <c r="J112" s="544">
        <f t="shared" si="26"/>
        <v>110.5</v>
      </c>
      <c r="K112" s="544">
        <f t="shared" si="26"/>
        <v>112</v>
      </c>
      <c r="L112" s="544">
        <f t="shared" si="26"/>
        <v>113.5</v>
      </c>
      <c r="M112" s="544">
        <f t="shared" si="26"/>
        <v>115</v>
      </c>
      <c r="N112" s="1152"/>
      <c r="O112" s="1152"/>
      <c r="P112" s="2682"/>
      <c r="Q112" s="504"/>
    </row>
    <row r="113" spans="1:17" s="471" customFormat="1" ht="15" thickTop="1">
      <c r="A113" s="593"/>
      <c r="B113" s="538" t="s">
        <v>2701</v>
      </c>
      <c r="C113" s="2974" t="s">
        <v>3103</v>
      </c>
      <c r="D113" s="2974" t="s">
        <v>3104</v>
      </c>
      <c r="E113" s="2974" t="s">
        <v>3105</v>
      </c>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3"/>
      <c r="Q114" s="559"/>
    </row>
    <row r="115" spans="1:17" ht="15" thickTop="1">
      <c r="A115" s="599"/>
      <c r="B115" s="538" t="s">
        <v>2618</v>
      </c>
      <c r="C115" s="2974" t="s">
        <v>3106</v>
      </c>
      <c r="D115" s="2974" t="s">
        <v>3107</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5" thickTop="1">
      <c r="A117" s="599"/>
      <c r="B117" s="538" t="s">
        <v>2619</v>
      </c>
      <c r="C117" s="2974" t="s">
        <v>3108</v>
      </c>
      <c r="D117" s="2974" t="s">
        <v>3109</v>
      </c>
      <c r="E117" s="2974" t="s">
        <v>3110</v>
      </c>
      <c r="F117" s="2974" t="s">
        <v>3111</v>
      </c>
      <c r="G117" s="2974" t="s">
        <v>3112</v>
      </c>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5" thickTop="1">
      <c r="A119" s="599"/>
      <c r="B119" s="636" t="s">
        <v>2702</v>
      </c>
      <c r="C119" s="2976" t="s">
        <v>3113</v>
      </c>
      <c r="D119" s="2976"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2685</v>
      </c>
      <c r="C121" s="554" t="s">
        <v>3115</v>
      </c>
      <c r="D121" s="554" t="s">
        <v>3116</v>
      </c>
      <c r="E121" s="554" t="s">
        <v>3117</v>
      </c>
      <c r="F121" s="583" t="s">
        <v>3118</v>
      </c>
      <c r="G121" s="555"/>
      <c r="H121" s="555"/>
      <c r="I121" s="555"/>
      <c r="J121" s="555"/>
      <c r="K121" s="555"/>
      <c r="L121" s="556"/>
      <c r="M121" s="557"/>
      <c r="N121" s="1153"/>
      <c r="O121" s="1153"/>
      <c r="P121" s="2683"/>
      <c r="Q121" s="559"/>
    </row>
    <row r="122" spans="1:17" s="471" customFormat="1" ht="15.75" thickBot="1">
      <c r="A122" s="553"/>
      <c r="B122" s="535"/>
      <c r="C122" s="560">
        <v>100</v>
      </c>
      <c r="D122" s="560">
        <v>100</v>
      </c>
      <c r="E122" s="560">
        <v>100</v>
      </c>
      <c r="F122" s="560">
        <v>100</v>
      </c>
      <c r="G122" s="560"/>
      <c r="H122" s="560"/>
      <c r="I122" s="560"/>
      <c r="J122" s="560"/>
      <c r="K122" s="560"/>
      <c r="L122" s="560"/>
      <c r="M122" s="560"/>
      <c r="N122" s="1153"/>
      <c r="O122" s="1153"/>
      <c r="P122" s="2683"/>
      <c r="Q122" s="559"/>
    </row>
    <row r="123" spans="1:17" ht="15" thickTop="1">
      <c r="A123" s="599"/>
      <c r="B123" s="538" t="s">
        <v>2621</v>
      </c>
      <c r="C123" s="2974" t="s">
        <v>3099</v>
      </c>
      <c r="D123" s="2974" t="s">
        <v>3100</v>
      </c>
      <c r="E123" s="2974" t="s">
        <v>3101</v>
      </c>
      <c r="F123" s="2976" t="s">
        <v>3102</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2"/>
      <c r="O124" s="1152"/>
      <c r="P124" s="2682"/>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2"/>
      <c r="Q126" s="504"/>
    </row>
    <row r="127" spans="1:17" s="471" customFormat="1" ht="15" thickTop="1">
      <c r="A127" s="593"/>
      <c r="B127" s="538">
        <f>B45</f>
        <v>145208</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40" sqref="A40:XFD40"/>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9" t="str">
        <f>项目基本情况!B1</f>
        <v>北京市房地产市场价值预评估</v>
      </c>
      <c r="C37" s="2999"/>
      <c r="D37" s="2999"/>
      <c r="E37" s="2999"/>
      <c r="F37" s="2999"/>
      <c r="G37" s="2999"/>
      <c r="H37" s="2999"/>
      <c r="I37" s="2999"/>
    </row>
    <row r="38" spans="1:9">
      <c r="A38" s="1015"/>
      <c r="B38" s="1015"/>
    </row>
    <row r="39" spans="1:9">
      <c r="A39" s="1013" t="s">
        <v>818</v>
      </c>
      <c r="B39" s="1013" t="s">
        <v>820</v>
      </c>
    </row>
    <row r="40" spans="1:9">
      <c r="A40" s="1013"/>
      <c r="B40" s="1941" t="str">
        <f>项目基本情况!B5</f>
        <v>北京杰伟科技发展有限公司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刘梅（注册号：1120140022)、吴薇（注册号：1419970001)</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27</v>
      </c>
      <c r="D1" s="1819" t="s">
        <v>70</v>
      </c>
      <c r="E1" s="1820" t="s">
        <v>1387</v>
      </c>
      <c r="F1" s="1282">
        <f ca="1">J53</f>
        <v>43.52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113521</v>
      </c>
      <c r="C2" s="1844" t="s">
        <v>1516</v>
      </c>
      <c r="D2" s="1844"/>
      <c r="E2" s="1845"/>
      <c r="F2" s="1846"/>
      <c r="G2" s="1847"/>
      <c r="H2" s="1839"/>
      <c r="I2" s="1839"/>
      <c r="J2" s="1839"/>
      <c r="K2" s="1840"/>
      <c r="L2" s="1839"/>
      <c r="M2" s="1839"/>
    </row>
    <row r="3" spans="1:37" ht="18" customHeight="1" thickBot="1">
      <c r="A3" s="1848" t="s">
        <v>1517</v>
      </c>
      <c r="B3" s="1849">
        <f ca="1">IF(ISERROR(B2*10000/F43),0,ROUND(B2*10000/F43,0))</f>
        <v>43798</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4689</v>
      </c>
      <c r="D5" s="1821" t="s">
        <v>1402</v>
      </c>
      <c r="E5" s="1292"/>
      <c r="F5" s="1293"/>
      <c r="G5" s="1850"/>
      <c r="H5" s="344">
        <v>1</v>
      </c>
      <c r="I5" s="345" t="s">
        <v>1401</v>
      </c>
      <c r="J5" s="1291">
        <f ca="1">J6+J10+J12</f>
        <v>0</v>
      </c>
      <c r="K5" s="1821" t="s">
        <v>1402</v>
      </c>
      <c r="L5" s="1292"/>
      <c r="M5" s="1293"/>
    </row>
    <row r="6" spans="1:37" ht="18" customHeight="1">
      <c r="A6" s="1290" t="s">
        <v>1035</v>
      </c>
      <c r="B6" s="3234" t="s">
        <v>1403</v>
      </c>
      <c r="C6" s="1295">
        <f ca="1">ROUND(F6*F8*F7*(1-F9)/10000,0)</f>
        <v>4683</v>
      </c>
      <c r="D6" s="164" t="s">
        <v>3033</v>
      </c>
      <c r="E6" s="347" t="s">
        <v>1405</v>
      </c>
      <c r="F6" s="348">
        <f ca="1">INDIRECT("'数据-取费表'!u"&amp;$G$1)</f>
        <v>5.5</v>
      </c>
      <c r="G6" s="1850"/>
      <c r="H6" s="1290" t="s">
        <v>1035</v>
      </c>
      <c r="I6" s="3234" t="s">
        <v>1403</v>
      </c>
      <c r="J6" s="346">
        <f ca="1">ROUND(M6*M8*M7*(1-M9)/10000,0)</f>
        <v>0</v>
      </c>
      <c r="K6" s="164" t="s">
        <v>3032</v>
      </c>
      <c r="L6" s="347" t="s">
        <v>1405</v>
      </c>
      <c r="M6" s="348">
        <f ca="1">INDIRECT("'数据-取费表'!z"&amp;$G$1)</f>
        <v>0</v>
      </c>
    </row>
    <row r="7" spans="1:37" ht="18" customHeight="1">
      <c r="A7" s="1294"/>
      <c r="B7" s="3235"/>
      <c r="C7" s="1296"/>
      <c r="D7" s="352"/>
      <c r="E7" s="2961" t="s">
        <v>1406</v>
      </c>
      <c r="F7" s="348">
        <f ca="1">IF(INDIRECT("'数据-取费表'!ah"&amp;$G$1)="",INDIRECT("'数据-取费表'!k"&amp;$G$1),INDIRECT("'数据-取费表'!ah"&amp;$G$1))</f>
        <v>25919.38</v>
      </c>
      <c r="G7" s="1850"/>
      <c r="H7" s="349"/>
      <c r="I7" s="3235"/>
      <c r="J7" s="351"/>
      <c r="K7" s="352"/>
      <c r="L7" s="347" t="s">
        <v>1406</v>
      </c>
      <c r="M7" s="348">
        <f ca="1">F7</f>
        <v>25919.38</v>
      </c>
    </row>
    <row r="8" spans="1:37" ht="18" customHeight="1">
      <c r="A8" s="349"/>
      <c r="B8" s="3235"/>
      <c r="C8" s="351"/>
      <c r="D8" s="352"/>
      <c r="E8" s="347" t="s">
        <v>1407</v>
      </c>
      <c r="F8" s="348">
        <f ca="1">INDIRECT("'数据-取费表'!ai"&amp;$G$1)</f>
        <v>365</v>
      </c>
      <c r="G8" s="1850"/>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0.1</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6</v>
      </c>
      <c r="D10" s="1823" t="s">
        <v>3042</v>
      </c>
      <c r="E10" s="358" t="s">
        <v>1410</v>
      </c>
      <c r="F10" s="1365" t="s">
        <v>3162</v>
      </c>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12575</v>
      </c>
      <c r="D13" s="1330" t="s">
        <v>1415</v>
      </c>
      <c r="E13" s="1330" t="s">
        <v>1416</v>
      </c>
      <c r="F13" s="1331">
        <f ca="1">INDIRECT("'数据-取费表'!y"&amp;$G$1)</f>
        <v>0.93</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8294</v>
      </c>
      <c r="D14" s="2948" t="s">
        <v>1418</v>
      </c>
      <c r="E14" s="2943"/>
      <c r="F14" s="364"/>
      <c r="G14" s="1850"/>
      <c r="H14" s="1200" t="s">
        <v>1035</v>
      </c>
      <c r="I14" s="347" t="s">
        <v>1419</v>
      </c>
      <c r="J14" s="24">
        <f ca="1">C29</f>
        <v>13522</v>
      </c>
      <c r="K14" s="2960"/>
      <c r="L14" s="978"/>
      <c r="M14" s="979"/>
    </row>
    <row r="15" spans="1:37" s="1857" customFormat="1" ht="18" customHeight="1" thickBot="1">
      <c r="A15" s="1200" t="s">
        <v>1036</v>
      </c>
      <c r="B15" s="347" t="s">
        <v>1420</v>
      </c>
      <c r="C15" s="24">
        <f ca="1">ROUND(C14*F15,0)</f>
        <v>249</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326</v>
      </c>
      <c r="K16" s="1336" t="s">
        <v>1425</v>
      </c>
      <c r="L16" s="2950"/>
      <c r="M16" s="1293"/>
    </row>
    <row r="17" spans="1:37" s="1857" customFormat="1" ht="18" customHeight="1">
      <c r="A17" s="1200" t="s">
        <v>1390</v>
      </c>
      <c r="B17" s="347" t="s">
        <v>1426</v>
      </c>
      <c r="C17" s="24">
        <f ca="1">ROUND(F17*(F43+INDIRECT("'数据-取费表'!S"&amp;$G$1))/10000,0)</f>
        <v>518</v>
      </c>
      <c r="D17" s="347" t="s">
        <v>1427</v>
      </c>
      <c r="E17" s="347" t="s">
        <v>1428</v>
      </c>
      <c r="F17" s="26">
        <f>'数据-取费表'!B35</f>
        <v>200</v>
      </c>
      <c r="G17" s="1853"/>
      <c r="H17" s="1200" t="s">
        <v>1035</v>
      </c>
      <c r="I17" s="347" t="s">
        <v>1429</v>
      </c>
      <c r="J17" s="24">
        <f ca="1">ROUND(IF(项目基本情况!B11="自然人",J5*M17,J18+J19+J20),1)</f>
        <v>123.6</v>
      </c>
      <c r="K17" s="2948" t="s">
        <v>1430</v>
      </c>
      <c r="L17" s="2946"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124</v>
      </c>
      <c r="D18" s="347" t="s">
        <v>1421</v>
      </c>
      <c r="E18" s="347" t="s">
        <v>1422</v>
      </c>
      <c r="F18" s="367">
        <f>'数据-取费表'!B36</f>
        <v>1.4999999999999999E-2</v>
      </c>
      <c r="G18" s="1853"/>
      <c r="H18" s="1200" t="s">
        <v>1034</v>
      </c>
      <c r="I18" s="347" t="s">
        <v>1433</v>
      </c>
      <c r="J18" s="24">
        <f ca="1">ROUND(J5*M18/(1+'数据-取费表'!C42),2)</f>
        <v>0</v>
      </c>
      <c r="K18" s="2946"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9185</v>
      </c>
      <c r="D19" s="140" t="s">
        <v>1436</v>
      </c>
      <c r="E19" s="2958"/>
      <c r="F19" s="26"/>
      <c r="G19" s="1850"/>
      <c r="H19" s="1200" t="s">
        <v>1036</v>
      </c>
      <c r="I19" s="347" t="s">
        <v>1437</v>
      </c>
      <c r="J19" s="24">
        <f ca="1">IF(K19="按租金收入计税",ROUND(J5*M19,2),ROUND(C29*M19*0.7,2))</f>
        <v>113.58</v>
      </c>
      <c r="K19" s="1827" t="s">
        <v>1438</v>
      </c>
      <c r="L19" s="347" t="s">
        <v>1422</v>
      </c>
      <c r="M19" s="367">
        <f>IF(K19="按租金收入计税",'数据-取费表'!B51,'数据-取费表'!B50)</f>
        <v>1.2E-2</v>
      </c>
    </row>
    <row r="20" spans="1:37" s="1857" customFormat="1" ht="18" customHeight="1">
      <c r="A20" s="1200" t="s">
        <v>1039</v>
      </c>
      <c r="B20" s="347" t="s">
        <v>1439</v>
      </c>
      <c r="C20" s="24">
        <f ca="1">ROUND(C19*F20,0)</f>
        <v>276</v>
      </c>
      <c r="D20" s="369" t="s">
        <v>1440</v>
      </c>
      <c r="E20" s="347" t="s">
        <v>1422</v>
      </c>
      <c r="F20" s="367">
        <f>'数据-取费表'!B37</f>
        <v>0.03</v>
      </c>
      <c r="G20" s="1853"/>
      <c r="H20" s="1200" t="s">
        <v>1389</v>
      </c>
      <c r="I20" s="164" t="s">
        <v>1441</v>
      </c>
      <c r="J20" s="25">
        <f ca="1">ROUND(M20*M21/10000,2)</f>
        <v>10.029999999999999</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8357.9599999999991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8"/>
      <c r="F22" s="26"/>
      <c r="G22" s="1850"/>
      <c r="H22" s="1200" t="s">
        <v>1039</v>
      </c>
      <c r="I22" s="347" t="s">
        <v>1449</v>
      </c>
      <c r="J22" s="24">
        <f ca="1">ROUND(J14*M22,1)</f>
        <v>202.8</v>
      </c>
      <c r="K22" s="2946"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449</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2946"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8"/>
      <c r="F25" s="26"/>
      <c r="G25" s="1850"/>
      <c r="H25" s="1328" t="s">
        <v>1031</v>
      </c>
      <c r="I25" s="1343" t="s">
        <v>1463</v>
      </c>
      <c r="J25" s="355">
        <f ca="1">J5-J16</f>
        <v>-326</v>
      </c>
      <c r="K25" s="1344" t="s">
        <v>1464</v>
      </c>
      <c r="L25" s="1345"/>
      <c r="M25" s="1346"/>
    </row>
    <row r="26" spans="1:37">
      <c r="A26" s="1200" t="s">
        <v>1034</v>
      </c>
      <c r="B26" s="347" t="s">
        <v>1465</v>
      </c>
      <c r="C26" s="24">
        <f ca="1">ROUND((C19+C20)*F26,0)</f>
        <v>2365</v>
      </c>
      <c r="D26" s="369" t="s">
        <v>1466</v>
      </c>
      <c r="E26" s="358" t="s">
        <v>1467</v>
      </c>
      <c r="F26" s="357">
        <f ca="1">INDIRECT("'数据-取费表'!q"&amp;$G$1)</f>
        <v>0.25</v>
      </c>
      <c r="G26" s="1850"/>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7.4999999999999997E-3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13522</v>
      </c>
      <c r="D29" s="1341"/>
      <c r="E29" s="1339"/>
      <c r="F29" s="1342"/>
      <c r="G29" s="1853"/>
      <c r="H29" s="380" t="s">
        <v>1033</v>
      </c>
      <c r="I29" s="381" t="s">
        <v>1479</v>
      </c>
      <c r="J29" s="382">
        <f ca="1">ROUND(J26/(1+F40)^F41,0)</f>
        <v>0</v>
      </c>
      <c r="K29" s="383" t="s">
        <v>1480</v>
      </c>
      <c r="L29" s="384"/>
      <c r="M29" s="385">
        <f ca="1">INDIRECT("'数据-取费表'!k"&amp;$G$1)</f>
        <v>25919.38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689</v>
      </c>
      <c r="D30" s="1336" t="s">
        <v>1425</v>
      </c>
      <c r="E30" s="2950"/>
      <c r="F30" s="1293"/>
      <c r="G30" s="1850"/>
      <c r="H30" s="745"/>
      <c r="I30" s="746"/>
      <c r="J30" s="747"/>
      <c r="K30" s="748"/>
      <c r="L30" s="749"/>
      <c r="M30" s="750"/>
    </row>
    <row r="31" spans="1:37" ht="18" customHeight="1">
      <c r="A31" s="1200" t="s">
        <v>1035</v>
      </c>
      <c r="B31" s="347" t="s">
        <v>1429</v>
      </c>
      <c r="C31" s="24">
        <f ca="1">ROUND(IF(项目基本情况!B11="自然人",C5*F31,C32+C33+C34),1)</f>
        <v>373.7</v>
      </c>
      <c r="D31" s="2948" t="s">
        <v>1430</v>
      </c>
      <c r="E31" s="2946"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250.08</v>
      </c>
      <c r="D32" s="2946"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113.58</v>
      </c>
      <c r="D33" s="1827" t="s">
        <v>3176</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10.029999999999999</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8357.9599999999991</v>
      </c>
      <c r="G35" s="1850"/>
      <c r="H35" s="745"/>
      <c r="I35" s="1859"/>
      <c r="J35" s="1860"/>
      <c r="K35" s="1861"/>
      <c r="L35" s="1858"/>
      <c r="M35" s="1858"/>
    </row>
    <row r="36" spans="1:18" ht="18" customHeight="1">
      <c r="A36" s="1351" t="s">
        <v>1039</v>
      </c>
      <c r="B36" s="347" t="s">
        <v>1449</v>
      </c>
      <c r="C36" s="24">
        <f ca="1">ROUND(C29*F36,1)</f>
        <v>202.8</v>
      </c>
      <c r="D36" s="2946"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18.899999999999999</v>
      </c>
      <c r="D37" s="2946"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93.8</v>
      </c>
      <c r="D38" s="1341" t="s">
        <v>1459</v>
      </c>
      <c r="E38" s="1339" t="s">
        <v>1455</v>
      </c>
      <c r="F38" s="1335">
        <f ca="1">INDIRECT("'数据-取费表'!Am"&amp;$G$1)</f>
        <v>0.02</v>
      </c>
      <c r="G38" s="1850"/>
      <c r="H38" s="1858"/>
      <c r="I38" s="1859"/>
      <c r="J38" s="1860"/>
      <c r="K38" s="1864"/>
      <c r="L38" s="1858"/>
      <c r="M38" s="1858"/>
    </row>
    <row r="39" spans="1:18" ht="24.6" customHeight="1" thickTop="1">
      <c r="A39" s="1328" t="s">
        <v>1031</v>
      </c>
      <c r="B39" s="1343" t="s">
        <v>1483</v>
      </c>
      <c r="C39" s="355">
        <f ca="1">C5-C30</f>
        <v>4000</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113394</v>
      </c>
      <c r="D40" s="370" t="s">
        <v>1469</v>
      </c>
      <c r="E40" s="347" t="s">
        <v>1470</v>
      </c>
      <c r="F40" s="357">
        <f ca="1">INDIRECT("'数据-取费表'!I"&amp;$G$1)</f>
        <v>0.05</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43.52</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43749</v>
      </c>
      <c r="D43" s="383" t="s">
        <v>1488</v>
      </c>
      <c r="E43" s="384" t="s">
        <v>1489</v>
      </c>
      <c r="F43" s="385">
        <f ca="1">INDIRECT("'数据-取费表'!k"&amp;$G$1)</f>
        <v>25919.38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-119469</v>
      </c>
      <c r="D46" s="1871" t="str">
        <f>C2</f>
        <v>万元</v>
      </c>
      <c r="E46" s="1865"/>
      <c r="F46" s="1865"/>
      <c r="I46" s="1872" t="s">
        <v>1521</v>
      </c>
      <c r="J46" s="1873"/>
      <c r="K46" s="1874"/>
      <c r="L46" s="1875">
        <f ca="1">IF(M47="住宅",0,IF(L48&gt;J51,L60,J60))</f>
        <v>127</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113394</v>
      </c>
      <c r="R47" s="1885" t="s">
        <v>1529</v>
      </c>
    </row>
    <row r="48" spans="1:18" s="1841" customFormat="1" ht="28.5" thickBot="1">
      <c r="A48" s="1359" t="s">
        <v>1135</v>
      </c>
      <c r="B48" s="345" t="s">
        <v>1401</v>
      </c>
      <c r="C48" s="2957">
        <f ca="1">C49+C53+C55</f>
        <v>0</v>
      </c>
      <c r="D48" s="1361"/>
      <c r="E48" s="1362"/>
      <c r="F48" s="1180"/>
      <c r="G48" s="792"/>
      <c r="H48" s="793"/>
      <c r="I48" s="1886" t="s">
        <v>1530</v>
      </c>
      <c r="J48" s="1887" t="s">
        <v>3173</v>
      </c>
      <c r="K48" s="1888" t="s">
        <v>1531</v>
      </c>
      <c r="L48" s="1889">
        <f ca="1">INDIRECT("'数据-取费表'!f"&amp;$G$1)</f>
        <v>43.52</v>
      </c>
      <c r="O48" s="1883" t="s">
        <v>1041</v>
      </c>
      <c r="P48" s="1884" t="s">
        <v>1532</v>
      </c>
      <c r="Q48" s="1885">
        <f ca="1">J60</f>
        <v>127</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13522</v>
      </c>
      <c r="R49" s="1885" t="s">
        <v>1529</v>
      </c>
    </row>
    <row r="50" spans="1:18" s="1841" customFormat="1" ht="13.5" thickBot="1">
      <c r="A50" s="1194"/>
      <c r="B50" s="1197"/>
      <c r="C50" s="1367"/>
      <c r="D50" s="1171"/>
      <c r="E50" s="1276" t="s">
        <v>1406</v>
      </c>
      <c r="F50" s="1277">
        <f ca="1">F7</f>
        <v>25919.38</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57</v>
      </c>
      <c r="K51" s="1899" t="s">
        <v>1541</v>
      </c>
      <c r="L51" s="1900">
        <f ca="1">ROUND(-PV(INDIRECT("'数据-取费表'!h"&amp;$G$1),L48,(C39-C13*C76),0),0)</f>
        <v>54353</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43.52</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43.52</v>
      </c>
      <c r="K53" s="3237" t="s">
        <v>1548</v>
      </c>
      <c r="L53" s="3238"/>
      <c r="O53" s="1883" t="s">
        <v>1046</v>
      </c>
      <c r="P53" s="1884" t="s">
        <v>1549</v>
      </c>
      <c r="Q53" s="1885">
        <f ca="1">Q47+Q48</f>
        <v>113521</v>
      </c>
      <c r="R53" s="1885" t="s">
        <v>1047</v>
      </c>
    </row>
    <row r="54" spans="1:18" s="1841" customFormat="1" ht="13.5" thickBot="1">
      <c r="A54" s="1405"/>
      <c r="B54" s="1824" t="s">
        <v>1388</v>
      </c>
      <c r="C54" s="1177"/>
      <c r="D54" s="1823"/>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3"/>
      <c r="F55" s="1906"/>
      <c r="I55" s="1909" t="s">
        <v>1551</v>
      </c>
      <c r="J55" s="1910">
        <f ca="1">ROUND(IF(J47="钢混",J57/J50,1-(1-2%)*(J50-J57)/J50),3)</f>
        <v>0.22500000000000001</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12575</v>
      </c>
      <c r="D56" s="1913"/>
      <c r="E56" s="1914"/>
      <c r="F56" s="1906"/>
      <c r="I56" s="1915" t="s">
        <v>1554</v>
      </c>
      <c r="J56" s="1916" t="s">
        <v>3058</v>
      </c>
      <c r="K56" s="1886" t="s">
        <v>1555</v>
      </c>
      <c r="L56" s="1889" t="str">
        <f ca="1">IF(L48&lt;J51,"——",L48-J53)</f>
        <v>——</v>
      </c>
      <c r="O56" s="1883" t="s">
        <v>1040</v>
      </c>
      <c r="P56" s="1884" t="s">
        <v>1528</v>
      </c>
      <c r="Q56" s="1885">
        <f ca="1">C40+J29</f>
        <v>113394</v>
      </c>
      <c r="R56" s="1885" t="s">
        <v>1529</v>
      </c>
    </row>
    <row r="57" spans="1:18" s="1841" customFormat="1" ht="24.75" thickBot="1">
      <c r="A57" s="1917"/>
      <c r="B57" s="1168" t="s">
        <v>1478</v>
      </c>
      <c r="C57" s="282">
        <f ca="1">C29</f>
        <v>13522</v>
      </c>
      <c r="D57" s="1918"/>
      <c r="E57" s="1919"/>
      <c r="F57" s="1920"/>
      <c r="I57" s="1921" t="s">
        <v>1556</v>
      </c>
      <c r="J57" s="1922">
        <f ca="1">IF(OR(M47="住宅",J51&lt;L48,J56="是"),"——",J51-L48)</f>
        <v>13.479999999999997</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345</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123.6</v>
      </c>
      <c r="D59" s="1181" t="s">
        <v>1430</v>
      </c>
      <c r="E59" s="1182" t="s">
        <v>1431</v>
      </c>
      <c r="F59" s="368" t="str">
        <f ca="1">IF(项目基本情况!B11="企业","",IF(INDIRECT("'数据-取费表'!c"&amp;$G$1)="住宅",5%,IF(F49*F50*F51/12/(1+'数据-取费表'!C42)&gt;20000,12%,7%)))</f>
        <v/>
      </c>
      <c r="I59" s="1921" t="s">
        <v>1563</v>
      </c>
      <c r="J59" s="1922">
        <f ca="1">IF(OR(M47="住宅",J51&lt;L48,J56="是"),"——",ROUND(C29*J58,0))</f>
        <v>5409</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127</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113.58</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10.029999999999999</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113394</v>
      </c>
      <c r="R62" s="1885" t="s">
        <v>1047</v>
      </c>
    </row>
    <row r="63" spans="1:18" s="1841" customFormat="1" ht="13.5" thickBot="1">
      <c r="A63" s="372"/>
      <c r="B63" s="1174"/>
      <c r="C63" s="29"/>
      <c r="D63" s="1184"/>
      <c r="E63" s="1168" t="s">
        <v>1499</v>
      </c>
      <c r="F63" s="348">
        <f t="shared" ca="1" si="0"/>
        <v>8357.9599999999991</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202.8</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18.899999999999999</v>
      </c>
      <c r="D65" s="1182" t="s">
        <v>1454</v>
      </c>
      <c r="E65" s="1168" t="s">
        <v>1455</v>
      </c>
      <c r="F65" s="376">
        <f t="shared" ca="1" si="0"/>
        <v>1.5E-3</v>
      </c>
      <c r="I65" s="1928" t="s">
        <v>1579</v>
      </c>
      <c r="J65" s="1929">
        <v>40</v>
      </c>
      <c r="K65" s="1929">
        <v>30</v>
      </c>
      <c r="L65" s="1929">
        <v>50</v>
      </c>
      <c r="M65" s="1931">
        <v>0.02</v>
      </c>
      <c r="O65" s="1883" t="s">
        <v>1040</v>
      </c>
      <c r="P65" s="1884" t="s">
        <v>1580</v>
      </c>
      <c r="Q65" s="1885">
        <f ca="1">C40+J29</f>
        <v>113394</v>
      </c>
      <c r="R65" s="1885" t="s">
        <v>1529</v>
      </c>
    </row>
    <row r="66" spans="1:18" s="1841" customFormat="1" ht="16.5" thickBot="1">
      <c r="A66" s="1200" t="s">
        <v>1504</v>
      </c>
      <c r="B66" s="1168" t="s">
        <v>1439</v>
      </c>
      <c r="C66" s="24">
        <f ca="1">ROUND(C48*F66,1)</f>
        <v>0</v>
      </c>
      <c r="D66" s="1182" t="s">
        <v>1505</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-345</v>
      </c>
      <c r="D67" s="1181" t="s">
        <v>1464</v>
      </c>
      <c r="E67" s="1186"/>
      <c r="F67" s="1187"/>
      <c r="O67" s="1893" t="s">
        <v>1042</v>
      </c>
      <c r="P67" s="1884" t="s">
        <v>1562</v>
      </c>
      <c r="Q67" s="1932">
        <f ca="1">L51</f>
        <v>54353</v>
      </c>
      <c r="R67" s="1885" t="s">
        <v>1582</v>
      </c>
    </row>
    <row r="68" spans="1:18" s="1841" customFormat="1" ht="16.5" thickBot="1">
      <c r="A68" s="1165" t="s">
        <v>1032</v>
      </c>
      <c r="B68" s="1166" t="s">
        <v>1485</v>
      </c>
      <c r="C68" s="346">
        <f ca="1">ROUND(C67*(1-((1+F70)/(1+F68))^F69)/(F68-F70),0)</f>
        <v>-6075</v>
      </c>
      <c r="D68" s="1183" t="s">
        <v>1469</v>
      </c>
      <c r="E68" s="1168" t="s">
        <v>1470</v>
      </c>
      <c r="F68" s="357">
        <f ca="1">F40</f>
        <v>0.05</v>
      </c>
      <c r="O68" s="1893" t="s">
        <v>1043</v>
      </c>
      <c r="P68" s="1933" t="s">
        <v>1583</v>
      </c>
      <c r="Q68" s="1885">
        <f ca="1">ROUND(Q69-Q70*Q71,0)</f>
        <v>2868</v>
      </c>
      <c r="R68" s="1885" t="s">
        <v>1051</v>
      </c>
    </row>
    <row r="69" spans="1:18" s="1841" customFormat="1" ht="13.5" thickBot="1">
      <c r="A69" s="1169"/>
      <c r="B69" s="1170"/>
      <c r="C69" s="351"/>
      <c r="D69" s="1188" t="s">
        <v>1473</v>
      </c>
      <c r="E69" s="1168" t="s">
        <v>1474</v>
      </c>
      <c r="F69" s="379">
        <f ca="1">F41</f>
        <v>43.52</v>
      </c>
      <c r="O69" s="1893" t="s">
        <v>1048</v>
      </c>
      <c r="P69" s="1933" t="s">
        <v>1584</v>
      </c>
      <c r="Q69" s="1885">
        <f ca="1">C39</f>
        <v>4000</v>
      </c>
      <c r="R69" s="1885" t="s">
        <v>1529</v>
      </c>
    </row>
    <row r="70" spans="1:18" s="1841" customFormat="1" ht="13.5" thickBot="1">
      <c r="A70" s="1172"/>
      <c r="B70" s="1173"/>
      <c r="C70" s="355"/>
      <c r="D70" s="1184"/>
      <c r="E70" s="1168" t="s">
        <v>1477</v>
      </c>
      <c r="F70" s="1274"/>
      <c r="O70" s="1893" t="s">
        <v>1049</v>
      </c>
      <c r="P70" s="1933" t="s">
        <v>1585</v>
      </c>
      <c r="Q70" s="1885">
        <f ca="1">C13</f>
        <v>12575</v>
      </c>
      <c r="R70" s="1885" t="s">
        <v>1529</v>
      </c>
    </row>
    <row r="71" spans="1:18" s="1841" customFormat="1" ht="13.5" thickBot="1">
      <c r="A71" s="1189" t="s">
        <v>1033</v>
      </c>
      <c r="B71" s="1190" t="s">
        <v>1487</v>
      </c>
      <c r="C71" s="382">
        <f ca="1">ROUND(C68*10000/F71,0)</f>
        <v>-2344</v>
      </c>
      <c r="D71" s="1191" t="s">
        <v>1488</v>
      </c>
      <c r="E71" s="1192" t="s">
        <v>1489</v>
      </c>
      <c r="F71" s="385">
        <f ca="1">F43</f>
        <v>25919.38</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1132</v>
      </c>
      <c r="D75" s="1841"/>
      <c r="E75" s="1841"/>
      <c r="F75" s="1841"/>
      <c r="K75" s="1867"/>
      <c r="L75" s="1841"/>
      <c r="O75" s="1883" t="s">
        <v>1046</v>
      </c>
      <c r="P75" s="1884" t="s">
        <v>1549</v>
      </c>
      <c r="Q75" s="1885">
        <f ca="1">Q65+Q66</f>
        <v>113394</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0.71700000000000008</v>
      </c>
    </row>
    <row r="80" spans="1:18">
      <c r="B80" s="386" t="s">
        <v>1511</v>
      </c>
      <c r="C80" s="318">
        <f ca="1">ROUND(C75/C39,3)</f>
        <v>0.28299999999999997</v>
      </c>
    </row>
    <row r="81" spans="2:3">
      <c r="B81" s="314" t="s">
        <v>1512</v>
      </c>
      <c r="C81" s="282"/>
    </row>
    <row r="82" spans="2:3">
      <c r="B82" s="317" t="s">
        <v>1513</v>
      </c>
      <c r="C82" s="319">
        <f ca="1">1-C83</f>
        <v>0.88900000000000001</v>
      </c>
    </row>
    <row r="83" spans="2:3">
      <c r="B83" s="317" t="s">
        <v>1514</v>
      </c>
      <c r="C83" s="318">
        <f ca="1">ROUND(C13/C40,3)</f>
        <v>0.111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K38" sqref="K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2687</v>
      </c>
      <c r="C1" s="1619" t="s">
        <v>2531</v>
      </c>
      <c r="D1" s="1620" t="s">
        <v>3136</v>
      </c>
      <c r="E1" s="1629"/>
      <c r="F1" s="2583" t="s">
        <v>3146</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IF(C2="——",ROUND(C50*D3/10000,0),ROUND(C50*D3/10000,0)-D2)</f>
        <v>#DIV/0!</v>
      </c>
      <c r="C2" s="2585" t="s">
        <v>70</v>
      </c>
      <c r="D2" s="1364"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IF(C2="——",C50,ROUND(B2*10000/D3,0))</f>
        <v>#DIV/0!</v>
      </c>
      <c r="C3" s="400" t="s">
        <v>2645</v>
      </c>
      <c r="D3" s="399">
        <f>IF(D1="",'数据-汇总表'!E3,SUMIF('数据-汇总表'!$C19:$C33,D1,'数据-汇总表'!$E19:$E33))</f>
        <v>0</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204" t="s">
        <v>2647</v>
      </c>
      <c r="D4" s="3205"/>
      <c r="E4" s="3206" t="s">
        <v>2648</v>
      </c>
      <c r="F4" s="3207"/>
      <c r="G4" s="3204" t="s">
        <v>2649</v>
      </c>
      <c r="H4" s="3205"/>
      <c r="I4" s="3204" t="s">
        <v>2650</v>
      </c>
      <c r="J4" s="3205"/>
      <c r="K4" s="610" t="s">
        <v>2651</v>
      </c>
      <c r="L4" s="1129"/>
      <c r="M4" s="1130"/>
      <c r="N4" s="1130"/>
      <c r="O4" s="1130"/>
      <c r="P4" s="3208" t="s">
        <v>2652</v>
      </c>
      <c r="Q4" s="3209"/>
      <c r="R4" s="3190" t="s">
        <v>2648</v>
      </c>
      <c r="S4" s="3191"/>
      <c r="T4" s="3190" t="s">
        <v>2649</v>
      </c>
      <c r="U4" s="3191"/>
      <c r="V4" s="3216" t="s">
        <v>2650</v>
      </c>
      <c r="W4" s="3216"/>
      <c r="X4" s="2967"/>
      <c r="Y4" s="3190" t="s">
        <v>2652</v>
      </c>
      <c r="Z4" s="3191"/>
      <c r="AA4" s="3185" t="s">
        <v>2648</v>
      </c>
      <c r="AB4" s="3185" t="s">
        <v>2649</v>
      </c>
      <c r="AC4" s="3201" t="s">
        <v>2650</v>
      </c>
    </row>
    <row r="5" spans="1:29" ht="15" customHeight="1">
      <c r="A5" s="404"/>
      <c r="B5" s="405"/>
      <c r="C5" s="3196" t="s">
        <v>2543</v>
      </c>
      <c r="D5" s="3197"/>
      <c r="E5" s="3194" t="s">
        <v>3070</v>
      </c>
      <c r="F5" s="3195"/>
      <c r="G5" s="3194" t="s">
        <v>3072</v>
      </c>
      <c r="H5" s="3195"/>
      <c r="I5" s="3194" t="s">
        <v>3071</v>
      </c>
      <c r="J5" s="3195"/>
      <c r="K5" s="610"/>
      <c r="L5" s="1129"/>
      <c r="M5" s="1130"/>
      <c r="N5" s="1130"/>
      <c r="O5" s="1130"/>
      <c r="P5" s="3210"/>
      <c r="Q5" s="3211"/>
      <c r="R5" s="3192"/>
      <c r="S5" s="3193"/>
      <c r="T5" s="3192"/>
      <c r="U5" s="3193"/>
      <c r="V5" s="3217"/>
      <c r="W5" s="3217"/>
      <c r="X5" s="2965"/>
      <c r="Y5" s="3192"/>
      <c r="Z5" s="3193"/>
      <c r="AA5" s="3186"/>
      <c r="AB5" s="3186"/>
      <c r="AC5" s="3202"/>
    </row>
    <row r="6" spans="1:29" ht="15.75" thickBot="1">
      <c r="A6" s="406"/>
      <c r="B6" s="407"/>
      <c r="C6" s="3198" t="s">
        <v>2547</v>
      </c>
      <c r="D6" s="3199"/>
      <c r="E6" s="3198" t="s">
        <v>2547</v>
      </c>
      <c r="F6" s="3199"/>
      <c r="G6" s="3198" t="s">
        <v>2547</v>
      </c>
      <c r="H6" s="3199"/>
      <c r="I6" s="3198" t="s">
        <v>2547</v>
      </c>
      <c r="J6" s="3199"/>
      <c r="K6" s="610" t="s">
        <v>2548</v>
      </c>
      <c r="L6" s="1129"/>
      <c r="M6" s="1130"/>
      <c r="N6" s="1130"/>
      <c r="O6" s="1130"/>
      <c r="P6" s="3212"/>
      <c r="Q6" s="3213"/>
      <c r="R6" s="3192"/>
      <c r="S6" s="3193"/>
      <c r="T6" s="3214"/>
      <c r="U6" s="3215"/>
      <c r="V6" s="3217"/>
      <c r="W6" s="3217"/>
      <c r="X6" s="2965"/>
      <c r="Y6" s="3214"/>
      <c r="Z6" s="3215"/>
      <c r="AA6" s="3187"/>
      <c r="AB6" s="3187"/>
      <c r="AC6" s="3203"/>
    </row>
    <row r="7" spans="1:29" s="117" customFormat="1" ht="15.75" thickBot="1">
      <c r="A7" s="408" t="s">
        <v>2549</v>
      </c>
      <c r="B7" s="409"/>
      <c r="C7" s="410">
        <f>'数据-取费表'!B2</f>
        <v>43100</v>
      </c>
      <c r="D7" s="411">
        <v>100</v>
      </c>
      <c r="E7" s="412">
        <v>43236</v>
      </c>
      <c r="F7" s="413">
        <f>SUMIF(59:59,YEAR(E7)&amp;"-"&amp;MONTH(E7),60:60)</f>
        <v>0</v>
      </c>
      <c r="G7" s="412">
        <v>43236</v>
      </c>
      <c r="H7" s="411">
        <f>SUMIF(59:59,YEAR(G7)&amp;"-"&amp;MONTH(G7),60:60)</f>
        <v>0</v>
      </c>
      <c r="I7" s="412">
        <v>43236</v>
      </c>
      <c r="J7" s="411">
        <f>SUMIF(59:59,YEAR(I7)&amp;"-"&amp;MONTH(I7),60:60)</f>
        <v>0</v>
      </c>
      <c r="K7" s="611"/>
      <c r="L7" s="1131"/>
      <c r="M7" s="1132"/>
      <c r="N7" s="1132"/>
      <c r="O7" s="1132"/>
      <c r="P7" s="3218" t="s">
        <v>2550</v>
      </c>
      <c r="Q7" s="3219"/>
      <c r="R7" s="770" t="s">
        <v>17</v>
      </c>
      <c r="S7" s="771">
        <f t="shared" ref="S7:S15" si="0">F7</f>
        <v>0</v>
      </c>
      <c r="T7" s="770" t="s">
        <v>17</v>
      </c>
      <c r="U7" s="771">
        <f t="shared" ref="U7:U15" si="1">H7</f>
        <v>0</v>
      </c>
      <c r="V7" s="770" t="s">
        <v>17</v>
      </c>
      <c r="W7" s="771">
        <f t="shared" ref="W7:W15" si="2">J7</f>
        <v>0</v>
      </c>
      <c r="X7" s="772"/>
      <c r="Y7" s="3188" t="s">
        <v>2550</v>
      </c>
      <c r="Z7" s="3189"/>
      <c r="AA7" s="773" t="e">
        <f>D7/F7</f>
        <v>#DIV/0!</v>
      </c>
      <c r="AB7" s="773" t="e">
        <f>D7/H7</f>
        <v>#DIV/0!</v>
      </c>
      <c r="AC7" s="2670" t="e">
        <f>D7/J7</f>
        <v>#DIV/0!</v>
      </c>
    </row>
    <row r="8" spans="1:29" s="117" customFormat="1" ht="15.75" thickBot="1">
      <c r="A8" s="408" t="s">
        <v>2551</v>
      </c>
      <c r="B8" s="409"/>
      <c r="C8" s="414" t="s">
        <v>2653</v>
      </c>
      <c r="D8" s="411">
        <v>100</v>
      </c>
      <c r="E8" s="414" t="s">
        <v>3073</v>
      </c>
      <c r="F8" s="413">
        <f>SUMIF(62:62,E8,63:63)-SUMIF(62:62,C8,63:63)+100</f>
        <v>100</v>
      </c>
      <c r="G8" s="414" t="s">
        <v>3073</v>
      </c>
      <c r="H8" s="411">
        <f>SUMIF(62:62,G8,63:63)-SUMIF(62:62,C8,63:63)+100</f>
        <v>100</v>
      </c>
      <c r="I8" s="414" t="s">
        <v>3073</v>
      </c>
      <c r="J8" s="411">
        <f>SUMIF(62:62,I8,63:63)-SUMIF(62:62,C8,63:63)+100</f>
        <v>100</v>
      </c>
      <c r="K8" s="611"/>
      <c r="L8" s="1131"/>
      <c r="M8" s="1132"/>
      <c r="N8" s="1132"/>
      <c r="O8" s="1132"/>
      <c r="P8" s="3218" t="s">
        <v>2553</v>
      </c>
      <c r="Q8" s="3189"/>
      <c r="R8" s="770" t="s">
        <v>17</v>
      </c>
      <c r="S8" s="771">
        <f t="shared" si="0"/>
        <v>100</v>
      </c>
      <c r="T8" s="770" t="s">
        <v>17</v>
      </c>
      <c r="U8" s="771">
        <f t="shared" si="1"/>
        <v>100</v>
      </c>
      <c r="V8" s="770" t="s">
        <v>17</v>
      </c>
      <c r="W8" s="771">
        <f t="shared" si="2"/>
        <v>100</v>
      </c>
      <c r="X8" s="772"/>
      <c r="Y8" s="3188" t="s">
        <v>2553</v>
      </c>
      <c r="Z8" s="3189"/>
      <c r="AA8" s="773">
        <f t="shared" ref="AA8:AA47" si="3">D8/F8</f>
        <v>1</v>
      </c>
      <c r="AB8" s="773">
        <f t="shared" ref="AB8:AB47" si="4">D8/H8</f>
        <v>1</v>
      </c>
      <c r="AC8" s="2670">
        <f t="shared" ref="AC8:AC47" si="5">D8/J8</f>
        <v>1</v>
      </c>
    </row>
    <row r="9" spans="1:29" s="117" customFormat="1">
      <c r="A9" s="415" t="s">
        <v>2554</v>
      </c>
      <c r="B9" s="71" t="s">
        <v>2555</v>
      </c>
      <c r="C9" s="2971" t="s">
        <v>3074</v>
      </c>
      <c r="D9" s="135">
        <v>100</v>
      </c>
      <c r="E9" s="2972" t="s">
        <v>3075</v>
      </c>
      <c r="F9" s="135">
        <f>SUMIF(64:64,E9,65:65)-SUMIF(64:64,C9,65:65)+100</f>
        <v>100</v>
      </c>
      <c r="G9" s="2973" t="s">
        <v>3074</v>
      </c>
      <c r="H9" s="135">
        <f>SUMIF(64:64,G9,65:65)-SUMIF(64:64,C9,65:65)+100</f>
        <v>100</v>
      </c>
      <c r="I9" s="2973" t="s">
        <v>3074</v>
      </c>
      <c r="J9" s="135">
        <f>SUMIF(64:64,I9,65:65)-SUMIF(64:64,C9,65:65)+100</f>
        <v>100</v>
      </c>
      <c r="K9" s="611"/>
      <c r="L9" s="1131"/>
      <c r="M9" s="1132"/>
      <c r="N9" s="1132"/>
      <c r="O9" s="1132"/>
      <c r="P9" s="3200" t="s">
        <v>2556</v>
      </c>
      <c r="Q9" s="2940" t="str">
        <f t="shared" ref="Q9:Q15" si="6">B9</f>
        <v>用途</v>
      </c>
      <c r="R9" s="770" t="s">
        <v>17</v>
      </c>
      <c r="S9" s="771">
        <f t="shared" si="0"/>
        <v>100</v>
      </c>
      <c r="T9" s="770" t="s">
        <v>17</v>
      </c>
      <c r="U9" s="771">
        <f t="shared" si="1"/>
        <v>100</v>
      </c>
      <c r="V9" s="770" t="s">
        <v>17</v>
      </c>
      <c r="W9" s="771">
        <f t="shared" si="2"/>
        <v>100</v>
      </c>
      <c r="X9" s="772"/>
      <c r="Y9" s="3065" t="s">
        <v>2557</v>
      </c>
      <c r="Z9" s="2942" t="str">
        <f t="shared" ref="Z9:Z15" si="7">Q9</f>
        <v>用途</v>
      </c>
      <c r="AA9" s="773">
        <f t="shared" si="3"/>
        <v>1</v>
      </c>
      <c r="AB9" s="773">
        <f t="shared" si="4"/>
        <v>1</v>
      </c>
      <c r="AC9" s="2670">
        <f t="shared" si="5"/>
        <v>1</v>
      </c>
    </row>
    <row r="10" spans="1:29" s="427" customFormat="1" ht="27">
      <c r="A10" s="421"/>
      <c r="B10" s="2952" t="s">
        <v>2558</v>
      </c>
      <c r="C10" s="423" t="s">
        <v>3076</v>
      </c>
      <c r="D10" s="136">
        <v>100</v>
      </c>
      <c r="E10" s="423" t="s">
        <v>3077</v>
      </c>
      <c r="F10" s="136">
        <f>SUMIF(66:66,E10,67:67)-SUMIF(66:66,C10,67:67)+100</f>
        <v>99</v>
      </c>
      <c r="G10" s="424" t="s">
        <v>3077</v>
      </c>
      <c r="H10" s="136">
        <f>SUMIF(66:66,G10,67:67)-SUMIF(66:66,C10,67:67)+100</f>
        <v>99</v>
      </c>
      <c r="I10" s="423" t="s">
        <v>3077</v>
      </c>
      <c r="J10" s="136">
        <f>SUMIF(66:66,I10,67:67)-SUMIF(66:66,C10,67:67)+100</f>
        <v>99</v>
      </c>
      <c r="K10" s="612">
        <v>1</v>
      </c>
      <c r="L10" s="1134"/>
      <c r="M10" s="1135"/>
      <c r="N10" s="1135"/>
      <c r="O10" s="1135"/>
      <c r="P10" s="3200"/>
      <c r="Q10" s="2940" t="str">
        <f t="shared" si="6"/>
        <v>土地使用年限（年）</v>
      </c>
      <c r="R10" s="770" t="s">
        <v>17</v>
      </c>
      <c r="S10" s="771">
        <f t="shared" si="0"/>
        <v>99</v>
      </c>
      <c r="T10" s="770" t="s">
        <v>17</v>
      </c>
      <c r="U10" s="771">
        <f t="shared" si="1"/>
        <v>99</v>
      </c>
      <c r="V10" s="770" t="s">
        <v>17</v>
      </c>
      <c r="W10" s="771">
        <f t="shared" si="2"/>
        <v>99</v>
      </c>
      <c r="X10" s="772"/>
      <c r="Y10" s="3065"/>
      <c r="Z10" s="2942" t="str">
        <f t="shared" si="7"/>
        <v>土地使用年限（年）</v>
      </c>
      <c r="AA10" s="773">
        <f t="shared" si="3"/>
        <v>1.0101010101010102</v>
      </c>
      <c r="AB10" s="773">
        <f t="shared" si="4"/>
        <v>1.0101010101010102</v>
      </c>
      <c r="AC10" s="2670">
        <f t="shared" si="5"/>
        <v>1.0101010101010102</v>
      </c>
    </row>
    <row r="11" spans="1:29" ht="15">
      <c r="A11" s="428"/>
      <c r="B11" s="2952" t="s">
        <v>2559</v>
      </c>
      <c r="C11" s="429">
        <v>3.1</v>
      </c>
      <c r="D11" s="136">
        <v>100</v>
      </c>
      <c r="E11" s="429">
        <v>1.9</v>
      </c>
      <c r="F11" s="136">
        <f>LOOKUP(E11,69:69,70:70)-LOOKUP(C11,69:69,70:70)+100</f>
        <v>104</v>
      </c>
      <c r="G11" s="430">
        <v>7.7</v>
      </c>
      <c r="H11" s="136">
        <f>LOOKUP(G11,69:69,70:70)-LOOKUP(C11,69:69,70:70)+100</f>
        <v>92</v>
      </c>
      <c r="I11" s="429">
        <v>2.5</v>
      </c>
      <c r="J11" s="136">
        <f>LOOKUP(I11,69:69,70:70)-LOOKUP(C11,69:69,70:70)+100</f>
        <v>102</v>
      </c>
      <c r="K11" s="612">
        <v>2</v>
      </c>
      <c r="L11" s="1137"/>
      <c r="M11" s="1130"/>
      <c r="N11" s="1130"/>
      <c r="O11" s="1130"/>
      <c r="P11" s="3200"/>
      <c r="Q11" s="2940" t="str">
        <f t="shared" si="6"/>
        <v>容积率</v>
      </c>
      <c r="R11" s="770" t="s">
        <v>17</v>
      </c>
      <c r="S11" s="771">
        <f t="shared" si="0"/>
        <v>104</v>
      </c>
      <c r="T11" s="770" t="s">
        <v>17</v>
      </c>
      <c r="U11" s="771">
        <f t="shared" si="1"/>
        <v>92</v>
      </c>
      <c r="V11" s="770" t="s">
        <v>17</v>
      </c>
      <c r="W11" s="771">
        <f t="shared" si="2"/>
        <v>102</v>
      </c>
      <c r="X11" s="772"/>
      <c r="Y11" s="3065"/>
      <c r="Z11" s="2942" t="str">
        <f t="shared" si="7"/>
        <v>容积率</v>
      </c>
      <c r="AA11" s="773">
        <f t="shared" si="3"/>
        <v>0.96153846153846156</v>
      </c>
      <c r="AB11" s="773">
        <f t="shared" si="4"/>
        <v>1.0869565217391304</v>
      </c>
      <c r="AC11" s="2670">
        <f t="shared" si="5"/>
        <v>0.98039215686274506</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200"/>
      <c r="Q12" s="2940">
        <f t="shared" si="6"/>
        <v>111</v>
      </c>
      <c r="R12" s="770" t="s">
        <v>17</v>
      </c>
      <c r="S12" s="771">
        <f t="shared" si="0"/>
        <v>100</v>
      </c>
      <c r="T12" s="770" t="s">
        <v>17</v>
      </c>
      <c r="U12" s="771">
        <f t="shared" si="1"/>
        <v>100</v>
      </c>
      <c r="V12" s="770" t="s">
        <v>17</v>
      </c>
      <c r="W12" s="771">
        <f t="shared" si="2"/>
        <v>100</v>
      </c>
      <c r="X12" s="772"/>
      <c r="Y12" s="3065"/>
      <c r="Z12" s="2942">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200"/>
      <c r="Q13" s="2940">
        <f t="shared" si="6"/>
        <v>111</v>
      </c>
      <c r="R13" s="770" t="s">
        <v>17</v>
      </c>
      <c r="S13" s="771">
        <f t="shared" si="0"/>
        <v>100</v>
      </c>
      <c r="T13" s="770" t="s">
        <v>17</v>
      </c>
      <c r="U13" s="771">
        <f t="shared" si="1"/>
        <v>100</v>
      </c>
      <c r="V13" s="770" t="s">
        <v>17</v>
      </c>
      <c r="W13" s="771">
        <f t="shared" si="2"/>
        <v>100</v>
      </c>
      <c r="X13" s="772"/>
      <c r="Y13" s="3065"/>
      <c r="Z13" s="2942">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200"/>
      <c r="Q14" s="2940">
        <f t="shared" si="6"/>
        <v>111</v>
      </c>
      <c r="R14" s="770" t="s">
        <v>17</v>
      </c>
      <c r="S14" s="771">
        <f t="shared" si="0"/>
        <v>100</v>
      </c>
      <c r="T14" s="770" t="s">
        <v>17</v>
      </c>
      <c r="U14" s="771">
        <f t="shared" si="1"/>
        <v>100</v>
      </c>
      <c r="V14" s="770" t="s">
        <v>17</v>
      </c>
      <c r="W14" s="771">
        <f t="shared" si="2"/>
        <v>100</v>
      </c>
      <c r="X14" s="772"/>
      <c r="Y14" s="3065"/>
      <c r="Z14" s="2942">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20" t="s">
        <v>2561</v>
      </c>
      <c r="Q15" s="2963" t="str">
        <f t="shared" si="6"/>
        <v>办公集聚程度</v>
      </c>
      <c r="R15" s="774" t="s">
        <v>17</v>
      </c>
      <c r="S15" s="775">
        <f t="shared" si="0"/>
        <v>100</v>
      </c>
      <c r="T15" s="774" t="s">
        <v>17</v>
      </c>
      <c r="U15" s="775">
        <f t="shared" si="1"/>
        <v>100</v>
      </c>
      <c r="V15" s="774" t="s">
        <v>17</v>
      </c>
      <c r="W15" s="775">
        <f t="shared" si="2"/>
        <v>100</v>
      </c>
      <c r="X15" s="2965"/>
      <c r="Y15" s="3222" t="s">
        <v>2561</v>
      </c>
      <c r="Z15" s="2966" t="str">
        <f t="shared" si="7"/>
        <v>办公集聚程度</v>
      </c>
      <c r="AA15" s="2964">
        <f t="shared" si="3"/>
        <v>1</v>
      </c>
      <c r="AB15" s="2964">
        <f t="shared" si="4"/>
        <v>1</v>
      </c>
      <c r="AC15" s="2673">
        <f t="shared" si="5"/>
        <v>1</v>
      </c>
    </row>
    <row r="16" spans="1:29" ht="15">
      <c r="A16" s="428"/>
      <c r="B16" s="630"/>
      <c r="C16" s="2977" t="s">
        <v>3120</v>
      </c>
      <c r="D16" s="448"/>
      <c r="E16" s="2978" t="s">
        <v>3119</v>
      </c>
      <c r="F16" s="448"/>
      <c r="G16" s="2977" t="s">
        <v>3119</v>
      </c>
      <c r="H16" s="450"/>
      <c r="I16" s="2978" t="s">
        <v>3119</v>
      </c>
      <c r="J16" s="448"/>
      <c r="K16" s="615"/>
      <c r="L16" s="1139"/>
      <c r="M16" s="1130"/>
      <c r="N16" s="1130"/>
      <c r="O16" s="1130"/>
      <c r="P16" s="3221"/>
      <c r="Q16" s="2963"/>
      <c r="R16" s="774"/>
      <c r="S16" s="775"/>
      <c r="T16" s="774"/>
      <c r="U16" s="775"/>
      <c r="V16" s="774"/>
      <c r="W16" s="775"/>
      <c r="X16" s="2965"/>
      <c r="Y16" s="3223"/>
      <c r="Z16" s="2966"/>
      <c r="AA16" s="2964">
        <v>1</v>
      </c>
      <c r="AB16" s="2964">
        <v>1</v>
      </c>
      <c r="AC16" s="2673">
        <v>1</v>
      </c>
    </row>
    <row r="17" spans="1:29" ht="71.25">
      <c r="A17" s="428"/>
      <c r="B17" s="631" t="s">
        <v>2098</v>
      </c>
      <c r="C17" s="2674" t="str">
        <f>估价对象房地状况!C6</f>
        <v>估价对象周边道路通达、公共交通便捷、停车便捷，综合评价交通便捷度较好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21"/>
      <c r="Q17" s="2963" t="str">
        <f>B17</f>
        <v>交通便捷度</v>
      </c>
      <c r="R17" s="774" t="s">
        <v>17</v>
      </c>
      <c r="S17" s="775">
        <f>F17</f>
        <v>100</v>
      </c>
      <c r="T17" s="774" t="s">
        <v>17</v>
      </c>
      <c r="U17" s="775">
        <f>H17</f>
        <v>100</v>
      </c>
      <c r="V17" s="774" t="s">
        <v>17</v>
      </c>
      <c r="W17" s="775">
        <f>J17</f>
        <v>100</v>
      </c>
      <c r="X17" s="2965"/>
      <c r="Y17" s="3223"/>
      <c r="Z17" s="2966" t="str">
        <f>Q17</f>
        <v>交通便捷度</v>
      </c>
      <c r="AA17" s="2964">
        <f t="shared" si="3"/>
        <v>1</v>
      </c>
      <c r="AB17" s="2964">
        <f t="shared" si="4"/>
        <v>1</v>
      </c>
      <c r="AC17" s="2673">
        <f t="shared" si="5"/>
        <v>1</v>
      </c>
    </row>
    <row r="18" spans="1:29" ht="15">
      <c r="A18" s="428"/>
      <c r="B18" s="632"/>
      <c r="C18" s="2979" t="s">
        <v>3119</v>
      </c>
      <c r="D18" s="450"/>
      <c r="E18" s="2980" t="s">
        <v>3119</v>
      </c>
      <c r="F18" s="450"/>
      <c r="G18" s="2981" t="s">
        <v>3119</v>
      </c>
      <c r="H18" s="448"/>
      <c r="I18" s="2981" t="s">
        <v>3119</v>
      </c>
      <c r="J18" s="448"/>
      <c r="K18" s="615"/>
      <c r="L18" s="1139"/>
      <c r="M18" s="1130"/>
      <c r="N18" s="1130"/>
      <c r="O18" s="1130"/>
      <c r="P18" s="3221"/>
      <c r="Q18" s="2963"/>
      <c r="R18" s="774"/>
      <c r="S18" s="775"/>
      <c r="T18" s="774"/>
      <c r="U18" s="775"/>
      <c r="V18" s="774"/>
      <c r="W18" s="775"/>
      <c r="X18" s="2965"/>
      <c r="Y18" s="3223"/>
      <c r="Z18" s="2966"/>
      <c r="AA18" s="2964">
        <v>1</v>
      </c>
      <c r="AB18" s="2964">
        <v>1</v>
      </c>
      <c r="AC18" s="2673">
        <v>1</v>
      </c>
    </row>
    <row r="19" spans="1:29" ht="42.75">
      <c r="A19" s="428"/>
      <c r="B19" s="631" t="s">
        <v>2689</v>
      </c>
      <c r="C19" s="2674"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21"/>
      <c r="Q19" s="2963" t="str">
        <f>B19</f>
        <v>公共配套设施</v>
      </c>
      <c r="R19" s="774" t="s">
        <v>17</v>
      </c>
      <c r="S19" s="775">
        <f>F19</f>
        <v>100</v>
      </c>
      <c r="T19" s="774" t="s">
        <v>17</v>
      </c>
      <c r="U19" s="775">
        <f>H19</f>
        <v>100</v>
      </c>
      <c r="V19" s="774" t="s">
        <v>17</v>
      </c>
      <c r="W19" s="775">
        <f>J19</f>
        <v>100</v>
      </c>
      <c r="X19" s="2965"/>
      <c r="Y19" s="3223"/>
      <c r="Z19" s="2966" t="str">
        <f>Q19</f>
        <v>公共配套设施</v>
      </c>
      <c r="AA19" s="2964">
        <f t="shared" si="3"/>
        <v>1</v>
      </c>
      <c r="AB19" s="2964">
        <f t="shared" si="4"/>
        <v>1</v>
      </c>
      <c r="AC19" s="2673">
        <f t="shared" si="5"/>
        <v>1</v>
      </c>
    </row>
    <row r="20" spans="1:29" ht="15">
      <c r="A20" s="428"/>
      <c r="B20" s="632"/>
      <c r="C20" s="2977" t="s">
        <v>3119</v>
      </c>
      <c r="D20" s="448"/>
      <c r="E20" s="2982" t="s">
        <v>3119</v>
      </c>
      <c r="F20" s="448"/>
      <c r="G20" s="2983" t="s">
        <v>3119</v>
      </c>
      <c r="H20" s="448"/>
      <c r="I20" s="2983" t="s">
        <v>3119</v>
      </c>
      <c r="J20" s="448"/>
      <c r="K20" s="615"/>
      <c r="L20" s="1139"/>
      <c r="M20" s="1130"/>
      <c r="N20" s="1130"/>
      <c r="O20" s="1130"/>
      <c r="P20" s="3221"/>
      <c r="Q20" s="2963"/>
      <c r="R20" s="774"/>
      <c r="S20" s="775"/>
      <c r="T20" s="774"/>
      <c r="U20" s="775"/>
      <c r="V20" s="774"/>
      <c r="W20" s="775"/>
      <c r="X20" s="2965"/>
      <c r="Y20" s="3223"/>
      <c r="Z20" s="2966"/>
      <c r="AA20" s="2964">
        <v>1</v>
      </c>
      <c r="AB20" s="2964">
        <v>1</v>
      </c>
      <c r="AC20" s="2673">
        <v>1</v>
      </c>
    </row>
    <row r="21" spans="1:29" ht="42.75">
      <c r="A21" s="428"/>
      <c r="B21" s="633" t="s">
        <v>2690</v>
      </c>
      <c r="C21" s="2674"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21"/>
      <c r="Q21" s="2963" t="str">
        <f>B21</f>
        <v>基础设施水平</v>
      </c>
      <c r="R21" s="774" t="s">
        <v>17</v>
      </c>
      <c r="S21" s="775">
        <f>F21</f>
        <v>100</v>
      </c>
      <c r="T21" s="774" t="s">
        <v>17</v>
      </c>
      <c r="U21" s="775">
        <f>H21</f>
        <v>100</v>
      </c>
      <c r="V21" s="774" t="s">
        <v>17</v>
      </c>
      <c r="W21" s="775">
        <f>J21</f>
        <v>100</v>
      </c>
      <c r="X21" s="2965"/>
      <c r="Y21" s="3223"/>
      <c r="Z21" s="2966" t="str">
        <f>Q21</f>
        <v>基础设施水平</v>
      </c>
      <c r="AA21" s="2964">
        <f t="shared" ref="AA21" si="8">D21/F21</f>
        <v>1</v>
      </c>
      <c r="AB21" s="2964">
        <f t="shared" ref="AB21" si="9">D21/H21</f>
        <v>1</v>
      </c>
      <c r="AC21" s="2673">
        <f t="shared" ref="AC21" si="10">D21/J21</f>
        <v>1</v>
      </c>
    </row>
    <row r="22" spans="1:29" ht="15">
      <c r="A22" s="428"/>
      <c r="B22" s="633"/>
      <c r="C22" s="2984" t="s">
        <v>3121</v>
      </c>
      <c r="D22" s="448"/>
      <c r="E22" s="2984" t="s">
        <v>3121</v>
      </c>
      <c r="F22" s="448"/>
      <c r="G22" s="2984" t="s">
        <v>3121</v>
      </c>
      <c r="H22" s="448"/>
      <c r="I22" s="2984" t="s">
        <v>3121</v>
      </c>
      <c r="J22" s="448"/>
      <c r="K22" s="1382"/>
      <c r="L22" s="1139"/>
      <c r="M22" s="1130"/>
      <c r="N22" s="1130"/>
      <c r="O22" s="1130"/>
      <c r="P22" s="3221"/>
      <c r="Q22" s="2963"/>
      <c r="R22" s="774"/>
      <c r="S22" s="775"/>
      <c r="T22" s="774"/>
      <c r="U22" s="775"/>
      <c r="V22" s="774"/>
      <c r="W22" s="775"/>
      <c r="X22" s="2965"/>
      <c r="Y22" s="3223"/>
      <c r="Z22" s="2966"/>
      <c r="AA22" s="2964">
        <v>1</v>
      </c>
      <c r="AB22" s="2964">
        <v>1</v>
      </c>
      <c r="AC22" s="2673">
        <v>1</v>
      </c>
    </row>
    <row r="23" spans="1:29" ht="57">
      <c r="A23" s="428"/>
      <c r="B23" s="631" t="s">
        <v>2691</v>
      </c>
      <c r="C23" s="2674" t="str">
        <f>估价对象房地状况!C9</f>
        <v>区域自然环境较好；人文环境一般；综合评价环境状况较好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21"/>
      <c r="Q23" s="2963" t="str">
        <f>B23</f>
        <v>环境质量</v>
      </c>
      <c r="R23" s="774" t="s">
        <v>17</v>
      </c>
      <c r="S23" s="775">
        <f>F23</f>
        <v>100</v>
      </c>
      <c r="T23" s="774" t="s">
        <v>17</v>
      </c>
      <c r="U23" s="775">
        <f>H23</f>
        <v>100</v>
      </c>
      <c r="V23" s="774" t="s">
        <v>17</v>
      </c>
      <c r="W23" s="775">
        <f>J23</f>
        <v>100</v>
      </c>
      <c r="X23" s="2965"/>
      <c r="Y23" s="3223"/>
      <c r="Z23" s="2966" t="str">
        <f>Q23</f>
        <v>环境质量</v>
      </c>
      <c r="AA23" s="2964">
        <f t="shared" si="3"/>
        <v>1</v>
      </c>
      <c r="AB23" s="2964">
        <f t="shared" si="4"/>
        <v>1</v>
      </c>
      <c r="AC23" s="2673">
        <f t="shared" si="5"/>
        <v>1</v>
      </c>
    </row>
    <row r="24" spans="1:29" ht="15">
      <c r="A24" s="428"/>
      <c r="B24" s="633"/>
      <c r="C24" s="2979" t="s">
        <v>3119</v>
      </c>
      <c r="D24" s="448"/>
      <c r="E24" s="2979" t="s">
        <v>3119</v>
      </c>
      <c r="F24" s="448"/>
      <c r="G24" s="2979" t="s">
        <v>3119</v>
      </c>
      <c r="H24" s="448"/>
      <c r="I24" s="2979" t="s">
        <v>3119</v>
      </c>
      <c r="J24" s="448"/>
      <c r="K24" s="615"/>
      <c r="L24" s="1139"/>
      <c r="M24" s="1130"/>
      <c r="N24" s="1130"/>
      <c r="O24" s="1130"/>
      <c r="P24" s="3221"/>
      <c r="Q24" s="2963"/>
      <c r="R24" s="774"/>
      <c r="S24" s="775"/>
      <c r="T24" s="774"/>
      <c r="U24" s="775"/>
      <c r="V24" s="774"/>
      <c r="W24" s="775"/>
      <c r="X24" s="2965"/>
      <c r="Y24" s="3223"/>
      <c r="Z24" s="2966"/>
      <c r="AA24" s="2964">
        <v>1</v>
      </c>
      <c r="AB24" s="2964">
        <v>1</v>
      </c>
      <c r="AC24" s="2673">
        <v>1</v>
      </c>
    </row>
    <row r="25" spans="1:29" ht="27">
      <c r="A25" s="404"/>
      <c r="B25" s="631" t="s">
        <v>2692</v>
      </c>
      <c r="C25" s="2985" t="s">
        <v>3122</v>
      </c>
      <c r="D25" s="435">
        <v>100</v>
      </c>
      <c r="E25" s="2986" t="s">
        <v>3123</v>
      </c>
      <c r="F25" s="435">
        <f>SUMIF(87:87,E26,88:88)-SUMIF(87:87,C26,88:88)+100</f>
        <v>100</v>
      </c>
      <c r="G25" s="2986" t="s">
        <v>3125</v>
      </c>
      <c r="H25" s="435">
        <f>SUMIF(87:87,G26,88:88)-SUMIF(87:87,C26,88:88)+100</f>
        <v>100</v>
      </c>
      <c r="I25" s="2986" t="s">
        <v>3124</v>
      </c>
      <c r="J25" s="435">
        <f>SUMIF(87:87,I26,88:88)-SUMIF(87:87,C26,88:88)+100</f>
        <v>100</v>
      </c>
      <c r="K25" s="614">
        <v>1</v>
      </c>
      <c r="L25" s="1139"/>
      <c r="M25" s="1130"/>
      <c r="N25" s="1130"/>
      <c r="O25" s="1130"/>
      <c r="P25" s="3221"/>
      <c r="Q25" s="2963" t="str">
        <f>B25</f>
        <v>毗邻道路的类型与等级</v>
      </c>
      <c r="R25" s="774" t="s">
        <v>17</v>
      </c>
      <c r="S25" s="775">
        <f>F25</f>
        <v>100</v>
      </c>
      <c r="T25" s="774" t="s">
        <v>17</v>
      </c>
      <c r="U25" s="775">
        <f>H25</f>
        <v>100</v>
      </c>
      <c r="V25" s="774" t="s">
        <v>17</v>
      </c>
      <c r="W25" s="775">
        <f>J25</f>
        <v>100</v>
      </c>
      <c r="X25" s="2965"/>
      <c r="Y25" s="3223"/>
      <c r="Z25" s="2966" t="str">
        <f>Q25</f>
        <v>毗邻道路的类型与等级</v>
      </c>
      <c r="AA25" s="2964">
        <f t="shared" si="3"/>
        <v>1</v>
      </c>
      <c r="AB25" s="2964">
        <f t="shared" si="4"/>
        <v>1</v>
      </c>
      <c r="AC25" s="2673">
        <f t="shared" si="5"/>
        <v>1</v>
      </c>
    </row>
    <row r="26" spans="1:29" ht="15">
      <c r="A26" s="404"/>
      <c r="B26" s="632"/>
      <c r="C26" s="2987" t="s">
        <v>3126</v>
      </c>
      <c r="D26" s="435"/>
      <c r="E26" s="2987" t="s">
        <v>3126</v>
      </c>
      <c r="F26" s="435"/>
      <c r="G26" s="2987" t="s">
        <v>3126</v>
      </c>
      <c r="H26" s="435"/>
      <c r="I26" s="2987" t="s">
        <v>3126</v>
      </c>
      <c r="J26" s="435"/>
      <c r="K26" s="615"/>
      <c r="L26" s="1139"/>
      <c r="M26" s="1130"/>
      <c r="N26" s="1130"/>
      <c r="O26" s="1130"/>
      <c r="P26" s="3221"/>
      <c r="Q26" s="2963"/>
      <c r="R26" s="774"/>
      <c r="S26" s="775"/>
      <c r="T26" s="774"/>
      <c r="U26" s="775"/>
      <c r="V26" s="774"/>
      <c r="W26" s="775"/>
      <c r="X26" s="2965"/>
      <c r="Y26" s="3223"/>
      <c r="Z26" s="2966"/>
      <c r="AA26" s="2964">
        <v>1</v>
      </c>
      <c r="AB26" s="2964">
        <v>1</v>
      </c>
      <c r="AC26" s="2673">
        <v>1</v>
      </c>
    </row>
    <row r="27" spans="1:29" ht="15">
      <c r="A27" s="428"/>
      <c r="B27" s="632" t="s">
        <v>2660</v>
      </c>
      <c r="C27" s="634" t="s">
        <v>3127</v>
      </c>
      <c r="D27" s="435">
        <v>100</v>
      </c>
      <c r="E27" s="616" t="s">
        <v>3127</v>
      </c>
      <c r="F27" s="435">
        <f>SUMIF(89:89,E27,90:90)-SUMIF(89:89,C27,90:90)+100</f>
        <v>100</v>
      </c>
      <c r="G27" s="634" t="s">
        <v>3127</v>
      </c>
      <c r="H27" s="435">
        <f>SUMIF(89:89,G27,90:90)-SUMIF(89:89,C27,90:90)+100</f>
        <v>100</v>
      </c>
      <c r="I27" s="616" t="s">
        <v>3127</v>
      </c>
      <c r="J27" s="435">
        <f>SUMIF(89:89,I27,90:90)-SUMIF(89:89,C27,90:90)+100</f>
        <v>100</v>
      </c>
      <c r="K27" s="612">
        <v>2</v>
      </c>
      <c r="L27" s="1139"/>
      <c r="M27" s="1130"/>
      <c r="N27" s="1130"/>
      <c r="O27" s="1130"/>
      <c r="P27" s="3221"/>
      <c r="Q27" s="2963" t="str">
        <f t="shared" ref="Q27:Q47" si="11">B27</f>
        <v>楼层</v>
      </c>
      <c r="R27" s="774" t="s">
        <v>17</v>
      </c>
      <c r="S27" s="775">
        <f>F27</f>
        <v>100</v>
      </c>
      <c r="T27" s="774" t="s">
        <v>17</v>
      </c>
      <c r="U27" s="775">
        <f>H27</f>
        <v>100</v>
      </c>
      <c r="V27" s="774" t="s">
        <v>17</v>
      </c>
      <c r="W27" s="775">
        <f>J27</f>
        <v>100</v>
      </c>
      <c r="X27" s="2965"/>
      <c r="Y27" s="3223"/>
      <c r="Z27" s="2966" t="str">
        <f>Q27</f>
        <v>楼层</v>
      </c>
      <c r="AA27" s="2964">
        <f t="shared" si="3"/>
        <v>1</v>
      </c>
      <c r="AB27" s="2964">
        <f t="shared" si="4"/>
        <v>1</v>
      </c>
      <c r="AC27" s="2673">
        <f t="shared" si="5"/>
        <v>1</v>
      </c>
    </row>
    <row r="28" spans="1:29" s="117" customFormat="1" ht="15">
      <c r="A28" s="431"/>
      <c r="B28" s="631" t="s">
        <v>2693</v>
      </c>
      <c r="C28" s="2675"/>
      <c r="D28" s="462">
        <v>100</v>
      </c>
      <c r="E28" s="2664"/>
      <c r="F28" s="462">
        <f>SUMIF(91:91,E28,92:92)-SUMIF(91:91,C28,92:92)+100</f>
        <v>100</v>
      </c>
      <c r="G28" s="2675"/>
      <c r="H28" s="462">
        <f>SUMIF(91:91,G28,92:92)-SUMIF(91:91,C28,92:92)+100</f>
        <v>100</v>
      </c>
      <c r="I28" s="2664"/>
      <c r="J28" s="462">
        <f>SUMIF(91:91,I28,92:92)-SUMIF(91:91,C28,92:92)+100</f>
        <v>100</v>
      </c>
      <c r="K28" s="612"/>
      <c r="L28" s="1131"/>
      <c r="M28" s="1132"/>
      <c r="N28" s="1132"/>
      <c r="O28" s="1132"/>
      <c r="P28" s="3221"/>
      <c r="Q28" s="2940" t="str">
        <f t="shared" si="11"/>
        <v>朝向</v>
      </c>
      <c r="R28" s="770" t="s">
        <v>17</v>
      </c>
      <c r="S28" s="771">
        <f>F28</f>
        <v>100</v>
      </c>
      <c r="T28" s="770" t="s">
        <v>17</v>
      </c>
      <c r="U28" s="771">
        <f>H28</f>
        <v>100</v>
      </c>
      <c r="V28" s="770" t="s">
        <v>17</v>
      </c>
      <c r="W28" s="771">
        <f>J28</f>
        <v>100</v>
      </c>
      <c r="X28" s="772"/>
      <c r="Y28" s="3223"/>
      <c r="Z28" s="2942" t="str">
        <f>Q28</f>
        <v>朝向</v>
      </c>
      <c r="AA28" s="2964">
        <f>D28/F28</f>
        <v>1</v>
      </c>
      <c r="AB28" s="2964">
        <f>D28/H28</f>
        <v>1</v>
      </c>
      <c r="AC28" s="2673">
        <f>D28/J28</f>
        <v>1</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221"/>
      <c r="Q29" s="2963">
        <f t="shared" si="11"/>
        <v>111</v>
      </c>
      <c r="R29" s="774" t="s">
        <v>17</v>
      </c>
      <c r="S29" s="775">
        <f t="shared" ref="S29:S47" si="12">F29</f>
        <v>100</v>
      </c>
      <c r="T29" s="774" t="s">
        <v>17</v>
      </c>
      <c r="U29" s="775">
        <f t="shared" ref="U29:U47" si="13">H29</f>
        <v>100</v>
      </c>
      <c r="V29" s="774" t="s">
        <v>17</v>
      </c>
      <c r="W29" s="775">
        <f t="shared" ref="W29:W47" si="14">J29</f>
        <v>100</v>
      </c>
      <c r="X29" s="2965"/>
      <c r="Y29" s="3223"/>
      <c r="Z29" s="2966">
        <f t="shared" ref="Z29:Z47" si="15">Q29</f>
        <v>111</v>
      </c>
      <c r="AA29" s="2964">
        <f t="shared" si="3"/>
        <v>1</v>
      </c>
      <c r="AB29" s="2964">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221"/>
      <c r="Q30" s="2963">
        <f t="shared" si="11"/>
        <v>111</v>
      </c>
      <c r="R30" s="774" t="s">
        <v>17</v>
      </c>
      <c r="S30" s="775">
        <f t="shared" si="12"/>
        <v>100</v>
      </c>
      <c r="T30" s="774" t="s">
        <v>17</v>
      </c>
      <c r="U30" s="775">
        <f t="shared" si="13"/>
        <v>100</v>
      </c>
      <c r="V30" s="774" t="s">
        <v>17</v>
      </c>
      <c r="W30" s="775">
        <f t="shared" si="14"/>
        <v>100</v>
      </c>
      <c r="X30" s="2965"/>
      <c r="Y30" s="3223"/>
      <c r="Z30" s="2966">
        <f t="shared" si="15"/>
        <v>111</v>
      </c>
      <c r="AA30" s="2964">
        <f t="shared" si="3"/>
        <v>1</v>
      </c>
      <c r="AB30" s="2964">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221"/>
      <c r="Q31" s="2963">
        <f t="shared" si="11"/>
        <v>111</v>
      </c>
      <c r="R31" s="774" t="s">
        <v>17</v>
      </c>
      <c r="S31" s="775">
        <f t="shared" si="12"/>
        <v>100</v>
      </c>
      <c r="T31" s="774" t="s">
        <v>17</v>
      </c>
      <c r="U31" s="775">
        <f t="shared" si="13"/>
        <v>100</v>
      </c>
      <c r="V31" s="774" t="s">
        <v>17</v>
      </c>
      <c r="W31" s="775">
        <f t="shared" si="14"/>
        <v>100</v>
      </c>
      <c r="X31" s="2965"/>
      <c r="Y31" s="3223"/>
      <c r="Z31" s="2966">
        <f t="shared" si="15"/>
        <v>111</v>
      </c>
      <c r="AA31" s="2964">
        <f t="shared" si="3"/>
        <v>1</v>
      </c>
      <c r="AB31" s="2964">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221"/>
      <c r="Q32" s="2963">
        <f t="shared" si="11"/>
        <v>111</v>
      </c>
      <c r="R32" s="774" t="s">
        <v>17</v>
      </c>
      <c r="S32" s="775">
        <f t="shared" si="12"/>
        <v>100</v>
      </c>
      <c r="T32" s="774" t="s">
        <v>17</v>
      </c>
      <c r="U32" s="775">
        <f t="shared" si="13"/>
        <v>100</v>
      </c>
      <c r="V32" s="774" t="s">
        <v>17</v>
      </c>
      <c r="W32" s="775">
        <f t="shared" si="14"/>
        <v>100</v>
      </c>
      <c r="X32" s="2965"/>
      <c r="Y32" s="3223"/>
      <c r="Z32" s="2966">
        <f t="shared" si="15"/>
        <v>111</v>
      </c>
      <c r="AA32" s="2964">
        <f t="shared" si="3"/>
        <v>1</v>
      </c>
      <c r="AB32" s="2964">
        <f t="shared" si="4"/>
        <v>1</v>
      </c>
      <c r="AC32" s="2673">
        <f t="shared" si="5"/>
        <v>1</v>
      </c>
    </row>
    <row r="33" spans="1:29" ht="15">
      <c r="A33" s="440" t="s">
        <v>2564</v>
      </c>
      <c r="B33" s="71" t="s">
        <v>2694</v>
      </c>
      <c r="C33" s="2677" t="s">
        <v>3138</v>
      </c>
      <c r="D33" s="467">
        <v>100</v>
      </c>
      <c r="E33" s="2677" t="s">
        <v>3138</v>
      </c>
      <c r="F33" s="461">
        <f>SUMIF(101:101,E33,102:102)-SUMIF(101:101,C33,102:102)+100</f>
        <v>100</v>
      </c>
      <c r="G33" s="2677" t="s">
        <v>3138</v>
      </c>
      <c r="H33" s="435">
        <f>SUMIF(101:101,G33,102:102)-SUMIF(101:101,C33,102:102)+100</f>
        <v>100</v>
      </c>
      <c r="I33" s="2677" t="s">
        <v>3138</v>
      </c>
      <c r="J33" s="467">
        <f>SUMIF(101:101,I33,102:102)-SUMIF(101:101,C33,102:102)+100</f>
        <v>100</v>
      </c>
      <c r="K33" s="612">
        <v>1</v>
      </c>
      <c r="L33" s="1139"/>
      <c r="M33" s="1130"/>
      <c r="N33" s="1130"/>
      <c r="O33" s="1130"/>
      <c r="P33" s="3224" t="s">
        <v>2566</v>
      </c>
      <c r="Q33" s="2963" t="str">
        <f t="shared" si="11"/>
        <v>建筑类型</v>
      </c>
      <c r="R33" s="774" t="s">
        <v>17</v>
      </c>
      <c r="S33" s="775">
        <f t="shared" si="12"/>
        <v>100</v>
      </c>
      <c r="T33" s="774" t="s">
        <v>17</v>
      </c>
      <c r="U33" s="775">
        <f t="shared" si="13"/>
        <v>100</v>
      </c>
      <c r="V33" s="774" t="s">
        <v>17</v>
      </c>
      <c r="W33" s="775">
        <f t="shared" si="14"/>
        <v>100</v>
      </c>
      <c r="X33" s="2965"/>
      <c r="Y33" s="3227" t="s">
        <v>2566</v>
      </c>
      <c r="Z33" s="2966" t="str">
        <f t="shared" si="15"/>
        <v>建筑类型</v>
      </c>
      <c r="AA33" s="2964">
        <f t="shared" si="3"/>
        <v>1</v>
      </c>
      <c r="AB33" s="2964">
        <f t="shared" si="4"/>
        <v>1</v>
      </c>
      <c r="AC33" s="2673">
        <f t="shared" si="5"/>
        <v>1</v>
      </c>
    </row>
    <row r="34" spans="1:29" s="471" customFormat="1" ht="15">
      <c r="A34" s="468"/>
      <c r="B34" s="2952" t="s">
        <v>2567</v>
      </c>
      <c r="C34" s="469">
        <v>21231.9</v>
      </c>
      <c r="D34" s="136">
        <v>100</v>
      </c>
      <c r="E34" s="430">
        <v>142411</v>
      </c>
      <c r="F34" s="425">
        <f>LOOKUP(E34,104:104,105:105)-LOOKUP(C34,104:104,105:105)+100</f>
        <v>101</v>
      </c>
      <c r="G34" s="429">
        <v>173590</v>
      </c>
      <c r="H34" s="136">
        <f>LOOKUP(G34,104:104,105:105)-LOOKUP(C34,104:104,105:105)+100</f>
        <v>101</v>
      </c>
      <c r="I34" s="429">
        <v>144300</v>
      </c>
      <c r="J34" s="136">
        <f>LOOKUP(I34,104:104,105:105)-LOOKUP(C34,104:104,105:105)+100</f>
        <v>101</v>
      </c>
      <c r="K34" s="613"/>
      <c r="L34" s="1137"/>
      <c r="M34" s="1140"/>
      <c r="N34" s="1140"/>
      <c r="O34" s="1140"/>
      <c r="P34" s="3225"/>
      <c r="Q34" s="776" t="str">
        <f t="shared" si="11"/>
        <v>项目建筑规模</v>
      </c>
      <c r="R34" s="777" t="s">
        <v>17</v>
      </c>
      <c r="S34" s="778">
        <f t="shared" si="12"/>
        <v>101</v>
      </c>
      <c r="T34" s="777" t="s">
        <v>17</v>
      </c>
      <c r="U34" s="778">
        <f t="shared" si="13"/>
        <v>101</v>
      </c>
      <c r="V34" s="777" t="s">
        <v>17</v>
      </c>
      <c r="W34" s="778">
        <f t="shared" si="14"/>
        <v>101</v>
      </c>
      <c r="X34" s="779"/>
      <c r="Y34" s="3227"/>
      <c r="Z34" s="780" t="str">
        <f t="shared" si="15"/>
        <v>项目建筑规模</v>
      </c>
      <c r="AA34" s="2964">
        <f t="shared" si="3"/>
        <v>0.99009900990099009</v>
      </c>
      <c r="AB34" s="2964">
        <f t="shared" si="4"/>
        <v>0.99009900990099009</v>
      </c>
      <c r="AC34" s="2673">
        <f t="shared" si="5"/>
        <v>0.99009900990099009</v>
      </c>
    </row>
    <row r="35" spans="1:29" ht="15">
      <c r="A35" s="472"/>
      <c r="B35" s="2952" t="s">
        <v>2568</v>
      </c>
      <c r="C35" s="460" t="s">
        <v>3139</v>
      </c>
      <c r="D35" s="435">
        <v>100</v>
      </c>
      <c r="E35" s="460" t="s">
        <v>3139</v>
      </c>
      <c r="F35" s="461">
        <f>SUMIF(106:106,E35,107:107)-SUMIF(106:106,C35,107:107)+100</f>
        <v>100</v>
      </c>
      <c r="G35" s="460" t="s">
        <v>3139</v>
      </c>
      <c r="H35" s="435">
        <f>SUMIF(106:106,G35,107:107)-SUMIF(106:106,C35,107:107)+100</f>
        <v>100</v>
      </c>
      <c r="I35" s="460" t="s">
        <v>3139</v>
      </c>
      <c r="J35" s="435">
        <f>SUMIF(106:106,I35,107:107)-SUMIF(106:106,C35,107:107)+100</f>
        <v>100</v>
      </c>
      <c r="K35" s="612">
        <v>2</v>
      </c>
      <c r="L35" s="1139"/>
      <c r="M35" s="1130"/>
      <c r="N35" s="1130"/>
      <c r="O35" s="1130"/>
      <c r="P35" s="3225"/>
      <c r="Q35" s="2963" t="str">
        <f t="shared" si="11"/>
        <v>建筑结构</v>
      </c>
      <c r="R35" s="774" t="s">
        <v>17</v>
      </c>
      <c r="S35" s="775">
        <f t="shared" si="12"/>
        <v>100</v>
      </c>
      <c r="T35" s="774" t="s">
        <v>17</v>
      </c>
      <c r="U35" s="775">
        <f t="shared" si="13"/>
        <v>100</v>
      </c>
      <c r="V35" s="774" t="s">
        <v>17</v>
      </c>
      <c r="W35" s="775">
        <f t="shared" si="14"/>
        <v>100</v>
      </c>
      <c r="X35" s="2965"/>
      <c r="Y35" s="3227"/>
      <c r="Z35" s="2966" t="str">
        <f t="shared" si="15"/>
        <v>建筑结构</v>
      </c>
      <c r="AA35" s="2964">
        <f t="shared" si="3"/>
        <v>1</v>
      </c>
      <c r="AB35" s="2964">
        <f t="shared" si="4"/>
        <v>1</v>
      </c>
      <c r="AC35" s="2673">
        <f t="shared" si="5"/>
        <v>1</v>
      </c>
    </row>
    <row r="36" spans="1:29" ht="15">
      <c r="A36" s="472"/>
      <c r="B36" s="2952" t="s">
        <v>2662</v>
      </c>
      <c r="C36" s="460" t="s">
        <v>3140</v>
      </c>
      <c r="D36" s="435">
        <v>100</v>
      </c>
      <c r="E36" s="460" t="s">
        <v>3140</v>
      </c>
      <c r="F36" s="461">
        <f>SUMIF(108:108,E36,109:109)-SUMIF(108:108,C36,109:109)+100</f>
        <v>100</v>
      </c>
      <c r="G36" s="460" t="s">
        <v>3140</v>
      </c>
      <c r="H36" s="435">
        <f>SUMIF(108:108,G36,109:109)-SUMIF(108:108,C36,109:109)+100</f>
        <v>100</v>
      </c>
      <c r="I36" s="460" t="s">
        <v>3140</v>
      </c>
      <c r="J36" s="435">
        <f>SUMIF(108:108,I36,109:109)-SUMIF(108:108,C36,109:109)+100</f>
        <v>100</v>
      </c>
      <c r="K36" s="612">
        <v>2</v>
      </c>
      <c r="L36" s="1139"/>
      <c r="M36" s="1130"/>
      <c r="N36" s="1130"/>
      <c r="O36" s="1130"/>
      <c r="P36" s="3225"/>
      <c r="Q36" s="2963" t="str">
        <f t="shared" si="11"/>
        <v>公共部分装修</v>
      </c>
      <c r="R36" s="774" t="s">
        <v>17</v>
      </c>
      <c r="S36" s="775">
        <f t="shared" si="12"/>
        <v>100</v>
      </c>
      <c r="T36" s="774" t="s">
        <v>17</v>
      </c>
      <c r="U36" s="775">
        <f t="shared" si="13"/>
        <v>100</v>
      </c>
      <c r="V36" s="774" t="s">
        <v>17</v>
      </c>
      <c r="W36" s="775">
        <f t="shared" si="14"/>
        <v>100</v>
      </c>
      <c r="X36" s="2965"/>
      <c r="Y36" s="3227"/>
      <c r="Z36" s="2966" t="str">
        <f t="shared" si="15"/>
        <v>公共部分装修</v>
      </c>
      <c r="AA36" s="2964">
        <f t="shared" si="3"/>
        <v>1</v>
      </c>
      <c r="AB36" s="2964">
        <f t="shared" si="4"/>
        <v>1</v>
      </c>
      <c r="AC36" s="2673">
        <f t="shared" si="5"/>
        <v>1</v>
      </c>
    </row>
    <row r="37" spans="1:29" ht="15">
      <c r="A37" s="472"/>
      <c r="B37" s="2952" t="s">
        <v>2663</v>
      </c>
      <c r="C37" s="474">
        <v>0.93</v>
      </c>
      <c r="D37" s="435">
        <v>100</v>
      </c>
      <c r="E37" s="474">
        <v>0.77</v>
      </c>
      <c r="F37" s="461">
        <f>LOOKUP(E37,111:111,112:112)-LOOKUP(C37,111:111,112:112)+100</f>
        <v>98</v>
      </c>
      <c r="G37" s="474">
        <v>0.8</v>
      </c>
      <c r="H37" s="461">
        <f>LOOKUP(G37,111:111,112:112)-LOOKUP(C37,111:111,112:112)+100</f>
        <v>99</v>
      </c>
      <c r="I37" s="474">
        <v>0.75</v>
      </c>
      <c r="J37" s="435">
        <f>LOOKUP(I37,111:111,112:112)-LOOKUP(C37,111:111,112:112)+100</f>
        <v>98</v>
      </c>
      <c r="K37" s="612">
        <v>1</v>
      </c>
      <c r="L37" s="1139"/>
      <c r="M37" s="1130"/>
      <c r="N37" s="1130"/>
      <c r="O37" s="1130"/>
      <c r="P37" s="3225"/>
      <c r="Q37" s="2963" t="str">
        <f t="shared" si="11"/>
        <v>成新度</v>
      </c>
      <c r="R37" s="774" t="s">
        <v>17</v>
      </c>
      <c r="S37" s="775">
        <f t="shared" si="12"/>
        <v>98</v>
      </c>
      <c r="T37" s="774" t="s">
        <v>17</v>
      </c>
      <c r="U37" s="775">
        <f t="shared" si="13"/>
        <v>99</v>
      </c>
      <c r="V37" s="774" t="s">
        <v>17</v>
      </c>
      <c r="W37" s="775">
        <f t="shared" si="14"/>
        <v>98</v>
      </c>
      <c r="X37" s="2965"/>
      <c r="Y37" s="3227"/>
      <c r="Z37" s="2966" t="str">
        <f t="shared" si="15"/>
        <v>成新度</v>
      </c>
      <c r="AA37" s="2964">
        <f t="shared" si="3"/>
        <v>1.0204081632653061</v>
      </c>
      <c r="AB37" s="2964">
        <f t="shared" si="4"/>
        <v>1.0101010101010102</v>
      </c>
      <c r="AC37" s="2673">
        <f t="shared" si="5"/>
        <v>1.0204081632653061</v>
      </c>
    </row>
    <row r="38" spans="1:29" s="117" customFormat="1" ht="15">
      <c r="A38" s="473"/>
      <c r="B38" s="2952" t="s">
        <v>2695</v>
      </c>
      <c r="C38" s="2991" t="s">
        <v>3141</v>
      </c>
      <c r="D38" s="136">
        <v>100</v>
      </c>
      <c r="E38" s="2991" t="s">
        <v>3141</v>
      </c>
      <c r="F38" s="461">
        <f>SUMIF(113:113,E38,114:114)-SUMIF(113:113,C38,114:114)+100</f>
        <v>100</v>
      </c>
      <c r="G38" s="2991" t="s">
        <v>3141</v>
      </c>
      <c r="H38" s="435">
        <f>SUMIF(113:113,G38,114:114)-SUMIF(113:113,C38,114:114)+100</f>
        <v>100</v>
      </c>
      <c r="I38" s="2991" t="s">
        <v>3141</v>
      </c>
      <c r="J38" s="435">
        <f>SUMIF(113:113,I38,114:114)-SUMIF(113:113,C38,114:114)+100</f>
        <v>100</v>
      </c>
      <c r="K38" s="612">
        <v>1</v>
      </c>
      <c r="L38" s="1131"/>
      <c r="M38" s="1132"/>
      <c r="N38" s="1132"/>
      <c r="O38" s="1132"/>
      <c r="P38" s="3225"/>
      <c r="Q38" s="2940" t="str">
        <f t="shared" si="11"/>
        <v>写字楼等级</v>
      </c>
      <c r="R38" s="770" t="s">
        <v>17</v>
      </c>
      <c r="S38" s="771">
        <f t="shared" si="12"/>
        <v>100</v>
      </c>
      <c r="T38" s="770" t="s">
        <v>17</v>
      </c>
      <c r="U38" s="771">
        <f t="shared" si="13"/>
        <v>100</v>
      </c>
      <c r="V38" s="770" t="s">
        <v>17</v>
      </c>
      <c r="W38" s="771">
        <f t="shared" si="14"/>
        <v>100</v>
      </c>
      <c r="X38" s="772"/>
      <c r="Y38" s="3227"/>
      <c r="Z38" s="2942" t="str">
        <f t="shared" si="15"/>
        <v>写字楼等级</v>
      </c>
      <c r="AA38" s="773">
        <f t="shared" si="3"/>
        <v>1</v>
      </c>
      <c r="AB38" s="773">
        <f t="shared" si="4"/>
        <v>1</v>
      </c>
      <c r="AC38" s="2670">
        <f t="shared" si="5"/>
        <v>1</v>
      </c>
    </row>
    <row r="39" spans="1:29" ht="15">
      <c r="A39" s="472"/>
      <c r="B39" s="2952" t="s">
        <v>2696</v>
      </c>
      <c r="C39" s="2991" t="s">
        <v>3142</v>
      </c>
      <c r="D39" s="435">
        <v>100</v>
      </c>
      <c r="E39" s="2991" t="s">
        <v>3142</v>
      </c>
      <c r="F39" s="461">
        <f>SUMIF(115:115,E39,116:116)-SUMIF(115:115,C39,116:116)+100</f>
        <v>100</v>
      </c>
      <c r="G39" s="2991" t="s">
        <v>3142</v>
      </c>
      <c r="H39" s="435">
        <f>SUMIF(115:115,G39,116:116)-SUMIF(115:115,C39,116:116)+100</f>
        <v>100</v>
      </c>
      <c r="I39" s="2991" t="s">
        <v>3142</v>
      </c>
      <c r="J39" s="435">
        <f>SUMIF(115:115,I39,116:116)-SUMIF(115:115,C39,116:116)+100</f>
        <v>100</v>
      </c>
      <c r="K39" s="612">
        <v>1</v>
      </c>
      <c r="L39" s="1139"/>
      <c r="M39" s="1130"/>
      <c r="N39" s="1130"/>
      <c r="O39" s="1130"/>
      <c r="P39" s="3225" t="s">
        <v>2566</v>
      </c>
      <c r="Q39" s="2963" t="str">
        <f t="shared" si="11"/>
        <v>物业管理</v>
      </c>
      <c r="R39" s="774" t="s">
        <v>17</v>
      </c>
      <c r="S39" s="775">
        <f t="shared" si="12"/>
        <v>100</v>
      </c>
      <c r="T39" s="774" t="s">
        <v>17</v>
      </c>
      <c r="U39" s="775">
        <f t="shared" si="13"/>
        <v>100</v>
      </c>
      <c r="V39" s="774" t="s">
        <v>17</v>
      </c>
      <c r="W39" s="775">
        <f t="shared" si="14"/>
        <v>100</v>
      </c>
      <c r="X39" s="2965"/>
      <c r="Y39" s="3227" t="s">
        <v>2566</v>
      </c>
      <c r="Z39" s="2966" t="str">
        <f t="shared" si="15"/>
        <v>物业管理</v>
      </c>
      <c r="AA39" s="2964">
        <f t="shared" si="3"/>
        <v>1</v>
      </c>
      <c r="AB39" s="2964">
        <f t="shared" si="4"/>
        <v>1</v>
      </c>
      <c r="AC39" s="2673">
        <f t="shared" si="5"/>
        <v>1</v>
      </c>
    </row>
    <row r="40" spans="1:29" ht="15">
      <c r="A40" s="472"/>
      <c r="B40" s="2952" t="s">
        <v>2664</v>
      </c>
      <c r="C40" s="2991" t="s">
        <v>3143</v>
      </c>
      <c r="D40" s="435">
        <v>100</v>
      </c>
      <c r="E40" s="2991" t="s">
        <v>3143</v>
      </c>
      <c r="F40" s="461">
        <f>SUMIF(117:117,E40,118:118)-SUMIF(117:117,C40,118:118)+100</f>
        <v>100</v>
      </c>
      <c r="G40" s="2991" t="s">
        <v>3143</v>
      </c>
      <c r="H40" s="435">
        <f>SUMIF(117:117,G40,118:118)-SUMIF(117:117,C40,118:118)+100</f>
        <v>100</v>
      </c>
      <c r="I40" s="2991" t="s">
        <v>3143</v>
      </c>
      <c r="J40" s="435">
        <f>SUMIF(117:117,I40,118:118)-SUMIF(117:117,C40,118:118)+100</f>
        <v>100</v>
      </c>
      <c r="K40" s="612">
        <v>1</v>
      </c>
      <c r="L40" s="1139"/>
      <c r="M40" s="1130"/>
      <c r="N40" s="1130"/>
      <c r="O40" s="1130"/>
      <c r="P40" s="3225"/>
      <c r="Q40" s="2963" t="str">
        <f t="shared" si="11"/>
        <v>市政基础设施</v>
      </c>
      <c r="R40" s="774" t="s">
        <v>17</v>
      </c>
      <c r="S40" s="775">
        <f t="shared" si="12"/>
        <v>100</v>
      </c>
      <c r="T40" s="774" t="s">
        <v>17</v>
      </c>
      <c r="U40" s="775">
        <f t="shared" si="13"/>
        <v>100</v>
      </c>
      <c r="V40" s="774" t="s">
        <v>17</v>
      </c>
      <c r="W40" s="775">
        <f t="shared" si="14"/>
        <v>100</v>
      </c>
      <c r="X40" s="2965"/>
      <c r="Y40" s="3227"/>
      <c r="Z40" s="2966" t="str">
        <f t="shared" si="15"/>
        <v>市政基础设施</v>
      </c>
      <c r="AA40" s="2964">
        <f t="shared" si="3"/>
        <v>1</v>
      </c>
      <c r="AB40" s="2964">
        <f t="shared" si="4"/>
        <v>1</v>
      </c>
      <c r="AC40" s="2673">
        <f t="shared" si="5"/>
        <v>1</v>
      </c>
    </row>
    <row r="41" spans="1:29" ht="15">
      <c r="A41" s="472"/>
      <c r="B41" s="2952" t="s">
        <v>2666</v>
      </c>
      <c r="C41" s="2992" t="s">
        <v>3144</v>
      </c>
      <c r="D41" s="435">
        <v>100</v>
      </c>
      <c r="E41" s="2992" t="s">
        <v>3144</v>
      </c>
      <c r="F41" s="461">
        <f>SUMIF(119:119,E41,120:120)-SUMIF(119:119,C41,120:120)+100</f>
        <v>100</v>
      </c>
      <c r="G41" s="2992" t="s">
        <v>3144</v>
      </c>
      <c r="H41" s="435">
        <f>SUMIF(119:119,G41,120:120)-SUMIF(119:119,C41,120:120)+100</f>
        <v>100</v>
      </c>
      <c r="I41" s="2992" t="s">
        <v>3144</v>
      </c>
      <c r="J41" s="435">
        <f>SUMIF(119:119,I41,120:120)-SUMIF(119:119,C41,120:120)+100</f>
        <v>100</v>
      </c>
      <c r="K41" s="612">
        <v>2</v>
      </c>
      <c r="L41" s="1139"/>
      <c r="M41" s="1130"/>
      <c r="N41" s="1130"/>
      <c r="O41" s="1130"/>
      <c r="P41" s="3225"/>
      <c r="Q41" s="2963" t="str">
        <f t="shared" si="11"/>
        <v>层高</v>
      </c>
      <c r="R41" s="774" t="s">
        <v>17</v>
      </c>
      <c r="S41" s="775">
        <f t="shared" si="12"/>
        <v>100</v>
      </c>
      <c r="T41" s="774" t="s">
        <v>17</v>
      </c>
      <c r="U41" s="775">
        <f t="shared" si="13"/>
        <v>100</v>
      </c>
      <c r="V41" s="774" t="s">
        <v>17</v>
      </c>
      <c r="W41" s="775">
        <f t="shared" si="14"/>
        <v>100</v>
      </c>
      <c r="X41" s="2965"/>
      <c r="Y41" s="3227"/>
      <c r="Z41" s="2966" t="str">
        <f t="shared" si="15"/>
        <v>层高</v>
      </c>
      <c r="AA41" s="2964">
        <f t="shared" si="3"/>
        <v>1</v>
      </c>
      <c r="AB41" s="2964">
        <f t="shared" si="4"/>
        <v>1</v>
      </c>
      <c r="AC41" s="2673">
        <f t="shared" si="5"/>
        <v>1</v>
      </c>
    </row>
    <row r="42" spans="1:29" s="471" customFormat="1" ht="15">
      <c r="A42" s="468"/>
      <c r="B42" s="296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2964">
        <f t="shared" si="3"/>
        <v>1</v>
      </c>
      <c r="AB42" s="2964">
        <f t="shared" si="4"/>
        <v>1</v>
      </c>
      <c r="AC42" s="2673">
        <f t="shared" si="5"/>
        <v>1</v>
      </c>
    </row>
    <row r="43" spans="1:29" ht="15">
      <c r="A43" s="472"/>
      <c r="B43" s="2952" t="s">
        <v>2669</v>
      </c>
      <c r="C43" s="2991" t="s">
        <v>3145</v>
      </c>
      <c r="D43" s="435">
        <v>100</v>
      </c>
      <c r="E43" s="2991" t="s">
        <v>3140</v>
      </c>
      <c r="F43" s="461">
        <f>SUMIF(123:123,E43,124:124)-SUMIF(123:123,C43,124:124)+100</f>
        <v>102</v>
      </c>
      <c r="G43" s="2991" t="s">
        <v>3140</v>
      </c>
      <c r="H43" s="435">
        <f>SUMIF(123:123,G43,124:124)-SUMIF(123:123,C43,124:124)+100</f>
        <v>102</v>
      </c>
      <c r="I43" s="2991" t="s">
        <v>3177</v>
      </c>
      <c r="J43" s="435">
        <f>SUMIF(123:123,I43,124:124)-SUMIF(123:123,C43,124:124)+100</f>
        <v>96</v>
      </c>
      <c r="K43" s="612">
        <v>2</v>
      </c>
      <c r="L43" s="1139"/>
      <c r="M43" s="1130"/>
      <c r="N43" s="1130"/>
      <c r="O43" s="1130"/>
      <c r="P43" s="3225"/>
      <c r="Q43" s="2963" t="str">
        <f t="shared" si="11"/>
        <v>内部装修</v>
      </c>
      <c r="R43" s="774" t="s">
        <v>17</v>
      </c>
      <c r="S43" s="775">
        <f t="shared" si="12"/>
        <v>102</v>
      </c>
      <c r="T43" s="774" t="s">
        <v>17</v>
      </c>
      <c r="U43" s="775">
        <f t="shared" si="13"/>
        <v>102</v>
      </c>
      <c r="V43" s="774" t="s">
        <v>17</v>
      </c>
      <c r="W43" s="775">
        <f t="shared" si="14"/>
        <v>96</v>
      </c>
      <c r="X43" s="2965"/>
      <c r="Y43" s="3227"/>
      <c r="Z43" s="2966" t="str">
        <f t="shared" si="15"/>
        <v>内部装修</v>
      </c>
      <c r="AA43" s="2964">
        <f t="shared" si="3"/>
        <v>0.98039215686274506</v>
      </c>
      <c r="AB43" s="2964">
        <f t="shared" si="4"/>
        <v>0.98039215686274506</v>
      </c>
      <c r="AC43" s="2673">
        <f t="shared" si="5"/>
        <v>1.0416666666666667</v>
      </c>
    </row>
    <row r="44" spans="1:29" ht="15">
      <c r="A44" s="472"/>
      <c r="B44" s="2952" t="s">
        <v>2577</v>
      </c>
      <c r="C44" s="2991" t="s">
        <v>3119</v>
      </c>
      <c r="D44" s="435">
        <v>100</v>
      </c>
      <c r="E44" s="2993" t="s">
        <v>3119</v>
      </c>
      <c r="F44" s="461">
        <f>SUMIF(125:125,E44,126:126)-SUMIF(125:125,C44,126:126)+100</f>
        <v>100</v>
      </c>
      <c r="G44" s="2993" t="s">
        <v>3119</v>
      </c>
      <c r="H44" s="435">
        <f>SUMIF(125:125,G44,126:126)-SUMIF(125:125,C44,126:126)+100</f>
        <v>100</v>
      </c>
      <c r="I44" s="2993" t="s">
        <v>3119</v>
      </c>
      <c r="J44" s="435">
        <f>SUMIF(125:125,I44,126:126)-SUMIF(125:125,C44,126:126)+100</f>
        <v>100</v>
      </c>
      <c r="K44" s="612">
        <v>2</v>
      </c>
      <c r="L44" s="1139"/>
      <c r="M44" s="1130"/>
      <c r="N44" s="1130"/>
      <c r="O44" s="1130"/>
      <c r="P44" s="3225"/>
      <c r="Q44" s="2963" t="str">
        <f t="shared" si="11"/>
        <v>内部装修维护情况</v>
      </c>
      <c r="R44" s="774" t="s">
        <v>17</v>
      </c>
      <c r="S44" s="775">
        <f t="shared" si="12"/>
        <v>100</v>
      </c>
      <c r="T44" s="774" t="s">
        <v>17</v>
      </c>
      <c r="U44" s="775">
        <f t="shared" si="13"/>
        <v>100</v>
      </c>
      <c r="V44" s="774" t="s">
        <v>17</v>
      </c>
      <c r="W44" s="775">
        <f t="shared" si="14"/>
        <v>100</v>
      </c>
      <c r="X44" s="2965"/>
      <c r="Y44" s="3227"/>
      <c r="Z44" s="2966" t="str">
        <f t="shared" si="15"/>
        <v>内部装修维护情况</v>
      </c>
      <c r="AA44" s="2964">
        <f t="shared" si="3"/>
        <v>1</v>
      </c>
      <c r="AB44" s="2964">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5"/>
      <c r="Q45" s="2940">
        <f t="shared" si="11"/>
        <v>111</v>
      </c>
      <c r="R45" s="770" t="s">
        <v>17</v>
      </c>
      <c r="S45" s="771">
        <f t="shared" si="12"/>
        <v>100</v>
      </c>
      <c r="T45" s="770" t="s">
        <v>17</v>
      </c>
      <c r="U45" s="771">
        <f t="shared" si="13"/>
        <v>100</v>
      </c>
      <c r="V45" s="770" t="s">
        <v>17</v>
      </c>
      <c r="W45" s="771">
        <f t="shared" si="14"/>
        <v>100</v>
      </c>
      <c r="X45" s="772"/>
      <c r="Y45" s="3227"/>
      <c r="Z45" s="2942">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5"/>
      <c r="Q46" s="2963">
        <f t="shared" si="11"/>
        <v>111</v>
      </c>
      <c r="R46" s="774" t="s">
        <v>17</v>
      </c>
      <c r="S46" s="775">
        <f t="shared" si="12"/>
        <v>100</v>
      </c>
      <c r="T46" s="774" t="s">
        <v>17</v>
      </c>
      <c r="U46" s="775">
        <f t="shared" si="13"/>
        <v>100</v>
      </c>
      <c r="V46" s="774" t="s">
        <v>17</v>
      </c>
      <c r="W46" s="775">
        <f t="shared" si="14"/>
        <v>100</v>
      </c>
      <c r="X46" s="2965"/>
      <c r="Y46" s="3227"/>
      <c r="Z46" s="2966">
        <f t="shared" si="15"/>
        <v>111</v>
      </c>
      <c r="AA46" s="2964">
        <f t="shared" si="3"/>
        <v>1</v>
      </c>
      <c r="AB46" s="2964">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6"/>
      <c r="Q47" s="2963">
        <f t="shared" si="11"/>
        <v>111</v>
      </c>
      <c r="R47" s="774" t="s">
        <v>17</v>
      </c>
      <c r="S47" s="775">
        <f t="shared" si="12"/>
        <v>100</v>
      </c>
      <c r="T47" s="774" t="s">
        <v>17</v>
      </c>
      <c r="U47" s="775">
        <f t="shared" si="13"/>
        <v>100</v>
      </c>
      <c r="V47" s="774" t="s">
        <v>17</v>
      </c>
      <c r="W47" s="775">
        <f t="shared" si="14"/>
        <v>100</v>
      </c>
      <c r="X47" s="2965"/>
      <c r="Y47" s="3228"/>
      <c r="Z47" s="2966">
        <f t="shared" si="15"/>
        <v>111</v>
      </c>
      <c r="AA47" s="2964">
        <f t="shared" si="3"/>
        <v>1</v>
      </c>
      <c r="AB47" s="2964">
        <f t="shared" si="4"/>
        <v>1</v>
      </c>
      <c r="AC47" s="2673">
        <f t="shared" si="5"/>
        <v>1</v>
      </c>
    </row>
    <row r="48" spans="1:29" ht="15">
      <c r="A48" s="479" t="s">
        <v>2578</v>
      </c>
      <c r="B48" s="480"/>
      <c r="C48" s="1406" t="s">
        <v>1</v>
      </c>
      <c r="D48" s="1407"/>
      <c r="E48" s="1408">
        <v>5.5</v>
      </c>
      <c r="F48" s="1409"/>
      <c r="G48" s="1410">
        <v>5.2</v>
      </c>
      <c r="H48" s="1411"/>
      <c r="I48" s="1408">
        <v>5.5</v>
      </c>
      <c r="J48" s="485"/>
      <c r="K48" s="783"/>
      <c r="L48" s="1142"/>
      <c r="M48" s="1130"/>
      <c r="N48" s="1130"/>
      <c r="O48" s="1130"/>
      <c r="P48" s="3200" t="str">
        <f>A48</f>
        <v>成交单价（元/平方米）</v>
      </c>
      <c r="Q48" s="3229"/>
      <c r="R48" s="3230">
        <f>E48</f>
        <v>5.5</v>
      </c>
      <c r="S48" s="3230"/>
      <c r="T48" s="3230">
        <f>G48</f>
        <v>5.2</v>
      </c>
      <c r="U48" s="3230"/>
      <c r="V48" s="3230">
        <f>I48</f>
        <v>5.5</v>
      </c>
      <c r="W48" s="3230"/>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200" t="str">
        <f>A49</f>
        <v>比较价值（元/平方米）</v>
      </c>
      <c r="Q49" s="3229"/>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3231" t="str">
        <f>A50</f>
        <v>估价对象XX用房的比较价值（楼面单价，元/平方米）</v>
      </c>
      <c r="Q50" s="3232"/>
      <c r="R50" s="3233" t="e">
        <f>IF(F1="售价",ROUND(AVERAGE(R49:V49),0),ROUND(AVERAGE(R49:V49),1))</f>
        <v>#DIV/0!</v>
      </c>
      <c r="S50" s="3233"/>
      <c r="T50" s="3233"/>
      <c r="U50" s="3233"/>
      <c r="V50" s="3233"/>
      <c r="W50" s="3233"/>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f>IF(E48&lt;G48,G48/E48-1,E48/G48-1)</f>
        <v>5.7692307692307709E-2</v>
      </c>
      <c r="F55" s="500" t="str">
        <f>IF(OR(E55&gt;=0.3,E55&lt;=-0.3),"超过30%","")</f>
        <v/>
      </c>
      <c r="G55" s="499">
        <f>IF(G48&lt;I48,I48/G48-1,G48/I48-1)</f>
        <v>5.7692307692307709E-2</v>
      </c>
      <c r="H55" s="500" t="str">
        <f>IF(OR(G55&gt;=0.3,G55&lt;=-0.3),"超过30%","")</f>
        <v/>
      </c>
      <c r="I55" s="499">
        <f>IF(I48&lt;E48,E48/I48-1,I48/E48-1)</f>
        <v>0</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79"/>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2586</v>
      </c>
      <c r="B61" s="516"/>
      <c r="C61" s="517"/>
      <c r="D61" s="518"/>
      <c r="E61" s="518"/>
      <c r="F61" s="518"/>
      <c r="G61" s="518"/>
      <c r="H61" s="518"/>
      <c r="I61" s="518"/>
      <c r="J61" s="518"/>
      <c r="K61" s="518"/>
      <c r="L61" s="518"/>
      <c r="M61" s="519"/>
      <c r="N61" s="518"/>
      <c r="O61" s="519"/>
      <c r="P61" s="2680"/>
      <c r="Q61" s="504"/>
    </row>
    <row r="62" spans="1:29" s="117" customFormat="1" ht="15">
      <c r="A62" s="521" t="s">
        <v>2551</v>
      </c>
      <c r="B62" s="510"/>
      <c r="C62" s="522" t="s">
        <v>2653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2589</v>
      </c>
      <c r="B64" s="528" t="s">
        <v>2555</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2"/>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v>
      </c>
      <c r="L68" s="547" t="str">
        <f t="shared" si="17"/>
        <v>（含）-</v>
      </c>
      <c r="M68" s="448" t="str">
        <f>M69&amp;"（含）"&amp;"-"&amp;P69</f>
        <v>（含）-</v>
      </c>
      <c r="N68" s="1152"/>
      <c r="O68" s="1152"/>
      <c r="P68" s="2682"/>
      <c r="Q68" s="504"/>
    </row>
    <row r="69" spans="1:17" ht="15">
      <c r="A69" s="534"/>
      <c r="B69" s="548"/>
      <c r="C69" s="549">
        <v>0</v>
      </c>
      <c r="D69" s="549">
        <v>1</v>
      </c>
      <c r="E69" s="549">
        <v>2</v>
      </c>
      <c r="F69" s="549">
        <v>3</v>
      </c>
      <c r="G69" s="549">
        <v>4</v>
      </c>
      <c r="H69" s="549">
        <v>5</v>
      </c>
      <c r="I69" s="549">
        <v>6</v>
      </c>
      <c r="J69" s="549">
        <v>7</v>
      </c>
      <c r="K69" s="550">
        <v>8</v>
      </c>
      <c r="L69" s="551"/>
      <c r="M69" s="552"/>
      <c r="N69" s="1151"/>
      <c r="O69" s="1151"/>
      <c r="P69" s="2682"/>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2"/>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2700</v>
      </c>
      <c r="C87" s="2974" t="s">
        <v>3078</v>
      </c>
      <c r="D87" s="2974" t="s">
        <v>3079</v>
      </c>
      <c r="E87" s="2974" t="s">
        <v>3080</v>
      </c>
      <c r="F87" s="2974" t="s">
        <v>3081</v>
      </c>
      <c r="G87" s="2974" t="s">
        <v>3082</v>
      </c>
      <c r="H87" s="554"/>
      <c r="I87" s="554"/>
      <c r="J87" s="554"/>
      <c r="K87" s="554"/>
      <c r="L87" s="580"/>
      <c r="M87" s="581"/>
      <c r="N87" s="1150"/>
      <c r="O87" s="1150"/>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2"/>
      <c r="Q88" s="504"/>
    </row>
    <row r="89" spans="1:17" s="117" customFormat="1" ht="15.75" thickTop="1">
      <c r="A89" s="579"/>
      <c r="B89" s="538" t="str">
        <f>B27</f>
        <v>楼层</v>
      </c>
      <c r="C89" s="2974" t="s">
        <v>3083</v>
      </c>
      <c r="D89" s="2974" t="s">
        <v>3084</v>
      </c>
      <c r="E89" s="2974" t="s">
        <v>3085</v>
      </c>
      <c r="F89" s="2634"/>
      <c r="G89" s="554"/>
      <c r="H89" s="554"/>
      <c r="I89" s="554"/>
      <c r="J89" s="554"/>
      <c r="K89" s="554"/>
      <c r="L89" s="554"/>
      <c r="M89" s="581"/>
      <c r="N89" s="1150"/>
      <c r="O89" s="1150"/>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2"/>
      <c r="O90" s="1152"/>
      <c r="P90" s="2682"/>
      <c r="Q90" s="504"/>
    </row>
    <row r="91" spans="1:17" s="471" customFormat="1" ht="15.75" thickTop="1">
      <c r="A91" s="553"/>
      <c r="B91" s="538" t="str">
        <f>B28</f>
        <v>朝向</v>
      </c>
      <c r="C91" s="2974" t="s">
        <v>3086</v>
      </c>
      <c r="D91" s="2974" t="s">
        <v>3087</v>
      </c>
      <c r="E91" s="2974" t="s">
        <v>3088</v>
      </c>
      <c r="F91" s="2974" t="s">
        <v>3089</v>
      </c>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2564</v>
      </c>
      <c r="B101" s="528" t="s">
        <v>2613</v>
      </c>
      <c r="C101" s="2975" t="s">
        <v>3090</v>
      </c>
      <c r="D101" s="2975" t="s">
        <v>3091</v>
      </c>
      <c r="E101" s="2975" t="s">
        <v>3092</v>
      </c>
      <c r="F101" s="2975" t="s">
        <v>3093</v>
      </c>
      <c r="G101" s="2975" t="s">
        <v>3094</v>
      </c>
      <c r="H101" s="2975" t="s">
        <v>3095</v>
      </c>
      <c r="I101" s="530"/>
      <c r="J101" s="530"/>
      <c r="K101" s="531"/>
      <c r="L101" s="532"/>
      <c r="M101" s="533"/>
      <c r="N101" s="1151"/>
      <c r="O101" s="1151"/>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2"/>
      <c r="Q102" s="504"/>
    </row>
    <row r="103" spans="1:17" ht="29.25" thickTop="1">
      <c r="A103" s="534"/>
      <c r="B103" s="538" t="s">
        <v>2614</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100000</v>
      </c>
      <c r="E104" s="595">
        <v>200000</v>
      </c>
      <c r="F104" s="595">
        <v>300000</v>
      </c>
      <c r="G104" s="595">
        <v>400000</v>
      </c>
      <c r="H104" s="595">
        <v>500000</v>
      </c>
      <c r="I104" s="595"/>
      <c r="J104" s="596"/>
      <c r="K104" s="596"/>
      <c r="L104" s="597"/>
      <c r="M104" s="598"/>
      <c r="N104" s="1153"/>
      <c r="O104" s="1153"/>
      <c r="P104" s="2683"/>
      <c r="Q104" s="559"/>
    </row>
    <row r="105" spans="1:17" s="471" customFormat="1" ht="15.75" thickBot="1">
      <c r="A105" s="553"/>
      <c r="B105" s="543"/>
      <c r="C105" s="560">
        <v>100</v>
      </c>
      <c r="D105" s="536">
        <v>101</v>
      </c>
      <c r="E105" s="536">
        <v>102</v>
      </c>
      <c r="F105" s="560">
        <v>103</v>
      </c>
      <c r="G105" s="536">
        <v>104</v>
      </c>
      <c r="H105" s="536">
        <v>105</v>
      </c>
      <c r="I105" s="536"/>
      <c r="J105" s="536"/>
      <c r="K105" s="536"/>
      <c r="L105" s="536"/>
      <c r="M105" s="537"/>
      <c r="N105" s="1152"/>
      <c r="O105" s="1152"/>
      <c r="P105" s="2683"/>
      <c r="Q105" s="559"/>
    </row>
    <row r="106" spans="1:17" ht="15" thickTop="1">
      <c r="A106" s="599"/>
      <c r="B106" s="538" t="s">
        <v>2615</v>
      </c>
      <c r="C106" s="2974" t="s">
        <v>3096</v>
      </c>
      <c r="D106" s="2974" t="s">
        <v>3097</v>
      </c>
      <c r="E106" s="2976" t="s">
        <v>3098</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2617</v>
      </c>
      <c r="C108" s="2974" t="s">
        <v>3099</v>
      </c>
      <c r="D108" s="2974" t="s">
        <v>3100</v>
      </c>
      <c r="E108" s="2974" t="s">
        <v>3101</v>
      </c>
      <c r="F108" s="2976" t="s">
        <v>3102</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2"/>
      <c r="Q112" s="504"/>
    </row>
    <row r="113" spans="1:17" s="471" customFormat="1" ht="15" thickTop="1">
      <c r="A113" s="593"/>
      <c r="B113" s="538" t="s">
        <v>2701</v>
      </c>
      <c r="C113" s="2974" t="s">
        <v>3103</v>
      </c>
      <c r="D113" s="2974" t="s">
        <v>3104</v>
      </c>
      <c r="E113" s="2974" t="s">
        <v>3105</v>
      </c>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3"/>
      <c r="Q114" s="559"/>
    </row>
    <row r="115" spans="1:17" ht="15" thickTop="1">
      <c r="A115" s="599"/>
      <c r="B115" s="538" t="s">
        <v>2618</v>
      </c>
      <c r="C115" s="2974" t="s">
        <v>3106</v>
      </c>
      <c r="D115" s="2974" t="s">
        <v>3107</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5" thickTop="1">
      <c r="A117" s="599"/>
      <c r="B117" s="538" t="s">
        <v>2619</v>
      </c>
      <c r="C117" s="2974" t="s">
        <v>3108</v>
      </c>
      <c r="D117" s="2974" t="s">
        <v>3109</v>
      </c>
      <c r="E117" s="2974" t="s">
        <v>3110</v>
      </c>
      <c r="F117" s="2974" t="s">
        <v>3111</v>
      </c>
      <c r="G117" s="2974" t="s">
        <v>3112</v>
      </c>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5" thickTop="1">
      <c r="A119" s="599"/>
      <c r="B119" s="636" t="s">
        <v>2702</v>
      </c>
      <c r="C119" s="2976" t="s">
        <v>3113</v>
      </c>
      <c r="D119" s="2976"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2685</v>
      </c>
      <c r="C121" s="554" t="s">
        <v>3115</v>
      </c>
      <c r="D121" s="554" t="s">
        <v>3116</v>
      </c>
      <c r="E121" s="554" t="s">
        <v>3117</v>
      </c>
      <c r="F121" s="583" t="s">
        <v>3118</v>
      </c>
      <c r="G121" s="555"/>
      <c r="H121" s="555"/>
      <c r="I121" s="555"/>
      <c r="J121" s="555"/>
      <c r="K121" s="555"/>
      <c r="L121" s="556"/>
      <c r="M121" s="557"/>
      <c r="N121" s="1153"/>
      <c r="O121" s="1153"/>
      <c r="P121" s="2683"/>
      <c r="Q121" s="559"/>
    </row>
    <row r="122" spans="1:17" s="471" customFormat="1" ht="15.75" thickBot="1">
      <c r="A122" s="553"/>
      <c r="B122" s="535"/>
      <c r="C122" s="560">
        <v>100</v>
      </c>
      <c r="D122" s="560">
        <v>100</v>
      </c>
      <c r="E122" s="560">
        <v>100</v>
      </c>
      <c r="F122" s="560">
        <v>100</v>
      </c>
      <c r="G122" s="560"/>
      <c r="H122" s="560"/>
      <c r="I122" s="560"/>
      <c r="J122" s="560"/>
      <c r="K122" s="560"/>
      <c r="L122" s="560"/>
      <c r="M122" s="560"/>
      <c r="N122" s="1153"/>
      <c r="O122" s="1153"/>
      <c r="P122" s="2683"/>
      <c r="Q122" s="559"/>
    </row>
    <row r="123" spans="1:17" ht="15" thickTop="1">
      <c r="A123" s="599"/>
      <c r="B123" s="538" t="s">
        <v>2621</v>
      </c>
      <c r="C123" s="2974" t="s">
        <v>3099</v>
      </c>
      <c r="D123" s="2974" t="s">
        <v>3100</v>
      </c>
      <c r="E123" s="2974" t="s">
        <v>3101</v>
      </c>
      <c r="F123" s="2976" t="s">
        <v>3102</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7" priority="16" stopIfTrue="1" operator="containsText" text="超过">
      <formula>NOT(ISERROR(SEARCH("超过",F53)))</formula>
    </cfRule>
  </conditionalFormatting>
  <conditionalFormatting sqref="H55">
    <cfRule type="containsText" dxfId="156" priority="15" stopIfTrue="1" operator="containsText" text="超过">
      <formula>NOT(ISERROR(SEARCH("超过",H55)))</formula>
    </cfRule>
  </conditionalFormatting>
  <conditionalFormatting sqref="F55">
    <cfRule type="containsText" dxfId="155" priority="14" stopIfTrue="1" operator="containsText" text="超过">
      <formula>NOT(ISERROR(SEARCH("超过",F55)))</formula>
    </cfRule>
  </conditionalFormatting>
  <conditionalFormatting sqref="F54 H54">
    <cfRule type="containsText" dxfId="154" priority="13" stopIfTrue="1" operator="containsText" text="超过">
      <formula>NOT(ISERROR(SEARCH("超过",F54)))</formula>
    </cfRule>
  </conditionalFormatting>
  <conditionalFormatting sqref="E53">
    <cfRule type="expression" dxfId="153" priority="12" stopIfTrue="1">
      <formula>$F$53="超过30%"</formula>
    </cfRule>
  </conditionalFormatting>
  <conditionalFormatting sqref="E54">
    <cfRule type="expression" dxfId="152" priority="11" stopIfTrue="1">
      <formula>$F$54="超过20%"</formula>
    </cfRule>
  </conditionalFormatting>
  <conditionalFormatting sqref="E55">
    <cfRule type="expression" dxfId="151" priority="10" stopIfTrue="1">
      <formula>$F$55="超过30%"</formula>
    </cfRule>
  </conditionalFormatting>
  <conditionalFormatting sqref="G55">
    <cfRule type="expression" dxfId="150" priority="9" stopIfTrue="1">
      <formula>$H$55="超过30%"</formula>
    </cfRule>
  </conditionalFormatting>
  <conditionalFormatting sqref="G53">
    <cfRule type="expression" dxfId="149" priority="8" stopIfTrue="1">
      <formula>$H$53="超过30%"</formula>
    </cfRule>
  </conditionalFormatting>
  <conditionalFormatting sqref="G54">
    <cfRule type="expression" dxfId="148" priority="7" stopIfTrue="1">
      <formula>$H$54="超过20%"</formula>
    </cfRule>
  </conditionalFormatting>
  <conditionalFormatting sqref="J53">
    <cfRule type="containsText" dxfId="147" priority="6" stopIfTrue="1" operator="containsText" text="超过">
      <formula>NOT(ISERROR(SEARCH("超过",J53)))</formula>
    </cfRule>
  </conditionalFormatting>
  <conditionalFormatting sqref="J55">
    <cfRule type="containsText" dxfId="146" priority="5" stopIfTrue="1" operator="containsText" text="超过">
      <formula>NOT(ISERROR(SEARCH("超过",J55)))</formula>
    </cfRule>
  </conditionalFormatting>
  <conditionalFormatting sqref="J54">
    <cfRule type="containsText" dxfId="145" priority="4" stopIfTrue="1" operator="containsText" text="超过">
      <formula>NOT(ISERROR(SEARCH("超过",J54)))</formula>
    </cfRule>
  </conditionalFormatting>
  <conditionalFormatting sqref="I53">
    <cfRule type="expression" dxfId="144" priority="3" stopIfTrue="1">
      <formula>$J$53="超过30%"</formula>
    </cfRule>
  </conditionalFormatting>
  <conditionalFormatting sqref="I54">
    <cfRule type="expression" dxfId="143" priority="2" stopIfTrue="1">
      <formula>$J$53+$J$54="超过20%"</formula>
    </cfRule>
  </conditionalFormatting>
  <conditionalFormatting sqref="I55">
    <cfRule type="expression" dxfId="14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4" zoomScaleNormal="100" zoomScaleSheetLayoutView="100" zoomScalePageLayoutView="80" workbookViewId="0">
      <selection activeCell="C105" sqref="C10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3068</v>
      </c>
      <c r="D1" s="2415"/>
      <c r="E1" s="2415"/>
      <c r="F1" s="2417" t="s">
        <v>2119</v>
      </c>
      <c r="G1" s="2068" t="s">
        <v>3059</v>
      </c>
      <c r="H1" s="2418" t="str">
        <f>IF(G1="现房","——","估价对象范围")</f>
        <v>——</v>
      </c>
      <c r="I1" s="2419" t="s">
        <v>3174</v>
      </c>
    </row>
    <row r="2" spans="1:12" ht="21.75" customHeight="1" thickBot="1">
      <c r="A2" s="3096" t="str">
        <f>项目基本情况!S2</f>
        <v>北京市房地产</v>
      </c>
      <c r="B2" s="3097"/>
      <c r="C2" s="3097"/>
      <c r="D2" s="3097"/>
      <c r="E2" s="3097"/>
      <c r="F2" s="3097"/>
      <c r="G2" s="3097"/>
      <c r="H2" s="3097"/>
      <c r="I2" s="3098"/>
    </row>
    <row r="3" spans="1:12" ht="12.75">
      <c r="A3" s="3099" t="s">
        <v>2120</v>
      </c>
      <c r="B3" s="3100"/>
      <c r="C3" s="3100"/>
      <c r="D3" s="3100"/>
      <c r="E3" s="3100"/>
      <c r="F3" s="3100"/>
      <c r="G3" s="3100"/>
      <c r="H3" s="3100"/>
      <c r="I3" s="3100"/>
    </row>
    <row r="4" spans="1:12" ht="14.25">
      <c r="A4" s="2422" t="s">
        <v>2121</v>
      </c>
      <c r="B4" s="2423" t="s">
        <v>2122</v>
      </c>
      <c r="C4" s="2424" t="s">
        <v>3169</v>
      </c>
      <c r="D4" s="2424" t="s">
        <v>3165</v>
      </c>
      <c r="E4" s="3101" t="s">
        <v>2123</v>
      </c>
      <c r="F4" s="3102"/>
      <c r="G4" s="3102"/>
      <c r="H4" s="3102"/>
      <c r="I4" s="3103"/>
      <c r="K4" s="2425" t="str">
        <f>IF(ISNUMBER(FIND("比较法",结果表仓储!C4)),"比较法",IF(ISNUMBER(FIND("成本法",结果表仓储!C4)),"成本法",IF(ISNUMBER(FIND("假设开发法",结果表仓储!C4)),"假设开发法",IF(ISNUMBER(FIND("收益法",结果表仓储!C4)),"收益法","基准地价系数修正法"))))</f>
        <v>成本法</v>
      </c>
      <c r="L4" s="242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092" t="s">
        <v>2124</v>
      </c>
      <c r="B5" s="3065">
        <v>25</v>
      </c>
      <c r="C5" s="3093"/>
      <c r="D5" s="3095"/>
      <c r="E5" s="140" t="s">
        <v>2125</v>
      </c>
      <c r="F5" s="2426"/>
      <c r="G5" s="2426"/>
      <c r="H5" s="2426"/>
      <c r="I5" s="1830"/>
    </row>
    <row r="6" spans="1:12" ht="12.75">
      <c r="A6" s="3092"/>
      <c r="B6" s="3065"/>
      <c r="C6" s="3104"/>
      <c r="D6" s="3095"/>
      <c r="E6" s="140" t="s">
        <v>2126</v>
      </c>
      <c r="F6" s="2426"/>
      <c r="G6" s="2426"/>
      <c r="H6" s="2426"/>
      <c r="I6" s="1830"/>
    </row>
    <row r="7" spans="1:12" ht="12.75">
      <c r="A7" s="3092"/>
      <c r="B7" s="3065"/>
      <c r="C7" s="3094"/>
      <c r="D7" s="3095"/>
      <c r="E7" s="140" t="s">
        <v>2127</v>
      </c>
      <c r="F7" s="2426"/>
      <c r="G7" s="2426"/>
      <c r="H7" s="2426"/>
      <c r="I7" s="1830"/>
    </row>
    <row r="8" spans="1:12" ht="12.75">
      <c r="A8" s="3092" t="s">
        <v>2128</v>
      </c>
      <c r="B8" s="3065">
        <v>15</v>
      </c>
      <c r="C8" s="3093"/>
      <c r="D8" s="3095"/>
      <c r="E8" s="140" t="s">
        <v>2129</v>
      </c>
      <c r="F8" s="2426"/>
      <c r="G8" s="2426"/>
      <c r="H8" s="2426"/>
      <c r="I8" s="1830"/>
    </row>
    <row r="9" spans="1:12" ht="12.75">
      <c r="A9" s="3092"/>
      <c r="B9" s="3065"/>
      <c r="C9" s="3094"/>
      <c r="D9" s="3095"/>
      <c r="E9" s="140" t="s">
        <v>2130</v>
      </c>
      <c r="F9" s="2426"/>
      <c r="G9" s="2426"/>
      <c r="H9" s="2426"/>
      <c r="I9" s="1830"/>
    </row>
    <row r="10" spans="1:12" ht="12.75">
      <c r="A10" s="3092" t="s">
        <v>2131</v>
      </c>
      <c r="B10" s="3065">
        <v>15</v>
      </c>
      <c r="C10" s="3093"/>
      <c r="D10" s="3095"/>
      <c r="E10" s="140" t="s">
        <v>2132</v>
      </c>
      <c r="F10" s="2426"/>
      <c r="G10" s="2426"/>
      <c r="H10" s="2426"/>
      <c r="I10" s="1830"/>
    </row>
    <row r="11" spans="1:12" ht="12.75">
      <c r="A11" s="3092"/>
      <c r="B11" s="3065"/>
      <c r="C11" s="3094"/>
      <c r="D11" s="3095"/>
      <c r="E11" s="140" t="s">
        <v>2133</v>
      </c>
      <c r="F11" s="2426"/>
      <c r="G11" s="2426"/>
      <c r="H11" s="2426"/>
      <c r="I11" s="1830"/>
    </row>
    <row r="12" spans="1:12" ht="12.75">
      <c r="A12" s="3092" t="s">
        <v>2134</v>
      </c>
      <c r="B12" s="3065">
        <v>15</v>
      </c>
      <c r="C12" s="3093"/>
      <c r="D12" s="3095"/>
      <c r="E12" s="140" t="s">
        <v>2135</v>
      </c>
      <c r="F12" s="2426"/>
      <c r="G12" s="2426"/>
      <c r="H12" s="2426"/>
      <c r="I12" s="1830"/>
    </row>
    <row r="13" spans="1:12" ht="12.75">
      <c r="A13" s="3092"/>
      <c r="B13" s="3065"/>
      <c r="C13" s="3094"/>
      <c r="D13" s="3095"/>
      <c r="E13" s="140" t="s">
        <v>2136</v>
      </c>
      <c r="F13" s="2426"/>
      <c r="G13" s="2426"/>
      <c r="H13" s="2426"/>
      <c r="I13" s="1830"/>
    </row>
    <row r="14" spans="1:12" ht="12.75">
      <c r="A14" s="3092" t="s">
        <v>2137</v>
      </c>
      <c r="B14" s="3065">
        <v>30</v>
      </c>
      <c r="C14" s="3093">
        <v>0.5</v>
      </c>
      <c r="D14" s="3095">
        <f>1-C14</f>
        <v>0.5</v>
      </c>
      <c r="E14" s="140" t="s">
        <v>2138</v>
      </c>
      <c r="F14" s="2426"/>
      <c r="G14" s="2426"/>
      <c r="H14" s="2426"/>
      <c r="I14" s="1830"/>
    </row>
    <row r="15" spans="1:12" ht="12.75">
      <c r="A15" s="3092"/>
      <c r="B15" s="3065"/>
      <c r="C15" s="3104"/>
      <c r="D15" s="3095"/>
      <c r="E15" s="140" t="s">
        <v>2139</v>
      </c>
      <c r="F15" s="2426"/>
      <c r="G15" s="2426"/>
      <c r="H15" s="2426"/>
      <c r="I15" s="1830"/>
    </row>
    <row r="16" spans="1:12" ht="12.75">
      <c r="A16" s="3092"/>
      <c r="B16" s="3065"/>
      <c r="C16" s="3094"/>
      <c r="D16" s="3095"/>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8246.2800000000007</v>
      </c>
      <c r="M18" s="2425">
        <f>IF(C1="",'数据-汇总表'!E3,SUMIF(项目类型,C1,'数据-汇总表'!E17:E26))</f>
        <v>8246.2800000000007</v>
      </c>
    </row>
    <row r="19" spans="1:35" ht="15">
      <c r="A19" s="2431" t="s">
        <v>2146</v>
      </c>
      <c r="B19" s="2432" t="s">
        <v>2147</v>
      </c>
      <c r="C19" s="143">
        <f ca="1">SUMIF(INDIRECT("'"&amp;C4&amp;"'"&amp;"!A:A"),结果表仓储!B19,INDIRECT("'"&amp;C4&amp;"'"&amp;"!B:B"))</f>
        <v>9154</v>
      </c>
      <c r="D19" s="144">
        <f ca="1">SUMIF(INDIRECT("'"&amp;D4&amp;"'"&amp;"!A:A"),结果表仓储!B19,INDIRECT("'"&amp;D4&amp;"'"&amp;"!B:B"))</f>
        <v>42302</v>
      </c>
      <c r="E19" s="2431" t="s">
        <v>2148</v>
      </c>
      <c r="F19" s="2432" t="s">
        <v>2147</v>
      </c>
      <c r="G19" s="145">
        <f ca="1">ROUND(C19*$C$18+D19*$D$18,0)</f>
        <v>25728</v>
      </c>
      <c r="H19" s="2433" t="s">
        <v>2149</v>
      </c>
      <c r="I19" s="138"/>
      <c r="K19" s="2425" t="s">
        <v>2150</v>
      </c>
      <c r="L19" s="2425">
        <f>IF(C1="",'数据-汇总表'!D3,SUMIF(项目类型,C1,'数据-汇总表'!D17:D26)+SUMIF(项目类型,C1,'数据-汇总表'!H17:H27))</f>
        <v>2659.1</v>
      </c>
      <c r="M19" s="2425">
        <f>IF(C1="",'数据-汇总表'!D3,SUMIF(项目类型,C1,'数据-汇总表'!D17:D26))</f>
        <v>2659.1</v>
      </c>
    </row>
    <row r="20" spans="1:35" ht="15">
      <c r="A20" s="2434"/>
      <c r="B20" s="1246" t="s">
        <v>2151</v>
      </c>
      <c r="C20" s="146">
        <f ca="1">SUMIF(INDIRECT("'"&amp;C4&amp;"'"&amp;"!A:A"),结果表仓储!B20,INDIRECT("'"&amp;C4&amp;"'"&amp;"!B:B"))</f>
        <v>11101</v>
      </c>
      <c r="D20" s="147">
        <f ca="1">SUMIF(INDIRECT("'"&amp;D4&amp;"'"&amp;"!A:A"),结果表仓储!B20,INDIRECT("'"&amp;D4&amp;"'"&amp;"!B:B"))</f>
        <v>51298</v>
      </c>
      <c r="E20" s="2434"/>
      <c r="F20" s="1246" t="s">
        <v>2151</v>
      </c>
      <c r="G20" s="148">
        <f ca="1">ROUND(C20*$C$18+D20*$D$18,0)</f>
        <v>31200</v>
      </c>
      <c r="H20" s="979" t="s">
        <v>2152</v>
      </c>
      <c r="I20" s="138"/>
    </row>
    <row r="21" spans="1:35" ht="15" customHeight="1" thickBot="1">
      <c r="A21" s="999"/>
      <c r="B21" s="2435" t="s">
        <v>2153</v>
      </c>
      <c r="C21" s="789">
        <f ca="1">ROUND(C19*10000/L19,0)</f>
        <v>34425</v>
      </c>
      <c r="D21" s="790">
        <f ca="1">ROUND(D19*10000/L19,0)</f>
        <v>159084</v>
      </c>
      <c r="E21" s="999"/>
      <c r="F21" s="2435" t="s">
        <v>2153</v>
      </c>
      <c r="G21" s="149">
        <f ca="1">ROUND(G19*10000/L19,0)</f>
        <v>96755</v>
      </c>
      <c r="H21" s="2436" t="s">
        <v>2152</v>
      </c>
      <c r="I21" s="138"/>
    </row>
    <row r="22" spans="1:35" ht="15" thickBot="1">
      <c r="A22" s="2278" t="s">
        <v>2154</v>
      </c>
      <c r="B22" s="2437"/>
      <c r="C22" s="2438"/>
      <c r="D22" s="791">
        <f ca="1">IF(C19&lt;D19,D19/C19-1,C19/D19-1)</f>
        <v>3.6211492243827834</v>
      </c>
      <c r="E22" s="138"/>
      <c r="F22" s="138"/>
      <c r="G22" s="138"/>
      <c r="H22" s="138"/>
      <c r="I22" s="138"/>
    </row>
    <row r="23" spans="1:35" ht="13.5" thickBot="1">
      <c r="A23" s="2415"/>
      <c r="B23" s="2415"/>
      <c r="C23" s="2415"/>
      <c r="D23" s="2415"/>
      <c r="E23" s="138"/>
      <c r="F23" s="138"/>
      <c r="G23" s="138"/>
      <c r="H23" s="138"/>
      <c r="I23" s="138"/>
    </row>
    <row r="24" spans="1:35" ht="14.25">
      <c r="A24" s="3105" t="s">
        <v>2155</v>
      </c>
      <c r="B24" s="2432" t="s">
        <v>2147</v>
      </c>
      <c r="C24" s="145">
        <f>IF(B30=0,0,D30)</f>
        <v>0</v>
      </c>
      <c r="D24" s="2439"/>
      <c r="E24" s="138"/>
      <c r="F24" s="138"/>
      <c r="G24" s="138"/>
      <c r="H24" s="138"/>
      <c r="I24" s="138"/>
    </row>
    <row r="25" spans="1:35" ht="14.25">
      <c r="A25" s="3106"/>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25728</v>
      </c>
      <c r="D32" s="2446" t="s">
        <v>2162</v>
      </c>
      <c r="E32" s="138"/>
      <c r="F32" s="138"/>
      <c r="G32" s="138"/>
      <c r="H32" s="138"/>
      <c r="I32" s="138"/>
    </row>
    <row r="33" spans="1:15" ht="15">
      <c r="A33" s="956" t="s">
        <v>2163</v>
      </c>
      <c r="B33" s="2447"/>
      <c r="C33" s="2448"/>
      <c r="D33" s="2449"/>
      <c r="E33" s="2450" t="s">
        <v>2164</v>
      </c>
      <c r="F33" s="245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07" t="s">
        <v>2169</v>
      </c>
      <c r="B36" s="2458" t="s">
        <v>2170</v>
      </c>
      <c r="C36" s="154"/>
      <c r="D36" s="2459"/>
      <c r="E36" s="2460"/>
      <c r="F36" s="2461"/>
      <c r="G36" s="138"/>
      <c r="H36" s="138"/>
      <c r="I36" s="138"/>
    </row>
    <row r="37" spans="1:15" ht="15.75" thickBot="1">
      <c r="A37" s="3108"/>
      <c r="B37" s="2264" t="s">
        <v>2171</v>
      </c>
      <c r="C37" s="156"/>
      <c r="D37" s="1391"/>
      <c r="E37" s="1391"/>
      <c r="F37" s="2461"/>
      <c r="G37" s="138"/>
      <c r="H37" s="138"/>
      <c r="I37" s="138"/>
    </row>
    <row r="38" spans="1:15" ht="15.75" thickBot="1">
      <c r="A38" s="3109"/>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hidden="1" customHeight="1" thickBot="1">
      <c r="A45" s="3110" t="s">
        <v>2183</v>
      </c>
      <c r="B45" s="3111"/>
      <c r="C45" s="3112"/>
      <c r="D45" s="164">
        <f ca="1">ROUND(H101*F45,0)</f>
        <v>25728</v>
      </c>
      <c r="E45" s="165" t="s">
        <v>2184</v>
      </c>
      <c r="F45" s="166">
        <v>1</v>
      </c>
      <c r="G45" s="167" t="s">
        <v>2185</v>
      </c>
      <c r="H45" s="138"/>
      <c r="I45" s="138"/>
      <c r="J45" s="3113" t="s">
        <v>2186</v>
      </c>
      <c r="K45" s="3113"/>
      <c r="L45" s="3113"/>
      <c r="M45" s="3113"/>
      <c r="N45" s="3113"/>
      <c r="O45" s="3113"/>
    </row>
    <row r="46" spans="1:15" ht="14.25" hidden="1" customHeight="1">
      <c r="A46" s="3114" t="s">
        <v>2187</v>
      </c>
      <c r="B46" s="3115"/>
      <c r="C46" s="3115"/>
      <c r="D46" s="3115"/>
      <c r="E46" s="3115"/>
      <c r="F46" s="3115"/>
      <c r="G46" s="3116"/>
      <c r="H46" s="2477"/>
      <c r="I46" s="168"/>
      <c r="J46" s="1808">
        <v>1</v>
      </c>
      <c r="K46" s="3113" t="s">
        <v>2188</v>
      </c>
      <c r="L46" s="3113"/>
      <c r="M46" s="3117"/>
      <c r="N46" s="3117"/>
      <c r="O46" s="3117"/>
    </row>
    <row r="47" spans="1:15" ht="12" hidden="1" customHeight="1">
      <c r="A47" s="169" t="s">
        <v>2189</v>
      </c>
      <c r="B47" s="170"/>
      <c r="C47" s="171"/>
      <c r="D47" s="172" t="s">
        <v>2190</v>
      </c>
      <c r="E47" s="24" t="s">
        <v>2191</v>
      </c>
      <c r="F47" s="173" t="s">
        <v>2192</v>
      </c>
      <c r="G47" s="174" t="s">
        <v>2193</v>
      </c>
      <c r="H47" s="2477"/>
      <c r="I47" s="168"/>
      <c r="J47" s="1808">
        <v>2</v>
      </c>
      <c r="K47" s="3113" t="s">
        <v>2194</v>
      </c>
      <c r="L47" s="3113"/>
      <c r="M47" s="3118">
        <f>'数据-取费表'!B2</f>
        <v>43100</v>
      </c>
      <c r="N47" s="3118"/>
      <c r="O47" s="3118"/>
    </row>
    <row r="48" spans="1:15" ht="25.5" hidden="1">
      <c r="A48" s="3119" t="s">
        <v>2195</v>
      </c>
      <c r="B48" s="3120"/>
      <c r="C48" s="3120"/>
      <c r="D48" s="140">
        <f>IF(H48="情况1",0,IF(H48="情况2",D52,IF(H48="情况3",D53,IF(H48="情况4",D54))))</f>
        <v>0</v>
      </c>
      <c r="E48" s="1797" t="str">
        <f>IF(H48="情况4","(销售额-原购置价)×税（费）率","销售额×税（费）率")</f>
        <v>销售额×税（费）率</v>
      </c>
      <c r="F48" s="175" t="str">
        <f>IF(H48="情况1","免征",'数据-取费表'!B41)</f>
        <v>免征</v>
      </c>
      <c r="G48" s="2478" t="s">
        <v>2196</v>
      </c>
      <c r="H48" s="2479" t="s">
        <v>2197</v>
      </c>
      <c r="I48" s="2477"/>
      <c r="J48" s="1808">
        <v>3</v>
      </c>
      <c r="K48" s="3113" t="s">
        <v>2198</v>
      </c>
      <c r="L48" s="3113"/>
      <c r="M48" s="3121">
        <f ca="1">H101</f>
        <v>25728</v>
      </c>
      <c r="N48" s="3121"/>
      <c r="O48" s="3121"/>
    </row>
    <row r="49" spans="1:35" ht="25.5" hidden="1" customHeight="1">
      <c r="A49" s="176" t="s">
        <v>2199</v>
      </c>
      <c r="B49" s="3122" t="s">
        <v>2200</v>
      </c>
      <c r="C49" s="3122"/>
      <c r="D49" s="177">
        <v>0</v>
      </c>
      <c r="E49" s="23" t="s">
        <v>2201</v>
      </c>
      <c r="F49" s="28" t="s">
        <v>34</v>
      </c>
      <c r="G49" s="3123"/>
      <c r="H49" s="138"/>
      <c r="I49" s="2480"/>
      <c r="J49" s="1808">
        <v>4</v>
      </c>
      <c r="K49" s="3113" t="str">
        <f>IF(项目基本情况!E8="房地产抵押价值","房地产抵押价值","抵押担保权已注销时的房地产抵押价值")</f>
        <v>抵押担保权已注销时的房地产抵押价值</v>
      </c>
      <c r="L49" s="3113"/>
      <c r="M49" s="3121" t="str">
        <f>IF(项目基本情况!E8="房地产抵押价值",H107,H109)</f>
        <v>——</v>
      </c>
      <c r="N49" s="3121"/>
      <c r="O49" s="3121"/>
    </row>
    <row r="50" spans="1:35" ht="25.5" hidden="1" customHeight="1">
      <c r="A50" s="178"/>
      <c r="B50" s="3122" t="s">
        <v>2202</v>
      </c>
      <c r="C50" s="3122"/>
      <c r="D50" s="179"/>
      <c r="E50" s="31"/>
      <c r="F50" s="180"/>
      <c r="G50" s="3124"/>
      <c r="H50" s="138"/>
      <c r="I50" s="2480"/>
      <c r="J50" s="3113" t="s">
        <v>2203</v>
      </c>
      <c r="K50" s="3113"/>
      <c r="L50" s="3113"/>
      <c r="M50" s="3113"/>
      <c r="N50" s="3113"/>
      <c r="O50" s="3113"/>
    </row>
    <row r="51" spans="1:35" ht="12" hidden="1" customHeight="1">
      <c r="A51" s="181"/>
      <c r="B51" s="3122" t="s">
        <v>2204</v>
      </c>
      <c r="C51" s="3122"/>
      <c r="D51" s="182"/>
      <c r="E51" s="30"/>
      <c r="F51" s="180"/>
      <c r="G51" s="3125"/>
      <c r="H51" s="138"/>
      <c r="I51" s="2480"/>
      <c r="J51" s="2481" t="s">
        <v>2205</v>
      </c>
      <c r="K51" s="3113" t="s">
        <v>2206</v>
      </c>
      <c r="L51" s="3113"/>
      <c r="M51" s="2481" t="s">
        <v>2207</v>
      </c>
      <c r="N51" s="2481" t="s">
        <v>2208</v>
      </c>
      <c r="O51" s="2481" t="s">
        <v>2209</v>
      </c>
    </row>
    <row r="52" spans="1:35" ht="24" hidden="1" customHeight="1">
      <c r="A52" s="183" t="s">
        <v>2210</v>
      </c>
      <c r="B52" s="3122" t="s">
        <v>2211</v>
      </c>
      <c r="C52" s="3122"/>
      <c r="D52" s="182">
        <f ca="1">ROUND(D45*'数据-取费表'!B41/(1+'数据-取费表'!C42),0)</f>
        <v>1372</v>
      </c>
      <c r="E52" s="11" t="s">
        <v>2212</v>
      </c>
      <c r="F52" s="184">
        <f>'数据-取费表'!B41</f>
        <v>5.6000000000000001E-2</v>
      </c>
      <c r="G52" s="2482"/>
      <c r="H52" s="138"/>
      <c r="I52" s="2480"/>
      <c r="J52" s="1808">
        <v>1</v>
      </c>
      <c r="K52" s="3128" t="s">
        <v>2213</v>
      </c>
      <c r="L52" s="3128"/>
      <c r="M52" s="1750">
        <f>D48</f>
        <v>0</v>
      </c>
      <c r="N52" s="1808" t="str">
        <f>E48</f>
        <v>销售额×税（费）率</v>
      </c>
      <c r="O52" s="1751" t="str">
        <f>F48</f>
        <v>免征</v>
      </c>
    </row>
    <row r="53" spans="1:35" ht="12" hidden="1" customHeight="1">
      <c r="A53" s="183" t="s">
        <v>2214</v>
      </c>
      <c r="B53" s="3126" t="s">
        <v>2215</v>
      </c>
      <c r="C53" s="3127"/>
      <c r="D53" s="182">
        <f ca="1">ROUND(D45*'数据-取费表'!B41/(1+'数据-取费表'!C42),0)</f>
        <v>1372</v>
      </c>
      <c r="E53" s="11" t="s">
        <v>2212</v>
      </c>
      <c r="F53" s="184">
        <f>'数据-取费表'!B41</f>
        <v>5.6000000000000001E-2</v>
      </c>
      <c r="G53" s="2482"/>
      <c r="H53" s="138"/>
      <c r="I53" s="2480"/>
      <c r="J53" s="1808">
        <v>2</v>
      </c>
      <c r="K53" s="3128" t="s">
        <v>2216</v>
      </c>
      <c r="L53" s="3128"/>
      <c r="M53" s="1750">
        <f t="shared" ref="M53:O54" ca="1" si="0">D55</f>
        <v>13</v>
      </c>
      <c r="N53" s="1808" t="str">
        <f t="shared" si="0"/>
        <v>销售额×税（费）率</v>
      </c>
      <c r="O53" s="1751">
        <f t="shared" si="0"/>
        <v>5.0000000000000001E-4</v>
      </c>
    </row>
    <row r="54" spans="1:35" ht="12" hidden="1" customHeight="1">
      <c r="A54" s="183" t="s">
        <v>2217</v>
      </c>
      <c r="B54" s="3126" t="s">
        <v>2218</v>
      </c>
      <c r="C54" s="3127"/>
      <c r="D54" s="182">
        <f ca="1">C68</f>
        <v>1372</v>
      </c>
      <c r="E54" s="30" t="s">
        <v>2219</v>
      </c>
      <c r="F54" s="184">
        <f>'数据-取费表'!B41</f>
        <v>5.6000000000000001E-2</v>
      </c>
      <c r="G54" s="2482"/>
      <c r="H54" s="2483"/>
      <c r="I54" s="2480"/>
      <c r="J54" s="1808">
        <v>3</v>
      </c>
      <c r="K54" s="3128" t="s">
        <v>2220</v>
      </c>
      <c r="L54" s="3128"/>
      <c r="M54" s="1750">
        <f t="shared" ca="1" si="0"/>
        <v>14562</v>
      </c>
      <c r="N54" s="1808" t="str">
        <f t="shared" si="0"/>
        <v>增值额×税（费）率</v>
      </c>
      <c r="O54" s="1752" t="str">
        <f t="shared" si="0"/>
        <v>——</v>
      </c>
    </row>
    <row r="55" spans="1:35" ht="24" hidden="1" customHeight="1">
      <c r="A55" s="3129" t="s">
        <v>2221</v>
      </c>
      <c r="B55" s="3120"/>
      <c r="C55" s="3120"/>
      <c r="D55" s="185">
        <f ca="1">IF(H55="个人住宅",0,ROUND(D45*I55,0))</f>
        <v>13</v>
      </c>
      <c r="E55" s="11" t="s">
        <v>2222</v>
      </c>
      <c r="F55" s="184">
        <f>IF(H55="正常",I55,"免征")</f>
        <v>5.0000000000000001E-4</v>
      </c>
      <c r="G55" s="2482"/>
      <c r="H55" s="2479" t="s">
        <v>2223</v>
      </c>
      <c r="I55" s="186">
        <f>'数据-取费表'!B49</f>
        <v>5.0000000000000001E-4</v>
      </c>
      <c r="J55" s="1808" t="str">
        <f>IF(H59="非个人房产","",4)</f>
        <v/>
      </c>
      <c r="K55" s="3128" t="str">
        <f>IF(H59="非个人房产","——","个人所得税")</f>
        <v>——</v>
      </c>
      <c r="L55" s="3128"/>
      <c r="M55" s="1753" t="str">
        <f>D59</f>
        <v>——</v>
      </c>
      <c r="N55" s="1806" t="str">
        <f>E59</f>
        <v>——</v>
      </c>
      <c r="O55" s="1754" t="str">
        <f>F59</f>
        <v>——</v>
      </c>
    </row>
    <row r="56" spans="1:35" ht="24.75" hidden="1">
      <c r="A56" s="3129" t="s">
        <v>2224</v>
      </c>
      <c r="B56" s="3120"/>
      <c r="C56" s="3120"/>
      <c r="D56" s="185">
        <f ca="1">IF(H56="个人住宅",D57,D58)</f>
        <v>14562</v>
      </c>
      <c r="E56" s="11" t="s">
        <v>2225</v>
      </c>
      <c r="F56" s="184" t="str">
        <f>IF(H56="正常",F58,"免征")</f>
        <v>——</v>
      </c>
      <c r="G56" s="2484" t="s">
        <v>2226</v>
      </c>
      <c r="H56" s="2485" t="s">
        <v>2223</v>
      </c>
      <c r="I56" s="2486"/>
      <c r="J56" s="1808" t="str">
        <f>IF(项目基本情况!K6="上海银行",IF(J55="",4,J55+1),"")</f>
        <v/>
      </c>
      <c r="K56" s="3130" t="str">
        <f>IF(项目基本情况!K6="上海银行","其他处置费用","")</f>
        <v/>
      </c>
      <c r="L56" s="3131"/>
      <c r="M56" s="1750" t="str">
        <f>IF(项目基本情况!K6="上海银行",M69,"")</f>
        <v/>
      </c>
      <c r="N56" s="3138" t="str">
        <f>IF(项目基本情况!K6="上海银行","包含处置中涉及的律师、诉讼、拍卖、评估等费用","")</f>
        <v/>
      </c>
      <c r="O56" s="3139"/>
    </row>
    <row r="57" spans="1:35" ht="12.75" hidden="1">
      <c r="A57" s="183" t="s">
        <v>2199</v>
      </c>
      <c r="B57" s="3101" t="s">
        <v>2227</v>
      </c>
      <c r="C57" s="3103"/>
      <c r="D57" s="187">
        <v>0</v>
      </c>
      <c r="E57" s="23" t="s">
        <v>2201</v>
      </c>
      <c r="F57" s="155"/>
      <c r="G57" s="2482"/>
      <c r="H57" s="2486"/>
      <c r="I57" s="2486"/>
      <c r="J57" s="3128">
        <f>IF(AND(J55="",J56=""),4,IF(项目基本情况!K6="上海银行",结果表仓储!J56+1,结果表仓储!J55+1))</f>
        <v>4</v>
      </c>
      <c r="K57" s="3128" t="s">
        <v>2228</v>
      </c>
      <c r="L57" s="2487" t="s">
        <v>2229</v>
      </c>
      <c r="M57" s="1755"/>
      <c r="N57" s="1756">
        <f ca="1">SUMIF(M52:M56,"&lt;9e307")</f>
        <v>14575</v>
      </c>
      <c r="O57" s="2488"/>
      <c r="P57" s="1749" t="e">
        <f ca="1">N57/M49</f>
        <v>#VALUE!</v>
      </c>
    </row>
    <row r="58" spans="1:35" ht="24.75" hidden="1">
      <c r="A58" s="183" t="s">
        <v>2210</v>
      </c>
      <c r="B58" s="3101" t="s">
        <v>2230</v>
      </c>
      <c r="C58" s="3102"/>
      <c r="D58" s="185">
        <f ca="1">IF(H58="转让取得",C81,C97)</f>
        <v>14562</v>
      </c>
      <c r="E58" s="11" t="s">
        <v>2225</v>
      </c>
      <c r="F58" s="24" t="s">
        <v>34</v>
      </c>
      <c r="G58" s="2482"/>
      <c r="H58" s="2485" t="s">
        <v>2231</v>
      </c>
      <c r="I58" s="2486"/>
      <c r="J58" s="3128"/>
      <c r="K58" s="3128"/>
      <c r="L58" s="2487" t="s">
        <v>2232</v>
      </c>
      <c r="M58" s="1757"/>
      <c r="N58" s="2489" t="str">
        <f ca="1">NUMBERSTRING(INT(N57*10000),2)&amp;"元整"</f>
        <v>壹亿肆仟伍佰柒拾伍万元整</v>
      </c>
      <c r="O58" s="2490"/>
    </row>
    <row r="59" spans="1:35" ht="24.75" hidden="1"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42">
        <f>J57+1</f>
        <v>5</v>
      </c>
      <c r="K59" s="3128" t="s">
        <v>2235</v>
      </c>
      <c r="L59" s="1808" t="s">
        <v>2229</v>
      </c>
      <c r="M59" s="1758"/>
      <c r="N59" s="1759" t="e">
        <f ca="1">M49-N57</f>
        <v>#VALUE!</v>
      </c>
      <c r="O59" s="2492"/>
    </row>
    <row r="60" spans="1:35" ht="12" hidden="1" customHeight="1">
      <c r="A60" s="2493"/>
      <c r="B60" s="2415"/>
      <c r="C60" s="2415"/>
      <c r="D60" s="2415"/>
      <c r="E60" s="2164"/>
      <c r="F60" s="2486"/>
      <c r="G60" s="2486"/>
      <c r="H60" s="2494"/>
      <c r="I60" s="138"/>
      <c r="J60" s="3143"/>
      <c r="K60" s="3128"/>
      <c r="L60" s="2487" t="s">
        <v>2232</v>
      </c>
      <c r="M60" s="1757"/>
      <c r="N60" s="2489" t="e">
        <f ca="1">NUMBERSTRING(INT(N59*10000),2)&amp;"元整"</f>
        <v>#VALUE!</v>
      </c>
      <c r="O60" s="2490"/>
    </row>
    <row r="61" spans="1:35" ht="13.5" hidden="1" thickBot="1">
      <c r="A61" s="3132" t="s">
        <v>2236</v>
      </c>
      <c r="B61" s="3132"/>
      <c r="C61" s="3132"/>
      <c r="D61" s="3132"/>
      <c r="E61" s="3132"/>
      <c r="F61" s="2486"/>
      <c r="G61" s="2486"/>
      <c r="H61" s="2494"/>
      <c r="I61" s="138"/>
      <c r="J61" s="1808">
        <f>J59+1</f>
        <v>6</v>
      </c>
      <c r="K61" s="3128" t="s">
        <v>2237</v>
      </c>
      <c r="L61" s="3128"/>
      <c r="M61" s="1760"/>
      <c r="N61" s="1761" t="e">
        <f ca="1">ROUND(N59*10000/'数据-汇总表'!E3,0)</f>
        <v>#VALUE!</v>
      </c>
      <c r="O61" s="2495"/>
    </row>
    <row r="62" spans="1:35" ht="12.75" hidden="1">
      <c r="A62" s="3133" t="s">
        <v>2238</v>
      </c>
      <c r="B62" s="3134"/>
      <c r="C62" s="1800"/>
      <c r="D62" s="1800" t="s">
        <v>2239</v>
      </c>
      <c r="E62" s="192" t="s">
        <v>2240</v>
      </c>
      <c r="F62" s="2486"/>
      <c r="G62" s="2486"/>
      <c r="H62" s="2494"/>
      <c r="I62" s="138"/>
    </row>
    <row r="63" spans="1:35" ht="12.75" hidden="1">
      <c r="A63" s="203" t="s">
        <v>775</v>
      </c>
      <c r="B63" s="193" t="s">
        <v>2241</v>
      </c>
      <c r="C63" s="194">
        <f ca="1">ROUND((C64+C65)/(1+'数据-取费表'!C42),0)</f>
        <v>24503</v>
      </c>
      <c r="D63" s="195"/>
      <c r="E63" s="196"/>
      <c r="F63" s="2486"/>
      <c r="G63" s="2486"/>
      <c r="H63" s="2494"/>
      <c r="I63" s="138"/>
      <c r="J63" s="3135" t="s">
        <v>2242</v>
      </c>
      <c r="K63" s="2496" t="s">
        <v>2243</v>
      </c>
      <c r="L63" s="1748" t="e">
        <f>IF(M49&gt;10000,M49*0.5%,IF(AND(M49&gt;1000,M49&lt;=10000),M49*1%,IF(AND(M49&gt;100,M49&lt;=1000),M49*3%,IF(AND(M49&gt;10,M49&lt;=100),M49*5%,M49*8%))))</f>
        <v>#VALUE!</v>
      </c>
      <c r="M63" s="24" t="e">
        <f>ROUND(L63,1)</f>
        <v>#VALUE!</v>
      </c>
      <c r="Z63" s="2420"/>
      <c r="AI63" s="2421"/>
    </row>
    <row r="64" spans="1:35" ht="14.25" hidden="1" customHeight="1">
      <c r="A64" s="197" t="s">
        <v>770</v>
      </c>
      <c r="B64" s="198" t="s">
        <v>2244</v>
      </c>
      <c r="C64" s="199">
        <f ca="1">D45</f>
        <v>25728</v>
      </c>
      <c r="D64" s="200" t="s">
        <v>32</v>
      </c>
      <c r="E64" s="201"/>
      <c r="F64" s="2486"/>
      <c r="G64" s="2486"/>
      <c r="H64" s="2494"/>
      <c r="I64" s="138"/>
      <c r="J64" s="3135"/>
      <c r="K64" s="2496"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hidden="1" customHeight="1">
      <c r="A65" s="197" t="s">
        <v>771</v>
      </c>
      <c r="B65" s="198" t="s">
        <v>2247</v>
      </c>
      <c r="C65" s="202"/>
      <c r="D65" s="200"/>
      <c r="E65" s="201"/>
      <c r="F65" s="2486"/>
      <c r="G65" s="2486"/>
      <c r="H65" s="2494"/>
      <c r="I65" s="138"/>
      <c r="J65" s="3135"/>
      <c r="K65" s="2496" t="s">
        <v>2248</v>
      </c>
      <c r="L65" s="1748" t="e">
        <f>IF(M49&gt;1000,M49*0.1%,IF(AND(M49&gt;500,M49&lt;=1000),M49*0.5%,IF(AND(M49&gt;50,M49&lt;=500),M49*1%,IF(AND(M49&gt;1,M49&lt;=50),M49*1.5%))))</f>
        <v>#VALUE!</v>
      </c>
      <c r="M65" s="24" t="e">
        <f t="shared" si="1"/>
        <v>#VALUE!</v>
      </c>
      <c r="N65" s="138" t="s">
        <v>2246</v>
      </c>
      <c r="Z65" s="2420"/>
      <c r="AI65" s="2421"/>
    </row>
    <row r="66" spans="1:35" ht="14.25" hidden="1" customHeight="1">
      <c r="A66" s="203" t="s">
        <v>772</v>
      </c>
      <c r="B66" s="204" t="s">
        <v>2249</v>
      </c>
      <c r="C66" s="205"/>
      <c r="D66" s="206" t="s">
        <v>32</v>
      </c>
      <c r="E66" s="1772" t="s">
        <v>1371</v>
      </c>
      <c r="F66" s="2486"/>
      <c r="G66" s="2486"/>
      <c r="H66" s="2494"/>
      <c r="I66" s="138"/>
      <c r="J66" s="3135"/>
      <c r="K66" s="2496" t="s">
        <v>2250</v>
      </c>
      <c r="L66" s="1748" t="e">
        <f>M49*0.5%</f>
        <v>#VALUE!</v>
      </c>
      <c r="M66" s="24" t="e">
        <f>IF(L66&gt;0.5,0.5,ROUND(L66,0))</f>
        <v>#VALUE!</v>
      </c>
      <c r="N66" s="138" t="s">
        <v>2251</v>
      </c>
      <c r="Z66" s="2420"/>
      <c r="AI66" s="2421"/>
    </row>
    <row r="67" spans="1:35" ht="14.25" hidden="1" customHeight="1">
      <c r="A67" s="203" t="s">
        <v>773</v>
      </c>
      <c r="B67" s="204" t="s">
        <v>2252</v>
      </c>
      <c r="C67" s="207">
        <f ca="1">C63-C66</f>
        <v>24503</v>
      </c>
      <c r="D67" s="200" t="s">
        <v>32</v>
      </c>
      <c r="E67" s="201"/>
      <c r="F67" s="2486"/>
      <c r="G67" s="2486"/>
      <c r="H67" s="2494"/>
      <c r="I67" s="138"/>
      <c r="J67" s="3135"/>
      <c r="K67" s="2496"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hidden="1" customHeight="1" thickBot="1">
      <c r="A68" s="208" t="s">
        <v>774</v>
      </c>
      <c r="B68" s="209" t="s">
        <v>2254</v>
      </c>
      <c r="C68" s="210">
        <f ca="1">IF(C67&lt;=0,0,ROUND(C67*D68,0))</f>
        <v>1372</v>
      </c>
      <c r="D68" s="211">
        <f>'数据-取费表'!B41</f>
        <v>5.6000000000000001E-2</v>
      </c>
      <c r="E68" s="212"/>
      <c r="F68" s="2486"/>
      <c r="G68" s="2486"/>
      <c r="H68" s="2494"/>
      <c r="I68" s="138"/>
      <c r="J68" s="3135"/>
      <c r="K68" s="2496" t="s">
        <v>2255</v>
      </c>
      <c r="L68" s="1748" t="e">
        <f>IF(M49&gt;10000,M49*0.5%,IF(AND(M49&gt;5000,M49&lt;=10000),M49*1%,IF(AND(M49&gt;1000,M49&lt;=5000),M49*2%,IF(AND(M49&gt;200,M49&lt;=1000),M49*3%,M49*5%))))</f>
        <v>#VALUE!</v>
      </c>
      <c r="M68" s="24" t="e">
        <f>ROUND(L68,1)</f>
        <v>#VALUE!</v>
      </c>
      <c r="Z68" s="2420"/>
      <c r="AI68" s="2421"/>
    </row>
    <row r="69" spans="1:35" s="2443" customFormat="1" ht="16.5" hidden="1" customHeight="1">
      <c r="A69" s="2497"/>
      <c r="B69" s="2498"/>
      <c r="C69" s="2499"/>
      <c r="D69" s="2500"/>
      <c r="E69" s="2501"/>
      <c r="F69" s="2164"/>
      <c r="G69" s="2164"/>
      <c r="H69" s="2163"/>
      <c r="I69" s="2415"/>
      <c r="J69" s="3135"/>
      <c r="K69" s="2496"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36" t="s">
        <v>2257</v>
      </c>
      <c r="B70" s="3137"/>
      <c r="C70" s="3137"/>
      <c r="D70" s="3137"/>
      <c r="E70" s="3137"/>
      <c r="F70" s="3137"/>
      <c r="G70" s="3137"/>
      <c r="H70" s="313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33" t="s">
        <v>2238</v>
      </c>
      <c r="B71" s="3134"/>
      <c r="C71" s="1800"/>
      <c r="D71" s="1800"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2258</v>
      </c>
      <c r="C72" s="207">
        <f ca="1">ROUND(D45/(1+'数据-取费表'!C42),0)</f>
        <v>24503</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2259</v>
      </c>
      <c r="C73" s="207">
        <f ca="1">C74+C78</f>
        <v>147</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2260</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2265</v>
      </c>
      <c r="C76" s="200">
        <f>IF(F75="购房发票",ROUND(C75*H75*D76,0),0)</f>
        <v>0</v>
      </c>
      <c r="D76" s="222">
        <v>0.05</v>
      </c>
      <c r="E76" s="3126" t="s">
        <v>2266</v>
      </c>
      <c r="F76" s="3122"/>
      <c r="G76" s="3122"/>
      <c r="H76" s="315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0" t="s">
        <v>2269</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2270</v>
      </c>
      <c r="C78" s="225">
        <f ca="1">ROUND(D45*D78/(1+'数据-取费表'!C42),0)</f>
        <v>147</v>
      </c>
      <c r="D78" s="226">
        <f>'数据-取费表'!B43</f>
        <v>6.000000000000001E-3</v>
      </c>
      <c r="E78" s="3144" t="s">
        <v>2271</v>
      </c>
      <c r="F78" s="3145"/>
      <c r="G78" s="3145"/>
      <c r="H78" s="314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2272</v>
      </c>
      <c r="C79" s="207">
        <f ca="1">C72-C73</f>
        <v>24356</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2273</v>
      </c>
      <c r="C80" s="227">
        <f ca="1">IF(C79&lt;=0,0,C79/C73)</f>
        <v>165.68707482993196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2274</v>
      </c>
      <c r="C81" s="228">
        <f ca="1">ROUND(IF(C79&lt;=0,0,IF(C80&gt;=200%,C79*60%-C73*35%,IF(C80&gt;=100%,C79*50%-C73*15%,IF(C80&gt;=50%,C79*40%-C73*5%,IF(C80&lt;50%,C79*30%,0))))),0)</f>
        <v>14562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36" t="s">
        <v>2275</v>
      </c>
      <c r="B83" s="3137"/>
      <c r="C83" s="3137"/>
      <c r="D83" s="3137"/>
      <c r="E83" s="3137"/>
      <c r="F83" s="3137"/>
      <c r="G83" s="3137"/>
      <c r="H83" s="313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33" t="s">
        <v>2238</v>
      </c>
      <c r="B84" s="3134"/>
      <c r="C84" s="1800"/>
      <c r="D84" s="1800"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775</v>
      </c>
      <c r="B85" s="204" t="s">
        <v>2258</v>
      </c>
      <c r="C85" s="207">
        <f ca="1">ROUND(D45/(1+'数据-取费表'!C42),0)</f>
        <v>24503</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772</v>
      </c>
      <c r="B86" s="173" t="s">
        <v>2259</v>
      </c>
      <c r="C86" s="207">
        <f ca="1">IF(H88="仅含出让金",C87+C90+C91+C92+C93+C94,C87+C91+C92+C93+C94)</f>
        <v>147</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770</v>
      </c>
      <c r="B87" s="198" t="s">
        <v>2276</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776</v>
      </c>
      <c r="B88" s="198" t="s">
        <v>2277</v>
      </c>
      <c r="C88" s="236"/>
      <c r="D88" s="226"/>
      <c r="E88" s="237" t="s">
        <v>2278</v>
      </c>
      <c r="F88" s="1796"/>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777</v>
      </c>
      <c r="B89" s="198" t="s">
        <v>2267</v>
      </c>
      <c r="C89" s="225">
        <f>ROUND(C88*D89,0)</f>
        <v>0</v>
      </c>
      <c r="D89" s="226">
        <f>'数据-取费表'!B48+'数据-取费表'!B49</f>
        <v>3.0499999999999999E-2</v>
      </c>
      <c r="E89" s="237" t="s">
        <v>2280</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771</v>
      </c>
      <c r="B90" s="198" t="s">
        <v>2281</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2282</v>
      </c>
      <c r="B91" s="198" t="s">
        <v>2283</v>
      </c>
      <c r="C91" s="225">
        <f>IF(H91="——",成本法仓储!C33,I91)</f>
        <v>0</v>
      </c>
      <c r="D91" s="226"/>
      <c r="E91" s="3144" t="s">
        <v>2284</v>
      </c>
      <c r="F91" s="3145"/>
      <c r="G91" s="3145"/>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2286</v>
      </c>
      <c r="B92" s="198" t="s">
        <v>2287</v>
      </c>
      <c r="C92" s="225">
        <f>ROUND((C87+C90+C91)*D92,0)</f>
        <v>0</v>
      </c>
      <c r="D92" s="226">
        <v>0.1</v>
      </c>
      <c r="E92" s="3144" t="s">
        <v>2288</v>
      </c>
      <c r="F92" s="3145"/>
      <c r="G92" s="3145"/>
      <c r="H92" s="314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2289</v>
      </c>
      <c r="B93" s="198" t="s">
        <v>2270</v>
      </c>
      <c r="C93" s="225">
        <f ca="1">ROUND(D45*D93/(1+'数据-取费表'!C42),0)</f>
        <v>147</v>
      </c>
      <c r="D93" s="226">
        <f>'数据-取费表'!B43</f>
        <v>6.000000000000001E-3</v>
      </c>
      <c r="E93" s="3144" t="s">
        <v>2271</v>
      </c>
      <c r="F93" s="3145"/>
      <c r="G93" s="3145"/>
      <c r="H93" s="314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2290</v>
      </c>
      <c r="B94" s="198" t="s">
        <v>2291</v>
      </c>
      <c r="C94" s="236">
        <f>ROUND((C87+C90+C91)*D94,0)</f>
        <v>0</v>
      </c>
      <c r="D94" s="226">
        <v>0.2</v>
      </c>
      <c r="E94" s="3147" t="s">
        <v>2292</v>
      </c>
      <c r="F94" s="3148"/>
      <c r="G94" s="3148"/>
      <c r="H94" s="314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4" t="s">
        <v>2272</v>
      </c>
      <c r="C95" s="207">
        <f ca="1">ROUND(C85-C86,0)</f>
        <v>24356</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4" t="s">
        <v>2273</v>
      </c>
      <c r="C96" s="227">
        <f ca="1">IF(C95&lt;=0,0,C95/C86)</f>
        <v>165.68707482993196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9" t="s">
        <v>2274</v>
      </c>
      <c r="C97" s="228">
        <f ca="1">ROUND(IF(C95&lt;=0,0,IF(C96&gt;=200%,C95*60%-C86*35%,IF(C96&gt;=100%,C95*50%-C86*15%,IF(C96&gt;=50%,C95*40%-C86*5%,IF(C96&lt;50%,C95*30%,0))))),0)</f>
        <v>14562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6" t="s">
        <v>2294</v>
      </c>
      <c r="B100" s="3087"/>
      <c r="C100" s="3087"/>
      <c r="D100" s="3150"/>
      <c r="E100" s="3087" t="s">
        <v>2295</v>
      </c>
      <c r="F100" s="3087"/>
      <c r="G100" s="3087"/>
      <c r="H100" s="3150"/>
      <c r="I100" s="138"/>
    </row>
    <row r="101" spans="1:35" ht="18.75" customHeight="1">
      <c r="A101" s="3151" t="s">
        <v>2296</v>
      </c>
      <c r="B101" s="3152"/>
      <c r="C101" s="736" t="str">
        <f>C4</f>
        <v>成本法仓储</v>
      </c>
      <c r="D101" s="737" t="str">
        <f>D4</f>
        <v>收益法仓储</v>
      </c>
      <c r="E101" s="3153" t="s">
        <v>2297</v>
      </c>
      <c r="F101" s="3154"/>
      <c r="G101" s="2517" t="s">
        <v>2298</v>
      </c>
      <c r="H101" s="1044">
        <f ca="1">H118</f>
        <v>25728</v>
      </c>
      <c r="I101" s="138"/>
    </row>
    <row r="102" spans="1:35" ht="18.75" customHeight="1">
      <c r="A102" s="3155" t="s">
        <v>2299</v>
      </c>
      <c r="B102" s="2517" t="s">
        <v>2298</v>
      </c>
      <c r="C102" s="736">
        <f ca="1">C19</f>
        <v>9154</v>
      </c>
      <c r="D102" s="737">
        <f ca="1">D19</f>
        <v>42302</v>
      </c>
      <c r="E102" s="3153"/>
      <c r="F102" s="3154"/>
      <c r="G102" s="2517" t="s">
        <v>2300</v>
      </c>
      <c r="H102" s="371">
        <f ca="1">I118</f>
        <v>31200</v>
      </c>
      <c r="I102" s="138"/>
    </row>
    <row r="103" spans="1:35" ht="42.75" customHeight="1">
      <c r="A103" s="3155"/>
      <c r="B103" s="2517" t="s">
        <v>2300</v>
      </c>
      <c r="C103" s="738">
        <f ca="1">C20</f>
        <v>11101</v>
      </c>
      <c r="D103" s="739">
        <f ca="1">D20</f>
        <v>51298</v>
      </c>
      <c r="E103" s="3156" t="s">
        <v>2301</v>
      </c>
      <c r="F103" s="3157"/>
      <c r="G103" s="2518" t="s">
        <v>2302</v>
      </c>
      <c r="H103" s="1044">
        <f>IF(D36="正常操作",H104+H105+H106,H105+H106)</f>
        <v>0</v>
      </c>
      <c r="I103" s="138"/>
    </row>
    <row r="104" spans="1:35" ht="18.75" customHeight="1">
      <c r="A104" s="3155" t="s">
        <v>2303</v>
      </c>
      <c r="B104" s="2519" t="s">
        <v>2298</v>
      </c>
      <c r="C104" s="740">
        <f ca="1">H118</f>
        <v>25728</v>
      </c>
      <c r="D104" s="741"/>
      <c r="E104" s="2264" t="s">
        <v>2304</v>
      </c>
      <c r="F104" s="2256"/>
      <c r="G104" s="2518" t="s">
        <v>2302</v>
      </c>
      <c r="H104" s="1045">
        <f>IF(D36="同一抵押权人同一抵押物续贷",C36&amp;"（未扣减，详见特别提示）",C36)</f>
        <v>0</v>
      </c>
      <c r="I104" s="138"/>
    </row>
    <row r="105" spans="1:35" ht="18.75" customHeight="1" thickBot="1">
      <c r="A105" s="3164"/>
      <c r="B105" s="2520" t="s">
        <v>2300</v>
      </c>
      <c r="C105" s="742">
        <f ca="1">I118</f>
        <v>31200</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65" t="str">
        <f>IF(项目基本情况!E8="已注销","——","3.房地产抵押价值")</f>
        <v>3.房地产抵押价值</v>
      </c>
      <c r="F107" s="3154"/>
      <c r="G107" s="2517" t="s">
        <v>2298</v>
      </c>
      <c r="H107" s="1044">
        <f ca="1">IF(E107="——","——",H101-H103)</f>
        <v>25728</v>
      </c>
      <c r="I107" s="138"/>
    </row>
    <row r="108" spans="1:35" ht="18.75" customHeight="1">
      <c r="A108" s="138"/>
      <c r="B108" s="138"/>
      <c r="C108" s="138"/>
      <c r="D108" s="138"/>
      <c r="E108" s="3165"/>
      <c r="F108" s="3154"/>
      <c r="G108" s="2517" t="s">
        <v>2300</v>
      </c>
      <c r="H108" s="371">
        <f ca="1">ROUND(H107*10000/'数据-汇总表'!E3,0)</f>
        <v>6230</v>
      </c>
      <c r="I108" s="138"/>
    </row>
    <row r="109" spans="1:35" ht="18.75" customHeight="1">
      <c r="A109" s="138"/>
      <c r="B109" s="138"/>
      <c r="C109" s="138"/>
      <c r="D109" s="138"/>
      <c r="E109" s="3165" t="str">
        <f>IF(项目基本情况!E8="已注销及未注销","4.抵押担保权已注销时的房地产抵押价值",IF(项目基本情况!E8="已注销","3.抵押担保权已注销时的房地产抵押价值","——"))</f>
        <v>——</v>
      </c>
      <c r="F109" s="3154"/>
      <c r="G109" s="2517" t="s">
        <v>2298</v>
      </c>
      <c r="H109" s="348" t="str">
        <f>IF(E109="——","——",H101-H105-H106)</f>
        <v>——</v>
      </c>
      <c r="I109" s="138"/>
    </row>
    <row r="110" spans="1:35" ht="18.75" customHeight="1">
      <c r="A110" s="138"/>
      <c r="B110" s="138"/>
      <c r="C110" s="138"/>
      <c r="D110" s="138"/>
      <c r="E110" s="3165"/>
      <c r="F110" s="3154"/>
      <c r="G110" s="2517" t="s">
        <v>2300</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7" t="s">
        <v>2298</v>
      </c>
      <c r="H111" s="1044" t="str">
        <f>IF(E111="——","——",N59)</f>
        <v>——</v>
      </c>
      <c r="I111" s="138"/>
    </row>
    <row r="112" spans="1:35" ht="18.75" customHeight="1" thickBot="1">
      <c r="A112" s="138"/>
      <c r="B112" s="138"/>
      <c r="C112" s="138"/>
      <c r="D112" s="138"/>
      <c r="E112" s="3168"/>
      <c r="F112" s="3169"/>
      <c r="G112" s="2522" t="s">
        <v>2300</v>
      </c>
      <c r="H112" s="790" t="str">
        <f>IF(E111="——","——",N61)</f>
        <v>——</v>
      </c>
      <c r="I112" s="138"/>
    </row>
    <row r="113" spans="1:11" ht="18.75" customHeight="1">
      <c r="A113" s="138"/>
      <c r="B113" s="138"/>
      <c r="C113" s="138"/>
      <c r="D113" s="138"/>
      <c r="E113" s="3170" t="s">
        <v>2306</v>
      </c>
      <c r="F113" s="3170"/>
      <c r="G113" s="3170"/>
      <c r="H113" s="3170"/>
      <c r="I113" s="138"/>
    </row>
    <row r="114" spans="1:11" ht="3.75" customHeight="1">
      <c r="A114" s="2415"/>
      <c r="B114" s="2415"/>
      <c r="C114" s="2415"/>
      <c r="D114" s="2415"/>
      <c r="E114" s="2493"/>
      <c r="F114" s="2493"/>
      <c r="G114" s="2493"/>
      <c r="H114" s="2493"/>
      <c r="I114" s="2415"/>
    </row>
    <row r="115" spans="1:11" ht="18.75" customHeight="1">
      <c r="A115" s="3171" t="s">
        <v>2308</v>
      </c>
      <c r="B115" s="3172"/>
      <c r="C115" s="3172"/>
      <c r="D115" s="3172"/>
      <c r="E115" s="3172"/>
      <c r="F115" s="3172"/>
      <c r="G115" s="3172"/>
      <c r="H115" s="3172"/>
      <c r="I115" s="3173"/>
    </row>
    <row r="116" spans="1:11" ht="27" customHeight="1">
      <c r="A116" s="3065" t="s">
        <v>2309</v>
      </c>
      <c r="B116" s="3159" t="s">
        <v>2310</v>
      </c>
      <c r="C116" s="3159" t="s">
        <v>2311</v>
      </c>
      <c r="D116" s="3161" t="s">
        <v>2312</v>
      </c>
      <c r="E116" s="3162"/>
      <c r="F116" s="3163" t="s">
        <v>2313</v>
      </c>
      <c r="G116" s="3163"/>
      <c r="H116" s="3065" t="s">
        <v>2314</v>
      </c>
      <c r="I116" s="3065"/>
    </row>
    <row r="117" spans="1:11" ht="18.75" customHeight="1">
      <c r="A117" s="3065"/>
      <c r="B117" s="3160"/>
      <c r="C117" s="3160"/>
      <c r="D117" s="1794" t="s">
        <v>2315</v>
      </c>
      <c r="E117" s="1794" t="s">
        <v>2316</v>
      </c>
      <c r="F117" s="1794" t="s">
        <v>2315</v>
      </c>
      <c r="G117" s="1794" t="s">
        <v>2317</v>
      </c>
      <c r="H117" s="1794" t="s">
        <v>2315</v>
      </c>
      <c r="I117" s="1794" t="s">
        <v>2317</v>
      </c>
    </row>
    <row r="118" spans="1:11" ht="24.75" customHeight="1">
      <c r="A118" s="2523" t="str">
        <f>项目基本情况!S2</f>
        <v>北京市房地产</v>
      </c>
      <c r="B118" s="1794">
        <f>M18</f>
        <v>8246.2800000000007</v>
      </c>
      <c r="C118" s="1794">
        <f>M19</f>
        <v>2659.1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25728</v>
      </c>
      <c r="I118" s="1794">
        <f ca="1">ROUND(IF(D32="楼面单价",C32,H118*10000/B118),0)</f>
        <v>31200</v>
      </c>
    </row>
    <row r="119" spans="1:11" ht="18.75" customHeight="1">
      <c r="A119" s="3065" t="s">
        <v>2318</v>
      </c>
      <c r="B119" s="3065"/>
      <c r="C119" s="3065"/>
      <c r="D119" s="3177" t="e">
        <f ca="1">NUMBERSTRING(INT(D118*10000),2)&amp;"元整"</f>
        <v>#REF!</v>
      </c>
      <c r="E119" s="3179"/>
      <c r="F119" s="3177" t="e">
        <f ca="1">NUMBERSTRING(INT(F118*10000),2)&amp;"元整"</f>
        <v>#REF!</v>
      </c>
      <c r="G119" s="3179"/>
      <c r="H119" s="3177" t="str">
        <f ca="1">NUMBERSTRING(INT(H118*10000),2)&amp;"元整"</f>
        <v>贰亿伍仟柒佰贰拾捌万元整</v>
      </c>
      <c r="I119" s="3179"/>
    </row>
    <row r="120" spans="1:11" ht="18.75" customHeight="1">
      <c r="A120" s="3181" t="str">
        <f>IF(项目基本情况!B9="房地产市场价值","",MID(E103,3,LEN(E103)-2))</f>
        <v/>
      </c>
      <c r="B120" s="3182"/>
      <c r="C120" s="3183"/>
      <c r="D120" s="3181">
        <f>H103</f>
        <v>0</v>
      </c>
      <c r="E120" s="3182"/>
      <c r="F120" s="3182"/>
      <c r="G120" s="3182"/>
      <c r="H120" s="3182"/>
      <c r="I120" s="3183"/>
      <c r="K120" s="2420" t="str">
        <f>IF(D120=0,"故，本次评估不存在"&amp;A120,"故，本次评估"&amp;A120&amp;"为人民币"&amp;D120&amp;"万元整。")</f>
        <v>故，本次评估不存在</v>
      </c>
    </row>
    <row r="121" spans="1:11" ht="18.75" customHeight="1">
      <c r="A121" s="3174" t="s">
        <v>2318</v>
      </c>
      <c r="B121" s="3175"/>
      <c r="C121" s="3176"/>
      <c r="D121" s="3177" t="str">
        <f>IF(D120=0,"零元整",NUMBERSTRING(INT(D120*10000),2)&amp;"元整")</f>
        <v>零元整</v>
      </c>
      <c r="E121" s="3178"/>
      <c r="F121" s="3178"/>
      <c r="G121" s="3178"/>
      <c r="H121" s="3178"/>
      <c r="I121" s="3179"/>
    </row>
    <row r="122" spans="1:11" ht="18.75" customHeight="1">
      <c r="A122" s="3180" t="str">
        <f>IF(项目基本情况!B9="房地产市场价值","",MID(E107,3,LEN(E107)-2))</f>
        <v/>
      </c>
      <c r="B122" s="3180"/>
      <c r="C122" s="3180"/>
      <c r="D122" s="3181">
        <f ca="1">H107</f>
        <v>25728</v>
      </c>
      <c r="E122" s="3182"/>
      <c r="F122" s="3182"/>
      <c r="G122" s="3182"/>
      <c r="H122" s="3182"/>
      <c r="I122" s="3183"/>
    </row>
    <row r="123" spans="1:11" ht="18.75" customHeight="1">
      <c r="A123" s="3065" t="s">
        <v>2318</v>
      </c>
      <c r="B123" s="3065"/>
      <c r="C123" s="3065"/>
      <c r="D123" s="3177" t="str">
        <f ca="1">NUMBERSTRING(INT(D122*10000),2)&amp;"元整"</f>
        <v>贰亿伍仟柒佰贰拾捌万元整</v>
      </c>
      <c r="E123" s="3178"/>
      <c r="F123" s="3178"/>
      <c r="G123" s="3178"/>
      <c r="H123" s="3178"/>
      <c r="I123" s="3179"/>
    </row>
    <row r="124" spans="1:11" ht="18.75" customHeight="1">
      <c r="A124" s="3180" t="str">
        <f>IF(项目基本情况!B9="房地产市场价值","",MID(E109,3,LEN(E109)-2))</f>
        <v/>
      </c>
      <c r="B124" s="3180"/>
      <c r="C124" s="3180"/>
      <c r="D124" s="3181" t="str">
        <f>H109</f>
        <v>——</v>
      </c>
      <c r="E124" s="3182"/>
      <c r="F124" s="3182"/>
      <c r="G124" s="3182"/>
      <c r="H124" s="3182"/>
      <c r="I124" s="3183"/>
    </row>
    <row r="125" spans="1:11" ht="18.75" customHeight="1">
      <c r="A125" s="3065" t="s">
        <v>2318</v>
      </c>
      <c r="B125" s="3065"/>
      <c r="C125" s="3065"/>
      <c r="D125" s="3177" t="e">
        <f>NUMBERSTRING(INT(D124*10000),2)&amp;"元整"</f>
        <v>#VALUE!</v>
      </c>
      <c r="E125" s="3178"/>
      <c r="F125" s="3178"/>
      <c r="G125" s="3178"/>
      <c r="H125" s="3178"/>
      <c r="I125" s="3179"/>
    </row>
    <row r="126" spans="1:11" ht="18.75" customHeight="1">
      <c r="A126" s="3180" t="str">
        <f>IF(项目基本情况!B9="房地产市场价值","",MID(E111,3,LEN(E111)-2))</f>
        <v/>
      </c>
      <c r="B126" s="3180"/>
      <c r="C126" s="3180"/>
      <c r="D126" s="3181" t="str">
        <f>H111</f>
        <v>——</v>
      </c>
      <c r="E126" s="3182"/>
      <c r="F126" s="3182"/>
      <c r="G126" s="3182"/>
      <c r="H126" s="3182"/>
      <c r="I126" s="3183"/>
    </row>
    <row r="127" spans="1:11" ht="18.75" customHeight="1">
      <c r="A127" s="3065" t="s">
        <v>2318</v>
      </c>
      <c r="B127" s="3065"/>
      <c r="C127" s="3065"/>
      <c r="D127" s="3177" t="e">
        <f>NUMBERSTRING(INT(D126*10000),2)&amp;"元整"</f>
        <v>#VALUE!</v>
      </c>
      <c r="E127" s="3178"/>
      <c r="F127" s="3178"/>
      <c r="G127" s="3178"/>
      <c r="H127" s="3178"/>
      <c r="I127" s="3179"/>
    </row>
    <row r="128" spans="1:11" ht="21.75" customHeight="1">
      <c r="A128" s="3184" t="s">
        <v>2319</v>
      </c>
      <c r="B128" s="3184"/>
      <c r="C128" s="3184"/>
      <c r="D128" s="3184"/>
      <c r="E128" s="3184"/>
      <c r="F128" s="3184"/>
      <c r="G128" s="3184"/>
      <c r="H128" s="3184"/>
      <c r="I128" s="3184"/>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3068</v>
      </c>
      <c r="C1" s="242"/>
      <c r="D1" s="242"/>
      <c r="E1" s="242"/>
      <c r="F1" s="242"/>
      <c r="G1" s="1378">
        <f>MATCH(B1,'数据-取费表'!A6:A16,0)+5</f>
        <v>7</v>
      </c>
    </row>
    <row r="2" spans="1:9" s="244" customFormat="1" ht="18" customHeight="1">
      <c r="A2" s="245" t="s">
        <v>2328</v>
      </c>
      <c r="B2" s="246">
        <f ca="1">IF(D2="——",C52,C52-E2)</f>
        <v>9154</v>
      </c>
      <c r="C2" s="243" t="s">
        <v>2329</v>
      </c>
      <c r="D2" s="2546" t="s">
        <v>70</v>
      </c>
      <c r="E2" s="1439" t="e">
        <f ca="1">SUMIF(INDIRECT("'"&amp;G2&amp;"'"&amp;"!A:A"),"承租人权益价值",INDIRECT("'"&amp;G2&amp;"'"&amp;"!c:c"))</f>
        <v>#REF!</v>
      </c>
      <c r="F2" s="2547" t="s">
        <v>2329</v>
      </c>
      <c r="G2" s="2548"/>
    </row>
    <row r="3" spans="1:9" s="244" customFormat="1" ht="18" customHeight="1" thickBot="1">
      <c r="A3" s="247" t="s">
        <v>2330</v>
      </c>
      <c r="B3" s="248">
        <f ca="1">ROUND(B2*10000/(IF(B1="",'数据-汇总表'!E3,INDIRECT("'数据-取费表'!k"&amp;$G$1))),0)</f>
        <v>11101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3363</v>
      </c>
      <c r="D5" s="255" t="s">
        <v>2335</v>
      </c>
      <c r="E5" s="256" t="s">
        <v>2336</v>
      </c>
      <c r="F5" s="256" t="s">
        <v>2337</v>
      </c>
      <c r="G5" s="257"/>
    </row>
    <row r="6" spans="1:9" s="258" customFormat="1" ht="13.5" customHeight="1">
      <c r="A6" s="948" t="s">
        <v>2338</v>
      </c>
      <c r="B6" s="259" t="s">
        <v>2339</v>
      </c>
      <c r="C6" s="260">
        <f ca="1">基准地价修正!E38</f>
        <v>3263</v>
      </c>
      <c r="D6" s="261"/>
      <c r="E6" s="262"/>
      <c r="F6" s="262"/>
      <c r="G6" s="263"/>
    </row>
    <row r="7" spans="1:9" s="258" customFormat="1" ht="13.5" customHeight="1">
      <c r="A7" s="948" t="s">
        <v>2340</v>
      </c>
      <c r="B7" s="259" t="s">
        <v>2341</v>
      </c>
      <c r="C7" s="264">
        <f ca="1">ROUND(C6*F7,0)</f>
        <v>100</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49" t="s">
        <v>1148</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160</v>
      </c>
      <c r="F9" s="265"/>
      <c r="G9" s="2550" t="s">
        <v>3161</v>
      </c>
      <c r="H9" s="1389"/>
      <c r="I9" s="2551" t="s">
        <v>2345</v>
      </c>
    </row>
    <row r="10" spans="1:9" s="258" customFormat="1" ht="13.5" customHeight="1">
      <c r="A10" s="949" t="s">
        <v>801</v>
      </c>
      <c r="B10" s="268" t="s">
        <v>2346</v>
      </c>
      <c r="C10" s="269">
        <f ca="1">ROUND(D10*E10/10000,0)</f>
        <v>165</v>
      </c>
      <c r="D10" s="1031">
        <f ca="1">IF(B1="",'数据-汇总表'!E6,IF(INDIRECT("'数据-取费表'!c"&amp;$G$1)="住宅",INDIRECT("'数据-取费表'!s"&amp;$G$1),INDIRECT("'数据-取费表'!k"&amp;$G$1)+INDIRECT("'数据-取费表'!s"&amp;$G$1)))</f>
        <v>8246.2800000000007</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165</v>
      </c>
      <c r="D19" s="1035">
        <f ca="1">D9+D10</f>
        <v>8246.2800000000007</v>
      </c>
      <c r="E19" s="255">
        <f>'数据-取费表'!B31</f>
        <v>200</v>
      </c>
      <c r="F19" s="275"/>
      <c r="G19" s="2549" t="s">
        <v>1074</v>
      </c>
    </row>
    <row r="20" spans="1:7" s="258" customFormat="1" ht="13.5" customHeight="1">
      <c r="A20" s="299" t="s">
        <v>2359</v>
      </c>
      <c r="B20" s="254" t="s">
        <v>2360</v>
      </c>
      <c r="C20" s="276">
        <f ca="1">ROUND((C5+C19)*F20,0)</f>
        <v>106</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348</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327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16</v>
      </c>
      <c r="D24" s="282"/>
      <c r="E24" s="282"/>
      <c r="F24" s="283"/>
      <c r="G24" s="284" t="s">
        <v>2373</v>
      </c>
    </row>
    <row r="25" spans="1:7" s="258" customFormat="1" ht="24">
      <c r="A25" s="950" t="s">
        <v>2374</v>
      </c>
      <c r="B25" s="259" t="s">
        <v>2375</v>
      </c>
      <c r="C25" s="1354">
        <f ca="1">ROUND(IF('数据-取费表'!B22&lt;=1,C20*F22*'数据-取费表'!B23/2,C20*(POWER((1+F22),'数据-取费表'!B23/2)-1)),0)</f>
        <v>5</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909</v>
      </c>
      <c r="D27" s="279">
        <f ca="1">C29</f>
        <v>7.4999999999999997E-3</v>
      </c>
      <c r="E27" s="280" t="s">
        <v>2380</v>
      </c>
      <c r="F27" s="290">
        <f ca="1">IF(B1="",'数据-取费表'!Q16,INDIRECT("'数据-取费表'!q"&amp;$G$1))</f>
        <v>0.25</v>
      </c>
      <c r="G27" s="291" t="s">
        <v>2381</v>
      </c>
    </row>
    <row r="28" spans="1:7" s="258" customFormat="1" ht="13.5" customHeight="1">
      <c r="A28" s="950" t="s">
        <v>791</v>
      </c>
      <c r="B28" s="292" t="s">
        <v>2382</v>
      </c>
      <c r="C28" s="293">
        <f ca="1">ROUND((C5+C19+C20)*F27*'数据-取费表'!B21/'数据-取费表'!B20,0)</f>
        <v>909</v>
      </c>
      <c r="D28" s="279"/>
      <c r="E28" s="280"/>
      <c r="F28" s="290"/>
      <c r="G28" s="291"/>
    </row>
    <row r="29" spans="1:7" s="258" customFormat="1" ht="13.5" customHeight="1">
      <c r="A29" s="950" t="s">
        <v>792</v>
      </c>
      <c r="B29" s="292" t="s">
        <v>2383</v>
      </c>
      <c r="C29" s="282">
        <f ca="1">ROUND(C21*F27*'数据-取费表'!B21/'数据-取费表'!B20,4)</f>
        <v>7.4999999999999997E-3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5388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2750</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2474</v>
      </c>
      <c r="D34" s="261"/>
      <c r="E34" s="264"/>
      <c r="F34" s="301">
        <f ca="1">IF('数据-取费表'!B24=0,1,IF(B1="",'数据-取费表'!N16,INDIRECT("'数据-取费表'!n"&amp;$G$1)))</f>
        <v>1</v>
      </c>
      <c r="G34" s="263" t="s">
        <v>2392</v>
      </c>
    </row>
    <row r="35" spans="1:7" ht="13.5" customHeight="1">
      <c r="A35" s="950" t="s">
        <v>796</v>
      </c>
      <c r="B35" s="259" t="s">
        <v>2393</v>
      </c>
      <c r="C35" s="264">
        <f ca="1">ROUND(C34*F35,0)</f>
        <v>74</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2396</v>
      </c>
    </row>
    <row r="37" spans="1:7" s="302" customFormat="1" ht="13.5" customHeight="1">
      <c r="A37" s="950" t="s">
        <v>798</v>
      </c>
      <c r="B37" s="259" t="s">
        <v>2397</v>
      </c>
      <c r="C37" s="293">
        <f ca="1">ROUND(E37*D37*F34/10000,0)</f>
        <v>165</v>
      </c>
      <c r="D37" s="261">
        <f ca="1">D19</f>
        <v>8246.2800000000007</v>
      </c>
      <c r="E37" s="293">
        <f>'数据-取费表'!B35</f>
        <v>200</v>
      </c>
      <c r="F37" s="303"/>
      <c r="G37" s="305" t="s">
        <v>2398</v>
      </c>
    </row>
    <row r="38" spans="1:7" ht="13.5" customHeight="1">
      <c r="A38" s="950" t="s">
        <v>799</v>
      </c>
      <c r="B38" s="259" t="s">
        <v>2399</v>
      </c>
      <c r="C38" s="264">
        <f ca="1">ROUND(C34*F38,0)</f>
        <v>37</v>
      </c>
      <c r="D38" s="264"/>
      <c r="E38" s="264"/>
      <c r="F38" s="303">
        <f>'数据-取费表'!B36</f>
        <v>1.4999999999999999E-2</v>
      </c>
      <c r="G38" s="263" t="s">
        <v>2394</v>
      </c>
    </row>
    <row r="39" spans="1:7" s="258" customFormat="1" ht="13.5" customHeight="1">
      <c r="A39" s="299" t="s">
        <v>2400</v>
      </c>
      <c r="B39" s="254" t="s">
        <v>2401</v>
      </c>
      <c r="C39" s="276">
        <f ca="1">ROUND(C33*F20,0)</f>
        <v>83</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135</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131</v>
      </c>
      <c r="D42" s="282"/>
      <c r="E42" s="282"/>
      <c r="F42" s="283"/>
      <c r="G42" s="3239" t="s">
        <v>2410</v>
      </c>
    </row>
    <row r="43" spans="1:7" ht="13.5" customHeight="1">
      <c r="A43" s="950" t="s">
        <v>792</v>
      </c>
      <c r="B43" s="259" t="s">
        <v>2411</v>
      </c>
      <c r="C43" s="282">
        <f ca="1">ROUND(IF('数据-取费表'!B22&lt;=1,C39*F22*'数据-取费表'!B21/2,C39*(POWER((1+F22),'数据-取费表'!B21/2)-1)),0)</f>
        <v>4</v>
      </c>
      <c r="D43" s="282"/>
      <c r="E43" s="282"/>
      <c r="F43" s="283"/>
      <c r="G43" s="3240"/>
    </row>
    <row r="44" spans="1:7" ht="13.5" customHeight="1">
      <c r="A44" s="950" t="s">
        <v>793</v>
      </c>
      <c r="B44" s="259" t="s">
        <v>2412</v>
      </c>
      <c r="C44" s="282">
        <f ca="1">ROUND(IF('数据-取费表'!B22&lt;=1,C40*F22*'数据-取费表'!B21/2,C40*(POWER((1+F22),'数据-取费表'!B21/2)-1)),4)</f>
        <v>1.4E-3</v>
      </c>
      <c r="D44" s="282"/>
      <c r="E44" s="282"/>
      <c r="F44" s="283"/>
      <c r="G44" s="3241"/>
    </row>
    <row r="45" spans="1:7" s="258" customFormat="1" ht="13.5" customHeight="1">
      <c r="A45" s="299" t="s">
        <v>2413</v>
      </c>
      <c r="B45" s="288" t="s">
        <v>2379</v>
      </c>
      <c r="C45" s="289">
        <f ca="1">C46</f>
        <v>708</v>
      </c>
      <c r="D45" s="279">
        <f ca="1">C47</f>
        <v>7.4999999999999997E-3</v>
      </c>
      <c r="E45" s="280" t="s">
        <v>2405</v>
      </c>
      <c r="F45" s="290"/>
      <c r="G45" s="291" t="s">
        <v>2414</v>
      </c>
    </row>
    <row r="46" spans="1:7" s="258" customFormat="1" ht="13.5" customHeight="1">
      <c r="A46" s="950" t="s">
        <v>791</v>
      </c>
      <c r="B46" s="292" t="s">
        <v>2415</v>
      </c>
      <c r="C46" s="293">
        <f ca="1">ROUND((C33+C39)*F27,0)</f>
        <v>708</v>
      </c>
      <c r="D46" s="307"/>
      <c r="E46" s="280"/>
      <c r="F46" s="290"/>
      <c r="G46" s="291"/>
    </row>
    <row r="47" spans="1:7" s="258" customFormat="1" ht="13.5" customHeight="1">
      <c r="A47" s="950" t="s">
        <v>792</v>
      </c>
      <c r="B47" s="292" t="s">
        <v>2416</v>
      </c>
      <c r="C47" s="282">
        <f ca="1">ROUND(C40*F27,4)</f>
        <v>7.4999999999999997E-3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4049</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3766</v>
      </c>
      <c r="D51" s="276"/>
      <c r="E51" s="276"/>
      <c r="F51" s="308"/>
      <c r="G51" s="278" t="s">
        <v>2426</v>
      </c>
    </row>
    <row r="52" spans="1:7" s="252" customFormat="1" ht="16.5" thickBot="1">
      <c r="A52" s="309" t="s">
        <v>2427</v>
      </c>
      <c r="B52" s="310"/>
      <c r="C52" s="311">
        <f ca="1">C31+C51</f>
        <v>9154</v>
      </c>
      <c r="D52" s="310"/>
      <c r="E52" s="310"/>
      <c r="F52" s="310"/>
      <c r="G52" s="312"/>
    </row>
    <row r="55" spans="1:7" ht="15">
      <c r="B55" s="314" t="s">
        <v>2428</v>
      </c>
      <c r="C55" s="315"/>
    </row>
    <row r="56" spans="1:7">
      <c r="B56" s="317" t="s">
        <v>1513</v>
      </c>
      <c r="C56" s="319">
        <f ca="1">1-C57</f>
        <v>0.58899999999999997</v>
      </c>
    </row>
    <row r="57" spans="1:7">
      <c r="B57" s="317" t="s">
        <v>1514</v>
      </c>
      <c r="C57" s="318">
        <f ca="1">ROUND(C51/C52,3)</f>
        <v>0.41099999999999998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8" sqref="G68"/>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2805</v>
      </c>
      <c r="B1" s="241"/>
      <c r="C1" s="245" t="s">
        <v>2806</v>
      </c>
      <c r="D1" s="388">
        <f>SUM(D29:D30,D33:D39)</f>
        <v>15374.580000000002</v>
      </c>
      <c r="E1" s="2715"/>
      <c r="F1" s="2715"/>
      <c r="G1" s="2715"/>
      <c r="H1" s="2715"/>
      <c r="I1" s="2715"/>
      <c r="J1" s="2715"/>
      <c r="K1" s="1369"/>
      <c r="L1" s="2716" t="s">
        <v>2807</v>
      </c>
      <c r="M1" s="1079">
        <f>SUMPRODUCT((区片价!B5:B9=I2)*(区片价!C3:F3=E2)*(区片价!C5:F9))</f>
        <v>0</v>
      </c>
      <c r="N1" s="1082">
        <f>SUMPRODUCT((因素修正幅度!B5:B9=I2)*(因素修正幅度!C3:F3=E2)*(因素修正幅度!C5:F9))</f>
        <v>0</v>
      </c>
      <c r="O1" s="2717"/>
      <c r="P1" s="2717"/>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f ca="1">C26</f>
        <v>5520</v>
      </c>
      <c r="C2" s="2719" t="s">
        <v>2814</v>
      </c>
      <c r="D2" s="2720" t="s">
        <v>2815</v>
      </c>
      <c r="E2" s="2721" t="s">
        <v>27</v>
      </c>
      <c r="F2" s="2720" t="s">
        <v>2816</v>
      </c>
      <c r="G2" s="2722" t="str">
        <f>IF(E2="商业",项目基本情况!B37,IF(E2="办公",项目基本情况!C37,IF(E2="住宅",项目基本情况!D37,项目基本情况!E37)))</f>
        <v>五级</v>
      </c>
      <c r="H2" s="2720" t="s">
        <v>2817</v>
      </c>
      <c r="I2" s="2722" t="str">
        <f>IF(E2="商业",项目基本情况!B38,IF(E2="办公",项目基本情况!C38,IF(E2="住宅",项目基本情况!D38,项目基本情况!E38)))</f>
        <v>Ⅴ-05</v>
      </c>
      <c r="J2" s="2723"/>
      <c r="K2" s="1369"/>
      <c r="L2" s="2724"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26537</v>
      </c>
      <c r="U2" s="1602"/>
      <c r="V2" s="1601">
        <f ca="1">ROUND(T2*U2/10000,0)</f>
        <v>0</v>
      </c>
      <c r="W2" s="1605"/>
      <c r="X2" s="1605"/>
      <c r="Y2" s="1605"/>
      <c r="Z2" s="1605"/>
      <c r="AA2" s="1605"/>
      <c r="AB2" s="1605"/>
      <c r="AC2" s="1606"/>
      <c r="AD2" s="1607"/>
      <c r="AE2" s="1607"/>
      <c r="AF2" s="1607"/>
      <c r="AG2" s="1607"/>
      <c r="AH2" s="1607"/>
      <c r="AI2" s="1607"/>
      <c r="AJ2" s="1608"/>
    </row>
    <row r="3" spans="1:36" ht="15.75">
      <c r="A3" s="247" t="s">
        <v>2819</v>
      </c>
      <c r="B3" s="248">
        <f ca="1">ROUND(B2*10000/D1,0)</f>
        <v>3590</v>
      </c>
      <c r="C3" s="2719" t="s">
        <v>2820</v>
      </c>
      <c r="D3" s="2720" t="s">
        <v>2821</v>
      </c>
      <c r="E3" s="2725" t="s">
        <v>3151</v>
      </c>
      <c r="F3" s="2726" t="s">
        <v>2822</v>
      </c>
      <c r="G3" s="912">
        <f>IF(F3="宗地容积率",'数据-汇总表'!I4,IF(F3="估价对象容积率",'数据-汇总表'!I6,'数据-汇总表'!I7))</f>
        <v>1.95</v>
      </c>
      <c r="H3" s="198" t="s">
        <v>2823</v>
      </c>
      <c r="I3" s="943"/>
      <c r="J3" s="2723" t="s">
        <v>2824</v>
      </c>
      <c r="K3" s="1369"/>
      <c r="L3" s="2724"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19048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56"/>
      <c r="B4" s="3257"/>
      <c r="C4" s="3257"/>
      <c r="D4" s="3258"/>
      <c r="E4" s="3258"/>
      <c r="F4" s="3258"/>
      <c r="G4" s="3258"/>
      <c r="H4" s="3258"/>
      <c r="I4" s="3258"/>
      <c r="J4" s="3259"/>
      <c r="K4" s="1369"/>
      <c r="L4" s="2724"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15367</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2827</v>
      </c>
      <c r="C5" s="913">
        <f>ROUND(IF(E2="商业",IF(F16="增加",C6*C7+C16,C6*C7-C16),IF(E2="住宅",IF(F16="增加",C6*C12+C16,C6*C12-C16),IF(F16="增加",C6+C16,C6-C16))),0)</f>
        <v>12334</v>
      </c>
      <c r="D5" s="1786">
        <f>ROUND(IF(E2="商业",IF(F16="增加",C6+C16,C6-C16)),0)</f>
        <v>0</v>
      </c>
      <c r="E5" s="2729"/>
      <c r="F5" s="2729"/>
      <c r="G5" s="2730"/>
      <c r="H5" s="2730"/>
      <c r="I5" s="2730"/>
      <c r="J5" s="2731"/>
      <c r="K5" s="2732"/>
      <c r="L5" s="2724"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12330</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2829</v>
      </c>
      <c r="B6" s="2738" t="s">
        <v>2830</v>
      </c>
      <c r="C6" s="914">
        <f>SUMIF(L1:L12,G2,M1:M12)</f>
        <v>12370</v>
      </c>
      <c r="D6" s="2739" t="s">
        <v>2831</v>
      </c>
      <c r="E6" s="2740"/>
      <c r="F6" s="2740"/>
      <c r="G6" s="2741"/>
      <c r="H6" s="2741"/>
      <c r="I6" s="2741"/>
      <c r="J6" s="2742"/>
      <c r="K6" s="1841"/>
      <c r="L6" s="2724"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10500</v>
      </c>
      <c r="U6" s="1602"/>
      <c r="V6" s="1601">
        <f t="shared" ca="1" si="1"/>
        <v>0</v>
      </c>
      <c r="W6" s="1605"/>
      <c r="X6" s="1605"/>
      <c r="Y6" s="1605"/>
      <c r="Z6" s="1605"/>
      <c r="AA6" s="1605"/>
      <c r="AB6" s="1605"/>
      <c r="AC6" s="2733"/>
      <c r="AD6" s="2734"/>
      <c r="AE6" s="2734"/>
      <c r="AF6" s="2734"/>
      <c r="AG6" s="2734"/>
      <c r="AH6" s="2734"/>
      <c r="AI6" s="2734"/>
      <c r="AJ6" s="2735"/>
    </row>
    <row r="7" spans="1:36" ht="24">
      <c r="A7" s="3242" t="str">
        <f>IF(E2="商业",IF(C8="不临58条商业街","",2),"")</f>
        <v/>
      </c>
      <c r="B7" s="2743" t="s">
        <v>2833</v>
      </c>
      <c r="C7" s="915" t="e">
        <f>IF(C8="不临58条商业街",1,ROUND(1+(1.6*E8+1.2*E9+0.8*E10+0.4*E11)*C9,4))</f>
        <v>#DIV/0!</v>
      </c>
      <c r="D7" s="2744" t="s">
        <v>2834</v>
      </c>
      <c r="E7" s="944"/>
      <c r="F7" s="2745"/>
      <c r="G7" s="2746"/>
      <c r="H7" s="2746"/>
      <c r="I7" s="2746"/>
      <c r="J7" s="2747"/>
      <c r="K7" s="1841"/>
      <c r="L7" s="2724"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9234</v>
      </c>
      <c r="U7" s="1602"/>
      <c r="V7" s="1601">
        <f t="shared" ca="1" si="1"/>
        <v>0</v>
      </c>
      <c r="W7" s="1815" t="s">
        <v>2836</v>
      </c>
      <c r="X7" s="1603" t="str">
        <f>G2</f>
        <v>五级</v>
      </c>
      <c r="Y7" s="1603" t="s">
        <v>2837</v>
      </c>
      <c r="Z7" s="1604">
        <f>G3</f>
        <v>1.95</v>
      </c>
      <c r="AA7" s="1605"/>
      <c r="AB7" s="1605"/>
      <c r="AC7" s="1606"/>
      <c r="AD7" s="1607"/>
      <c r="AE7" s="1607"/>
      <c r="AF7" s="1607"/>
      <c r="AG7" s="1607"/>
      <c r="AH7" s="1607"/>
      <c r="AI7" s="1607"/>
      <c r="AJ7" s="1608"/>
    </row>
    <row r="8" spans="1:36" ht="15">
      <c r="A8" s="3243"/>
      <c r="B8" s="198" t="s">
        <v>2838</v>
      </c>
      <c r="C8" s="2748"/>
      <c r="D8" s="916" t="s">
        <v>139</v>
      </c>
      <c r="E8" s="917" t="e">
        <f>ROUND(C11/E7,4)</f>
        <v>#DIV/0!</v>
      </c>
      <c r="F8" s="2749" t="s">
        <v>2839</v>
      </c>
      <c r="G8" s="2750"/>
      <c r="H8" s="2750"/>
      <c r="I8" s="2750"/>
      <c r="J8" s="2751"/>
      <c r="K8" s="1369"/>
      <c r="L8" s="2724"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53" t="s">
        <v>2841</v>
      </c>
      <c r="X8" s="3254"/>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43"/>
      <c r="B9" s="198" t="s">
        <v>2854</v>
      </c>
      <c r="C9" s="918">
        <f>SUMIF(修正!C59:C119,C8,修正!E59:E119)</f>
        <v>0</v>
      </c>
      <c r="D9" s="200" t="s">
        <v>140</v>
      </c>
      <c r="E9" s="200" t="e">
        <f>ROUND(C11/E7,4)</f>
        <v>#DIV/0!</v>
      </c>
      <c r="F9" s="2749" t="s">
        <v>2855</v>
      </c>
      <c r="G9" s="2750"/>
      <c r="H9" s="2750"/>
      <c r="I9" s="2750"/>
      <c r="J9" s="2751"/>
      <c r="K9" s="1369"/>
      <c r="L9" s="2724"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55"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43"/>
      <c r="B10" s="198" t="s">
        <v>2859</v>
      </c>
      <c r="C10" s="200">
        <f>SUMIF(修正!C59:C119,C8,修正!F59:F119)</f>
        <v>0</v>
      </c>
      <c r="D10" s="200" t="s">
        <v>141</v>
      </c>
      <c r="E10" s="200" t="e">
        <f>ROUND(C11/E7,4)</f>
        <v>#DIV/0!</v>
      </c>
      <c r="F10" s="2749" t="s">
        <v>2860</v>
      </c>
      <c r="G10" s="2750"/>
      <c r="H10" s="2750"/>
      <c r="I10" s="2750"/>
      <c r="J10" s="2751"/>
      <c r="K10" s="1369"/>
      <c r="L10" s="2724"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5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43"/>
      <c r="B11" s="2752" t="s">
        <v>2862</v>
      </c>
      <c r="C11" s="919">
        <f>C10/4</f>
        <v>0</v>
      </c>
      <c r="D11" s="919" t="s">
        <v>142</v>
      </c>
      <c r="E11" s="919" t="e">
        <f>ROUND(C11/E7,4)</f>
        <v>#DIV/0!</v>
      </c>
      <c r="F11" s="2753" t="s">
        <v>2863</v>
      </c>
      <c r="G11" s="2754"/>
      <c r="H11" s="2754"/>
      <c r="I11" s="2754"/>
      <c r="J11" s="2755"/>
      <c r="K11" s="1369"/>
      <c r="L11" s="2724"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55" t="s">
        <v>2865</v>
      </c>
      <c r="X11" s="1613" t="s">
        <v>2866</v>
      </c>
      <c r="Y11" s="1614">
        <f>$G$3</f>
        <v>1.95</v>
      </c>
      <c r="Z11" s="1614">
        <f t="shared" ref="Z11:AJ11" si="3">$G$3</f>
        <v>1.95</v>
      </c>
      <c r="AA11" s="1614">
        <f t="shared" si="3"/>
        <v>1.95</v>
      </c>
      <c r="AB11" s="1614">
        <f t="shared" si="3"/>
        <v>1.95</v>
      </c>
      <c r="AC11" s="1614">
        <f t="shared" si="3"/>
        <v>1.95</v>
      </c>
      <c r="AD11" s="1614">
        <f t="shared" si="3"/>
        <v>1.95</v>
      </c>
      <c r="AE11" s="1614">
        <f t="shared" si="3"/>
        <v>1.95</v>
      </c>
      <c r="AF11" s="1614">
        <f t="shared" si="3"/>
        <v>1.95</v>
      </c>
      <c r="AG11" s="1614">
        <f t="shared" si="3"/>
        <v>1.95</v>
      </c>
      <c r="AH11" s="1614">
        <f t="shared" si="3"/>
        <v>1.95</v>
      </c>
      <c r="AI11" s="1614">
        <f t="shared" si="3"/>
        <v>1.95</v>
      </c>
      <c r="AJ11" s="1614">
        <f t="shared" si="3"/>
        <v>1.95</v>
      </c>
    </row>
    <row r="12" spans="1:36" ht="25.5" thickBot="1">
      <c r="A12" s="3242" t="s">
        <v>2867</v>
      </c>
      <c r="B12" s="2756" t="s">
        <v>2868</v>
      </c>
      <c r="C12" s="915">
        <f>ROUND(C15*D15*E15*F15*G15*H15*I15*J15,4)</f>
        <v>1</v>
      </c>
      <c r="D12" s="2757" t="s">
        <v>2869</v>
      </c>
      <c r="E12" s="2758"/>
      <c r="F12" s="2758"/>
      <c r="G12" s="2759"/>
      <c r="H12" s="2759"/>
      <c r="I12" s="2759"/>
      <c r="J12" s="2760"/>
      <c r="K12" s="1369"/>
      <c r="L12" s="2761"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55"/>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0"/>
      <c r="B13" s="2762" t="s">
        <v>2872</v>
      </c>
      <c r="C13" s="2763" t="s">
        <v>2873</v>
      </c>
      <c r="D13" s="1807" t="s">
        <v>2874</v>
      </c>
      <c r="E13" s="1807" t="s">
        <v>2875</v>
      </c>
      <c r="F13" s="30" t="s">
        <v>2876</v>
      </c>
      <c r="G13" s="2764" t="s">
        <v>2877</v>
      </c>
      <c r="H13" s="2764" t="s">
        <v>2877</v>
      </c>
      <c r="I13" s="2764" t="s">
        <v>2877</v>
      </c>
      <c r="J13" s="2765" t="s">
        <v>2877</v>
      </c>
      <c r="K13" s="1369"/>
      <c r="L13" s="1369"/>
      <c r="M13" s="1369"/>
      <c r="N13" s="1369"/>
      <c r="O13" s="1369"/>
      <c r="P13" s="1369"/>
      <c r="Q13" s="1369"/>
      <c r="R13" s="1601">
        <v>12</v>
      </c>
      <c r="S13" s="1602"/>
      <c r="T13" s="1601">
        <f t="shared" ca="1" si="0"/>
        <v>0</v>
      </c>
      <c r="U13" s="1602"/>
      <c r="V13" s="1601">
        <f t="shared" ca="1" si="1"/>
        <v>0</v>
      </c>
      <c r="W13" s="3255"/>
      <c r="X13" s="1615"/>
      <c r="Y13" s="1612">
        <f>(-0.163*(Y12^2)-0.59*Y12+7617)*(10^(-4))/Y11</f>
        <v>0.39061538461538464</v>
      </c>
      <c r="Z13" s="1612">
        <f t="shared" ref="Z13:AJ13" si="5">(-0.163*(Z12^2)-0.59*Z12+7617)*(10^(-4))/Z11</f>
        <v>0.39061538461538464</v>
      </c>
      <c r="AA13" s="1612">
        <f t="shared" si="5"/>
        <v>0.39061538461538464</v>
      </c>
      <c r="AB13" s="1612">
        <f t="shared" si="5"/>
        <v>0.39061538461538464</v>
      </c>
      <c r="AC13" s="1612">
        <f t="shared" si="5"/>
        <v>0.39061538461538464</v>
      </c>
      <c r="AD13" s="1612">
        <f t="shared" si="5"/>
        <v>0.39061538461538464</v>
      </c>
      <c r="AE13" s="1612">
        <f t="shared" si="5"/>
        <v>0.39061538461538464</v>
      </c>
      <c r="AF13" s="1612">
        <f t="shared" si="5"/>
        <v>0.39061538461538464</v>
      </c>
      <c r="AG13" s="1612">
        <f t="shared" si="5"/>
        <v>0.39061538461538464</v>
      </c>
      <c r="AH13" s="1612">
        <f t="shared" si="5"/>
        <v>0.39061538461538464</v>
      </c>
      <c r="AI13" s="1612">
        <f t="shared" si="5"/>
        <v>0.39061538461538464</v>
      </c>
      <c r="AJ13" s="1612">
        <f t="shared" si="5"/>
        <v>0.39061538461538464</v>
      </c>
    </row>
    <row r="14" spans="1:36" ht="15">
      <c r="A14" s="3260"/>
      <c r="B14" s="2766"/>
      <c r="C14" s="2767"/>
      <c r="D14" s="2768"/>
      <c r="E14" s="2768"/>
      <c r="F14" s="2769"/>
      <c r="G14" s="2770" t="s">
        <v>2878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61"/>
      <c r="B15" s="2774" t="s">
        <v>2879</v>
      </c>
      <c r="C15" s="229">
        <f>IF(C14="有",1.1,1)</f>
        <v>1</v>
      </c>
      <c r="D15" s="229">
        <f>IF(D14="有",1.1,1)</f>
        <v>1</v>
      </c>
      <c r="E15" s="229">
        <f>IF(E14="有",1.1,1)</f>
        <v>1</v>
      </c>
      <c r="F15" s="229">
        <f>IF(F14="500米范围内",1.2,IF(F14="500-1000米",1.1,1))</f>
        <v>1</v>
      </c>
      <c r="G15" s="945">
        <v>1</v>
      </c>
      <c r="H15" s="945">
        <v>1</v>
      </c>
      <c r="I15" s="945">
        <v>1</v>
      </c>
      <c r="J15" s="946">
        <v>1</v>
      </c>
      <c r="K15" s="1369"/>
      <c r="L15" s="2775" t="s">
        <v>2815</v>
      </c>
      <c r="M15" s="916" t="s">
        <v>2880</v>
      </c>
      <c r="N15" s="916" t="s">
        <v>2881</v>
      </c>
      <c r="O15" s="916" t="s">
        <v>2882</v>
      </c>
      <c r="P15" s="2776" t="s">
        <v>2883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42" t="s">
        <v>2884</v>
      </c>
      <c r="B16" s="2743" t="s">
        <v>2885</v>
      </c>
      <c r="C16" s="1800">
        <f>ROUND(SUM(G17:J17)/C17,0)</f>
        <v>36</v>
      </c>
      <c r="D16" s="2777" t="s">
        <v>2886</v>
      </c>
      <c r="E16" s="2778" t="s">
        <v>3152</v>
      </c>
      <c r="F16" s="2779" t="s">
        <v>3153</v>
      </c>
      <c r="G16" s="2780" t="s">
        <v>3154</v>
      </c>
      <c r="H16" s="2780" t="s">
        <v>3155</v>
      </c>
      <c r="I16" s="2780"/>
      <c r="J16" s="2781"/>
      <c r="K16" s="1369"/>
      <c r="L16" s="2782" t="s">
        <v>2887</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43"/>
      <c r="B17" s="2783" t="s">
        <v>2888</v>
      </c>
      <c r="C17" s="920">
        <f>SUMPRODUCT((修正!A2:A5=E2)*(修正!B1:M1=G2)*(修正!B2:M5))</f>
        <v>2.5</v>
      </c>
      <c r="D17" s="2784" t="s">
        <v>2889</v>
      </c>
      <c r="E17" s="919" t="str">
        <f>IF(OR(G2="八级",G2="九级",G2="十级",G2="十一级",G2="十二级"),"五通一平","七通一平")</f>
        <v>七通一平</v>
      </c>
      <c r="F17" s="920" t="s">
        <v>2890</v>
      </c>
      <c r="G17" s="920">
        <f>SUMPRODUCT((七通一平=G16)*(修正!B1:M1=G2)*(修正!B6:M14))</f>
        <v>40</v>
      </c>
      <c r="H17" s="920">
        <f>SUMPRODUCT((七通一平=H16)*(修正!B1:M1=G2)*(修正!B6:M14))</f>
        <v>50</v>
      </c>
      <c r="I17" s="920">
        <f>SUMPRODUCT((七通一平=I16)*(修正!B1:M1=G2)*(修正!B6:M14))</f>
        <v>0</v>
      </c>
      <c r="J17" s="921">
        <f>SUMPRODUCT((七通一平=J16)*(修正!B1:M1=G2)*(修正!B6:M14))</f>
        <v>0</v>
      </c>
      <c r="K17" s="1369"/>
      <c r="L17" s="2785" t="s">
        <v>2891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2892</v>
      </c>
      <c r="C18" s="922">
        <f>SUMIF(修正!C18:C39,E3,修正!E18:E39)</f>
        <v>0.9</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2893</v>
      </c>
      <c r="C19" s="923">
        <f>ROUND(IF(H19="按公示增长率计算",SUMPRODUCT((地价!A3:A22=YEAR(G19)&amp;"-"&amp;ROUNDUP(MONTH(G19)/3,0))*(地价!X2:AB2=E2)*(地价!X3:AB22)),IF(H19="地价指数",M20/M19,(1+I19)^O19)),4)</f>
        <v>1.2685</v>
      </c>
      <c r="D19" s="2795" t="s">
        <v>2894</v>
      </c>
      <c r="E19" s="924">
        <v>41640</v>
      </c>
      <c r="F19" s="2795" t="s">
        <v>2895</v>
      </c>
      <c r="G19" s="925">
        <f>'数据-取费表'!B2</f>
        <v>43100</v>
      </c>
      <c r="H19" s="2796" t="s">
        <v>3156</v>
      </c>
      <c r="I19" s="926" t="str">
        <f>IF(H19="季度增幅（自定义）",SUMIF(N21:N24,E2,O21:O24),"")</f>
        <v/>
      </c>
      <c r="J19" s="2793"/>
      <c r="K19" s="1376"/>
      <c r="L19" s="2797" t="s">
        <v>2896</v>
      </c>
      <c r="M19" s="1733">
        <f>ROUND(SUMIF(地价!B2:F2,E2,地价!B22:F22),0)</f>
        <v>258</v>
      </c>
      <c r="N19" s="2798" t="s">
        <v>2897</v>
      </c>
      <c r="O19" s="927">
        <f>ROUNDDOWN(DATEDIF(E19,G19,"M")/3,0)</f>
        <v>15</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8">
        <f ca="1">ROUND(POWER(1+G20,J20-I20)*(POWER(1+G20,I20)-1)/(POWER(1+G20,J20)-1),4)</f>
        <v>0.96650000000000003</v>
      </c>
      <c r="D20" s="2804" t="s">
        <v>2899</v>
      </c>
      <c r="E20" s="1767">
        <f ca="1">存贷款利率!D4/100</f>
        <v>4.3499999999999997E-2</v>
      </c>
      <c r="F20" s="2804" t="s">
        <v>2891</v>
      </c>
      <c r="G20" s="933">
        <f ca="1">SUMIF(M15:P15,E2,M17:P17)</f>
        <v>5.1999999999999998E-2</v>
      </c>
      <c r="H20" s="2804" t="s">
        <v>2900</v>
      </c>
      <c r="I20" s="934">
        <f>SUMIF('数据-取费表'!C6:C15,E2,'数据-取费表'!F6:F15)/COUNTIF('数据-取费表'!C6:C15,E2)</f>
        <v>43.52</v>
      </c>
      <c r="J20" s="935">
        <f>IF(E2="住宅",70,IF(E2="商业",40,50))</f>
        <v>50</v>
      </c>
      <c r="K20" s="1376"/>
      <c r="L20" s="2805" t="s">
        <v>2901</v>
      </c>
      <c r="M20" s="1734">
        <f>ROUND(SUMPRODUCT((地价!A4:A22=YEAR(G19)&amp;"-"&amp;ROUNDUP(MONTH(G19)/3,0))*(地价!B2:F2=E2)*(地价!B4:F22)),0)</f>
        <v>327</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3157</v>
      </c>
      <c r="C21" s="936">
        <f>IF(B21="容积率修正",IF(G3&lt;=10,D22,J22),C23)</f>
        <v>1.0817000000000001</v>
      </c>
      <c r="D21" s="2811"/>
      <c r="E21" s="2811"/>
      <c r="F21" s="2811"/>
      <c r="G21" s="2811"/>
      <c r="H21" s="2811"/>
      <c r="I21" s="2811"/>
      <c r="J21" s="2812"/>
      <c r="K21" s="1376"/>
      <c r="N21" s="2813" t="s">
        <v>2905</v>
      </c>
      <c r="O21" s="1560"/>
      <c r="P21" s="1561">
        <f>SUMPRODUCT((地价!A3:A22=YEAR(G19)&amp;"-"&amp;ROUNDUP(MONTH(G19)/3,0))*(地价!AD2:AH2=N21)*(地价!AD3:AH22))</f>
        <v>1.6500000000000001E-2</v>
      </c>
      <c r="R21" s="1375"/>
      <c r="S21" s="1375"/>
      <c r="T21" s="1370"/>
      <c r="U21" s="1370"/>
      <c r="V21" s="1370"/>
      <c r="W21" s="1369"/>
      <c r="X21" s="1369"/>
      <c r="Y21" s="1369"/>
      <c r="Z21" s="1376"/>
      <c r="AA21" s="1377"/>
      <c r="AB21" s="1377"/>
      <c r="AC21" s="1377"/>
      <c r="AD21" s="1377"/>
      <c r="AE21" s="1377"/>
      <c r="AF21" s="1377"/>
    </row>
    <row r="22" spans="1:37" s="2736" customFormat="1" ht="14.25">
      <c r="A22" s="2663" t="s">
        <v>2906</v>
      </c>
      <c r="B22" s="2814" t="s">
        <v>2907</v>
      </c>
      <c r="C22" s="1809" t="s">
        <v>2908</v>
      </c>
      <c r="D22" s="1809">
        <f>IF(E22=G22,F22,IF(G3&lt;=10,ROUND(F22+(H22-F22)*(G3-E22)/(G22-E22),4),"——"))</f>
        <v>1.0817000000000001</v>
      </c>
      <c r="E22" s="912">
        <f>ROUNDDOWN(G3,1)</f>
        <v>1.9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2">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9" t="s">
        <v>155</v>
      </c>
      <c r="J22" s="937" t="str">
        <f>IF(G3&gt;10,D113,"——")</f>
        <v>——</v>
      </c>
      <c r="K22" s="1376"/>
      <c r="N22" s="2813" t="s">
        <v>2909</v>
      </c>
      <c r="O22" s="1560"/>
      <c r="P22" s="1561">
        <f>SUMPRODUCT((地价!A3:A22=YEAR(G19)&amp;"-"&amp;ROUNDUP(MONTH(G19)/3,0))*(地价!AD2:AH2=N22)*(地价!AD3:AH22))</f>
        <v>1.6500000000000001E-2</v>
      </c>
      <c r="R22" s="1375"/>
      <c r="S22" s="1375"/>
      <c r="T22" s="1370"/>
      <c r="U22" s="1370"/>
      <c r="V22" s="1370"/>
      <c r="W22" s="1369"/>
      <c r="X22" s="1369"/>
      <c r="Y22" s="1369"/>
      <c r="Z22" s="1376"/>
      <c r="AA22" s="1377"/>
      <c r="AB22" s="1377"/>
      <c r="AC22" s="1377"/>
      <c r="AD22" s="1377"/>
      <c r="AE22" s="1377"/>
      <c r="AF22" s="1377"/>
    </row>
    <row r="23" spans="1:37" ht="27.75" thickBot="1">
      <c r="A23" s="2663" t="s">
        <v>2910</v>
      </c>
      <c r="B23" s="2815" t="s">
        <v>2911</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SUMPRODUCT((地价!A3:A22=YEAR(G19)&amp;"-"&amp;ROUNDUP(MONTH(G19)/3,0))*(地价!AD2:AH2=N23)*(地价!AD3:AH22))</f>
        <v>2.7099999999999999E-2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3">
        <f>SUMIF(A45:A88,E2,B45:B88)</f>
        <v>1.0467</v>
      </c>
      <c r="D24" s="2791"/>
      <c r="E24" s="2821"/>
      <c r="F24" s="2821"/>
      <c r="G24" s="2821"/>
      <c r="H24" s="2821"/>
      <c r="I24" s="2821"/>
      <c r="J24" s="2822"/>
      <c r="K24" s="1376"/>
      <c r="N24" s="2823" t="s">
        <v>2914</v>
      </c>
      <c r="O24" s="1562"/>
      <c r="P24" s="1563">
        <f>SUMPRODUCT((地价!A3:A22=YEAR(G19)&amp;"-"&amp;ROUNDUP(MONTH(G19)/3,0))*(地价!AD2:AH2=N24)*(地价!AD3:AH22))</f>
        <v>1.3899999999999999E-2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29"/>
      <c r="D25" s="2746"/>
      <c r="E25" s="2746"/>
      <c r="F25" s="2825"/>
      <c r="G25" s="2746"/>
      <c r="H25" s="2746"/>
      <c r="I25" s="2746"/>
      <c r="J25" s="2747"/>
      <c r="K25" s="1369"/>
      <c r="N25" s="2826" t="s">
        <v>2916</v>
      </c>
      <c r="O25" s="1564"/>
      <c r="P25" s="1563">
        <f>SUMPRODUCT((地价!A3:A22=YEAR(G19)&amp;"-"&amp;ROUNDUP(MONTH(G19)/3,0))*(地价!AD2:AH2=N25)*(地价!AD3:AH22))</f>
        <v>2.4500000000000001E-2</v>
      </c>
      <c r="R25" s="1375"/>
      <c r="S25" s="1375"/>
      <c r="T25" s="1370"/>
      <c r="U25" s="1370"/>
      <c r="V25" s="1370"/>
      <c r="W25" s="1369"/>
      <c r="X25" s="1369"/>
      <c r="Y25" s="1369"/>
      <c r="Z25" s="1376"/>
      <c r="AA25" s="1377"/>
      <c r="AB25" s="1377"/>
      <c r="AC25" s="1377"/>
      <c r="AD25" s="1377"/>
    </row>
    <row r="26" spans="1:37" ht="15">
      <c r="A26" s="2827"/>
      <c r="B26" s="2814" t="s">
        <v>2917</v>
      </c>
      <c r="C26" s="206">
        <f ca="1">E29+SUM(E33:E39)</f>
        <v>5520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0" t="e">
        <f ca="1">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6">
        <f ca="1">ROUND(C5*C18*C19*C20*C21*C24,0)</f>
        <v>15409</v>
      </c>
      <c r="D29" s="2843"/>
      <c r="E29" s="941">
        <f ca="1">ROUND(C29*D29/10000,0)</f>
        <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9">
        <f ca="1">ROUND(IF(E2="工业",C29*M39,C29*M38),0)</f>
        <v>3852</v>
      </c>
      <c r="D30" s="2849"/>
      <c r="E30" s="941">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50" t="s">
        <v>2931</v>
      </c>
      <c r="B33" s="2859" t="s">
        <v>2932</v>
      </c>
      <c r="C33" s="206">
        <f ca="1">ROUND(D5*C19*C20*C24*F33,0)</f>
        <v>0</v>
      </c>
      <c r="D33" s="2843"/>
      <c r="E33" s="200">
        <f ca="1">ROUND(C33*D33/10000,0)</f>
        <v>0</v>
      </c>
      <c r="F33" s="200">
        <f>SUMIF(修正!A45:A56,G2,修正!B45:B56)</f>
        <v>0.7</v>
      </c>
      <c r="G33" s="200">
        <f t="shared" ref="G33:G39" ca="1" si="6">ROUND(IF(E2="工业",C33*$M$39,C33*$M$38),0)</f>
        <v>0</v>
      </c>
      <c r="H33" s="200">
        <f>D33</f>
        <v>0</v>
      </c>
      <c r="I33" s="200">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51"/>
      <c r="B34" s="2763" t="s">
        <v>2933</v>
      </c>
      <c r="C34" s="206">
        <f ca="1">ROUND(D5*C19*C20*C24*F34,0)</f>
        <v>0</v>
      </c>
      <c r="D34" s="2843"/>
      <c r="E34" s="200">
        <f t="shared" ref="E34:E39" ca="1" si="7">ROUND(C34*D34/10000,0)</f>
        <v>0</v>
      </c>
      <c r="F34" s="200">
        <f>SUMIF(修正!A45:A56,G2,修正!C45:C56)</f>
        <v>0.4</v>
      </c>
      <c r="G34" s="200">
        <f t="shared" ca="1" si="6"/>
        <v>0</v>
      </c>
      <c r="H34" s="200">
        <f t="shared" ref="H34:H39" si="8">D34</f>
        <v>0</v>
      </c>
      <c r="I34" s="200">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1"/>
      <c r="B35" s="2763" t="s">
        <v>2934</v>
      </c>
      <c r="C35" s="206">
        <f ca="1">ROUND(D5*C19*C20*C24*F35,0)</f>
        <v>0</v>
      </c>
      <c r="D35" s="2843"/>
      <c r="E35" s="200">
        <f t="shared" ca="1" si="7"/>
        <v>0</v>
      </c>
      <c r="F35" s="200">
        <f>SUMIF(修正!A45:A56,G2,修正!D45:D56)</f>
        <v>0.28000000000000003</v>
      </c>
      <c r="G35" s="200">
        <f t="shared" ca="1" si="6"/>
        <v>0</v>
      </c>
      <c r="H35" s="200">
        <f t="shared" si="8"/>
        <v>0</v>
      </c>
      <c r="I35" s="200">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52"/>
      <c r="B36" s="2763" t="s">
        <v>2935</v>
      </c>
      <c r="C36" s="206">
        <f ca="1">ROUND(D5*C19*C20*C24*F36,0)</f>
        <v>0</v>
      </c>
      <c r="D36" s="2843"/>
      <c r="E36" s="200">
        <f t="shared" ca="1" si="7"/>
        <v>0</v>
      </c>
      <c r="F36" s="200">
        <f>SUMIF(修正!A45:A56,G2,修正!E45:E56)</f>
        <v>0.25</v>
      </c>
      <c r="G36" s="200">
        <f t="shared" ca="1" si="6"/>
        <v>0</v>
      </c>
      <c r="H36" s="200">
        <f t="shared" si="8"/>
        <v>0</v>
      </c>
      <c r="I36" s="200">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200">
        <f ca="1">ROUND(C5*C19*C20*C24*F37,0)</f>
        <v>3957</v>
      </c>
      <c r="D37" s="2843"/>
      <c r="E37" s="200">
        <f t="shared" ca="1" si="7"/>
        <v>0</v>
      </c>
      <c r="F37" s="206">
        <f>SUMIF(修正!A45:A56,G2,修正!F45:F56)</f>
        <v>0.25</v>
      </c>
      <c r="G37" s="200">
        <f t="shared" ca="1" si="6"/>
        <v>989</v>
      </c>
      <c r="H37" s="200">
        <f t="shared" si="8"/>
        <v>0</v>
      </c>
      <c r="I37" s="200">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200">
        <f ca="1">ROUND(C5*C19*C20*C24*F38,0)</f>
        <v>3957</v>
      </c>
      <c r="D38" s="2843">
        <f>'数据-汇总表'!G20</f>
        <v>8246.2800000000007</v>
      </c>
      <c r="E38" s="200">
        <f t="shared" ca="1" si="7"/>
        <v>3263</v>
      </c>
      <c r="F38" s="206">
        <f>SUMIF(修正!A45:A56,G2,修正!G45:G56)</f>
        <v>0.25</v>
      </c>
      <c r="G38" s="200">
        <f t="shared" ca="1" si="6"/>
        <v>989</v>
      </c>
      <c r="H38" s="200">
        <f t="shared" si="8"/>
        <v>8246.2800000000007</v>
      </c>
      <c r="I38" s="200">
        <f t="shared" ca="1" si="9"/>
        <v>816</v>
      </c>
      <c r="J38" s="2860"/>
      <c r="K38" s="1369"/>
      <c r="L38" s="1886"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9">
        <f ca="1">ROUND(C5*C19*C20*C24*F39,0)</f>
        <v>3166</v>
      </c>
      <c r="D39" s="2849">
        <f>'数据-汇总表'!G21</f>
        <v>7128.3</v>
      </c>
      <c r="E39" s="229">
        <f t="shared" ca="1" si="7"/>
        <v>2257</v>
      </c>
      <c r="F39" s="931">
        <f>SUMIF(修正!A45:A56,G2,修正!H45:H56)</f>
        <v>0.2</v>
      </c>
      <c r="G39" s="229" t="e">
        <f t="shared" si="6"/>
        <v>#DIV/0!</v>
      </c>
      <c r="H39" s="229">
        <f t="shared" si="8"/>
        <v>7128.3</v>
      </c>
      <c r="I39" s="229" t="e">
        <f t="shared" si="9"/>
        <v>#DIV/0!</v>
      </c>
      <c r="J39" s="2866"/>
      <c r="K39" s="1369"/>
      <c r="L39" s="2867" t="s">
        <v>2883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8" t="s">
        <v>2944</v>
      </c>
      <c r="C47" s="1808" t="s">
        <v>2945</v>
      </c>
      <c r="D47" s="1808" t="s">
        <v>2946</v>
      </c>
      <c r="E47" s="815" t="s">
        <v>2947</v>
      </c>
      <c r="F47" s="2877" t="s">
        <v>2948</v>
      </c>
      <c r="G47" s="1808" t="s">
        <v>754</v>
      </c>
      <c r="H47" s="2878"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6" t="s">
        <v>2951</v>
      </c>
      <c r="B48" s="2879" t="str">
        <f>估价对象房地状况!C4</f>
        <v>估价对象位于XX商圈，周边商业氛围成熟，人流量大，商业繁华度好</v>
      </c>
      <c r="C48" s="2768"/>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2952</v>
      </c>
      <c r="B49" s="2880" t="str">
        <f>估价对象房地状况!C18</f>
        <v>估价对象周边道路通达、公共交通便捷、停车便捷，综合评价交通便捷度较好</v>
      </c>
      <c r="C49" s="2768"/>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t="str">
        <f>估价对象房地状况!C24</f>
        <v>支路——东北旺路</v>
      </c>
      <c r="C52" s="2768"/>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2959</v>
      </c>
      <c r="B54" s="1724" t="str">
        <f>估价对象房地状况!C21</f>
        <v>估价对象所在区域公共配套设施较齐备</v>
      </c>
      <c r="C54" s="2768"/>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估价对象所在区域基础设施水平达七通</v>
      </c>
      <c r="C55" s="2768"/>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区域自然环境较好；人文环境一般；综合评价环境状况较好</v>
      </c>
      <c r="C56" s="2768"/>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1.0467</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8"/>
      <c r="C58" s="1808" t="s">
        <v>2945</v>
      </c>
      <c r="D58" s="1808" t="s">
        <v>2946</v>
      </c>
      <c r="E58" s="815" t="s">
        <v>2947</v>
      </c>
      <c r="F58" s="2877" t="s">
        <v>2963</v>
      </c>
      <c r="G58" s="1808" t="s">
        <v>754</v>
      </c>
      <c r="H58" s="2878"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6" t="s">
        <v>2964</v>
      </c>
      <c r="B59" s="2879" t="str">
        <f>估价对象房地状况!C17</f>
        <v>周边办公楼项目较多，入驻率高，办公集聚程度较好</v>
      </c>
      <c r="C59" s="2995" t="s">
        <v>3119</v>
      </c>
      <c r="D59" s="1285">
        <f t="shared" ref="D59:D67" si="15">SUMIF($J$58:$N$58,C59,J59:N59)</f>
        <v>1.15E-2</v>
      </c>
      <c r="E59" s="817">
        <f>ROUND(SUM(D59:D67),4)</f>
        <v>4.6699999999999998E-2</v>
      </c>
      <c r="F59" s="2500">
        <f>IF(E2="办公",SUMIF(L1:L12,G2,N1:N12),"——")</f>
        <v>9.6000000000000002E-2</v>
      </c>
      <c r="G59" s="1283">
        <v>1.15E-2</v>
      </c>
      <c r="H59" s="1287">
        <f t="shared" ref="H59:H67" si="16">IFERROR(ROUNDDOWN($F$59*I59/2,4),"——")</f>
        <v>1.15E-2</v>
      </c>
      <c r="I59" s="816">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6" t="s">
        <v>2952</v>
      </c>
      <c r="B60" s="2880" t="str">
        <f>估价对象房地状况!C18</f>
        <v>估价对象周边道路通达、公共交通便捷、停车便捷，综合评价交通便捷度较好</v>
      </c>
      <c r="C60" s="2995" t="s">
        <v>3119</v>
      </c>
      <c r="D60" s="1285">
        <f t="shared" si="15"/>
        <v>1.44E-2</v>
      </c>
      <c r="E60" s="818"/>
      <c r="F60" s="2500"/>
      <c r="G60" s="1283">
        <v>1.44E-2</v>
      </c>
      <c r="H60" s="1287">
        <f t="shared" si="16"/>
        <v>1.44E-2</v>
      </c>
      <c r="I60" s="816">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995" t="s">
        <v>3119</v>
      </c>
      <c r="D61" s="1285">
        <f t="shared" si="15"/>
        <v>3.8E-3</v>
      </c>
      <c r="E61" s="818"/>
      <c r="F61" s="2500"/>
      <c r="G61" s="1283">
        <v>3.8E-3</v>
      </c>
      <c r="H61" s="1287">
        <f t="shared" si="16"/>
        <v>3.8E-3</v>
      </c>
      <c r="I61" s="816">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6" t="s">
        <v>2954</v>
      </c>
      <c r="B62" s="2881" t="s">
        <v>2955</v>
      </c>
      <c r="C62" s="2995" t="s">
        <v>3158</v>
      </c>
      <c r="D62" s="1285">
        <f t="shared" si="15"/>
        <v>0</v>
      </c>
      <c r="E62" s="818"/>
      <c r="F62" s="2500"/>
      <c r="G62" s="1283">
        <v>1.9E-3</v>
      </c>
      <c r="H62" s="1287">
        <f t="shared" si="16"/>
        <v>1.9E-3</v>
      </c>
      <c r="I62" s="816">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6" t="s">
        <v>2956</v>
      </c>
      <c r="B63" s="2880" t="str">
        <f>估价对象房地状况!C24</f>
        <v>支路——东北旺路</v>
      </c>
      <c r="C63" s="2995" t="s">
        <v>3159</v>
      </c>
      <c r="D63" s="1285">
        <f t="shared" si="15"/>
        <v>-2.3999999999999998E-3</v>
      </c>
      <c r="E63" s="818"/>
      <c r="F63" s="2500"/>
      <c r="G63" s="1283">
        <v>2.3999999999999998E-3</v>
      </c>
      <c r="H63" s="1287">
        <f t="shared" si="16"/>
        <v>2.3999999999999998E-3</v>
      </c>
      <c r="I63" s="816">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6" t="s">
        <v>2957</v>
      </c>
      <c r="B64" s="2882" t="s">
        <v>2958</v>
      </c>
      <c r="C64" s="2995" t="s">
        <v>3119</v>
      </c>
      <c r="D64" s="1285">
        <f t="shared" si="15"/>
        <v>2.3999999999999998E-3</v>
      </c>
      <c r="E64" s="818"/>
      <c r="F64" s="2500"/>
      <c r="G64" s="1283">
        <v>2.3999999999999998E-3</v>
      </c>
      <c r="H64" s="1287">
        <f t="shared" si="16"/>
        <v>2.3999999999999998E-3</v>
      </c>
      <c r="I64" s="816">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6" t="s">
        <v>2959</v>
      </c>
      <c r="B65" s="1724" t="str">
        <f>估价对象房地状况!C21</f>
        <v>估价对象所在区域公共配套设施较齐备</v>
      </c>
      <c r="C65" s="2995" t="s">
        <v>3119</v>
      </c>
      <c r="D65" s="1285">
        <f t="shared" si="15"/>
        <v>2.8E-3</v>
      </c>
      <c r="E65" s="818"/>
      <c r="F65" s="2500"/>
      <c r="G65" s="1283">
        <v>2.8E-3</v>
      </c>
      <c r="H65" s="1287">
        <f t="shared" si="16"/>
        <v>2.8E-3</v>
      </c>
      <c r="I65" s="816">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6" t="s">
        <v>2960</v>
      </c>
      <c r="B66" s="1724" t="str">
        <f>估价对象房地状况!C22</f>
        <v>估价对象所在区域基础设施水平达七通</v>
      </c>
      <c r="C66" s="2995" t="s">
        <v>3160</v>
      </c>
      <c r="D66" s="1285">
        <f t="shared" si="15"/>
        <v>1.14E-2</v>
      </c>
      <c r="E66" s="818"/>
      <c r="F66" s="2500"/>
      <c r="G66" s="1283">
        <v>5.7000000000000002E-3</v>
      </c>
      <c r="H66" s="1287">
        <f t="shared" si="16"/>
        <v>5.7000000000000002E-3</v>
      </c>
      <c r="I66" s="816">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区域自然环境较好；人文环境一般；综合评价环境状况较好</v>
      </c>
      <c r="C67" s="2995" t="s">
        <v>3119</v>
      </c>
      <c r="D67" s="1285">
        <f t="shared" si="15"/>
        <v>2.8E-3</v>
      </c>
      <c r="E67" s="821"/>
      <c r="F67" s="2500"/>
      <c r="G67" s="1283">
        <v>2.8E-3</v>
      </c>
      <c r="H67" s="1287">
        <f t="shared" si="16"/>
        <v>2.8E-3</v>
      </c>
      <c r="I67" s="820">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72" t="s">
        <v>2965</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8"/>
      <c r="C69" s="1808" t="s">
        <v>2945</v>
      </c>
      <c r="D69" s="1808" t="s">
        <v>2946</v>
      </c>
      <c r="E69" s="815" t="s">
        <v>2947</v>
      </c>
      <c r="F69" s="2877" t="s">
        <v>2963</v>
      </c>
      <c r="G69" s="1808" t="s">
        <v>754</v>
      </c>
      <c r="H69" s="2878"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2952</v>
      </c>
      <c r="B71" s="2880" t="str">
        <f>估价对象房地状况!C18</f>
        <v>估价对象周边道路通达、公共交通便捷、停车便捷，综合评价交通便捷度较好</v>
      </c>
      <c r="C71" s="2768"/>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t="str">
        <f>估价对象房地状况!C24</f>
        <v>支路——东北旺路</v>
      </c>
      <c r="C73" s="2768"/>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2959</v>
      </c>
      <c r="B74" s="1724" t="str">
        <f>估价对象房地状况!C21</f>
        <v>估价对象所在区域公共配套设施较齐备</v>
      </c>
      <c r="C74" s="2768"/>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2960</v>
      </c>
      <c r="B75" s="1724" t="str">
        <f>估价对象房地状况!C22</f>
        <v>估价对象所在区域基础设施水平达七通</v>
      </c>
      <c r="C75" s="2768"/>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2961</v>
      </c>
      <c r="B77" s="2879" t="str">
        <f>估价对象房地状况!C20</f>
        <v>区域自然环境较好；人文环境一般；综合评价环境状况较好</v>
      </c>
      <c r="C77" s="2768"/>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0"/>
      <c r="D79" s="810"/>
      <c r="E79" s="811"/>
      <c r="F79" s="2875"/>
      <c r="G79" s="6"/>
      <c r="H79" s="6"/>
      <c r="I79" s="6"/>
      <c r="J79" s="7"/>
      <c r="K79" s="7"/>
      <c r="L79" s="7"/>
      <c r="M79" s="7"/>
      <c r="N79" s="7"/>
      <c r="Z79" s="2718"/>
      <c r="AA79" s="2794"/>
      <c r="AG79" s="1371"/>
      <c r="AK79" s="2794"/>
    </row>
    <row r="80" spans="1:37" ht="24.75">
      <c r="A80" s="2876" t="s">
        <v>2943</v>
      </c>
      <c r="B80" s="1808"/>
      <c r="C80" s="1808" t="s">
        <v>2945</v>
      </c>
      <c r="D80" s="1808" t="s">
        <v>2946</v>
      </c>
      <c r="E80" s="815" t="s">
        <v>2947</v>
      </c>
      <c r="F80" s="2877" t="s">
        <v>2963</v>
      </c>
      <c r="G80" s="1808" t="s">
        <v>754</v>
      </c>
      <c r="H80" s="2878" t="s">
        <v>2949</v>
      </c>
      <c r="I80" s="1808" t="s">
        <v>2950</v>
      </c>
      <c r="J80" s="603" t="s">
        <v>2598</v>
      </c>
      <c r="K80" s="603" t="s">
        <v>2599</v>
      </c>
      <c r="L80" s="603" t="s">
        <v>2600</v>
      </c>
      <c r="M80" s="603" t="s">
        <v>2601</v>
      </c>
      <c r="N80" s="603" t="s">
        <v>2602</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4" t="str">
        <f>估价对象房地状况!G19</f>
        <v>估价对象所在区域公共配套设施齐备情况</v>
      </c>
      <c r="C85" s="2768"/>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4" t="str">
        <f>估价对象房地状况!G20</f>
        <v>估价对象所在区域基础设施水平</v>
      </c>
      <c r="C86" s="2768"/>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8"/>
      <c r="AA88" s="2794"/>
      <c r="AG88" s="1371"/>
      <c r="AK88" s="2794"/>
    </row>
    <row r="90" spans="1:37">
      <c r="A90" s="3244" t="s">
        <v>2973</v>
      </c>
      <c r="B90" s="3244"/>
      <c r="C90" s="3244"/>
      <c r="D90" s="3244"/>
      <c r="E90" s="3244"/>
      <c r="F90" s="3244"/>
      <c r="G90" s="3244"/>
      <c r="H90" s="3244"/>
      <c r="I90" s="3244"/>
      <c r="J90" s="3244"/>
      <c r="K90" s="2890"/>
      <c r="L90" s="2890"/>
      <c r="M90" s="2890"/>
      <c r="N90" s="2890"/>
    </row>
    <row r="91" spans="1:37">
      <c r="A91" s="3246" t="s">
        <v>2974</v>
      </c>
      <c r="B91" s="3246" t="s">
        <v>2975</v>
      </c>
      <c r="C91" s="2844" t="s">
        <v>2976</v>
      </c>
      <c r="D91" s="2845"/>
      <c r="E91" s="2845"/>
      <c r="F91" s="2845"/>
      <c r="G91" s="2845"/>
      <c r="H91" s="2845"/>
      <c r="I91" s="2845"/>
      <c r="J91" s="2891"/>
      <c r="K91" s="2892"/>
      <c r="L91" s="2892"/>
      <c r="M91" s="2892"/>
      <c r="N91" s="2892"/>
    </row>
    <row r="92" spans="1:37">
      <c r="A92" s="3246"/>
      <c r="B92" s="3246"/>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47"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4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4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4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4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4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48"/>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4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47" t="s">
        <v>2978</v>
      </c>
      <c r="B101" s="2897" t="s">
        <v>2979</v>
      </c>
      <c r="C101" s="2898">
        <f>$G$3</f>
        <v>1.95</v>
      </c>
      <c r="D101" s="2898">
        <f t="shared" ref="D101:N101" si="31">$G$3</f>
        <v>1.95</v>
      </c>
      <c r="E101" s="2898">
        <f t="shared" si="31"/>
        <v>1.95</v>
      </c>
      <c r="F101" s="2898">
        <f t="shared" si="31"/>
        <v>1.95</v>
      </c>
      <c r="G101" s="2898">
        <f t="shared" si="31"/>
        <v>1.95</v>
      </c>
      <c r="H101" s="2898">
        <f t="shared" si="31"/>
        <v>1.95</v>
      </c>
      <c r="I101" s="2898">
        <f t="shared" si="31"/>
        <v>1.95</v>
      </c>
      <c r="J101" s="2898">
        <f t="shared" si="31"/>
        <v>1.95</v>
      </c>
      <c r="K101" s="2898">
        <f t="shared" si="31"/>
        <v>1.95</v>
      </c>
      <c r="L101" s="2898">
        <f t="shared" si="31"/>
        <v>1.95</v>
      </c>
      <c r="M101" s="2898">
        <f t="shared" si="31"/>
        <v>1.95</v>
      </c>
      <c r="N101" s="2898">
        <f t="shared" si="31"/>
        <v>1.95</v>
      </c>
    </row>
    <row r="102" spans="1:14">
      <c r="A102" s="3248"/>
      <c r="B102" s="2893">
        <v>1</v>
      </c>
      <c r="C102" s="2894">
        <f>1.9362/C101</f>
        <v>0.99292307692307691</v>
      </c>
      <c r="D102" s="2894">
        <f>1.9362/D101</f>
        <v>0.99292307692307691</v>
      </c>
      <c r="E102" s="2894">
        <f>1.8629/E101</f>
        <v>0.95533333333333337</v>
      </c>
      <c r="F102" s="2894">
        <f>1.8629/F101</f>
        <v>0.95533333333333337</v>
      </c>
      <c r="G102" s="2894">
        <f>1.8629/G101</f>
        <v>0.95533333333333337</v>
      </c>
      <c r="H102" s="2894">
        <f>1.8629/H101</f>
        <v>0.95533333333333337</v>
      </c>
      <c r="I102" s="2894">
        <f>1.8629/I101</f>
        <v>0.95533333333333337</v>
      </c>
      <c r="J102" s="2894">
        <f>1.942/J101</f>
        <v>0.99589743589743585</v>
      </c>
      <c r="K102" s="2894">
        <f>1.942/K101</f>
        <v>0.99589743589743585</v>
      </c>
      <c r="L102" s="2894">
        <f>1.942/L101</f>
        <v>0.99589743589743585</v>
      </c>
      <c r="M102" s="2894">
        <f>1.942/M101</f>
        <v>0.99589743589743585</v>
      </c>
      <c r="N102" s="2894">
        <f>1.942/N101</f>
        <v>0.99589743589743585</v>
      </c>
    </row>
    <row r="103" spans="1:14">
      <c r="A103" s="3248"/>
      <c r="B103" s="2893">
        <v>2</v>
      </c>
      <c r="C103" s="2894">
        <f>1.4198/C101</f>
        <v>0.72810256410256413</v>
      </c>
      <c r="D103" s="2894">
        <f>1.4198/D101</f>
        <v>0.72810256410256413</v>
      </c>
      <c r="E103" s="2894">
        <f>1.3372/E101</f>
        <v>0.68574358974358973</v>
      </c>
      <c r="F103" s="2894">
        <f>1.3372/F101</f>
        <v>0.68574358974358973</v>
      </c>
      <c r="G103" s="2894">
        <f>1.3372/G101</f>
        <v>0.68574358974358973</v>
      </c>
      <c r="H103" s="2894">
        <f>1.3372/H101</f>
        <v>0.68574358974358973</v>
      </c>
      <c r="I103" s="2894">
        <f>1.3372/I101</f>
        <v>0.68574358974358973</v>
      </c>
      <c r="J103" s="2894">
        <f>1.2799/J101</f>
        <v>0.65635897435897439</v>
      </c>
      <c r="K103" s="2894">
        <f>1.2799/K101</f>
        <v>0.65635897435897439</v>
      </c>
      <c r="L103" s="2894">
        <f>1.2799/L101</f>
        <v>0.65635897435897439</v>
      </c>
      <c r="M103" s="2894">
        <f>1.2799/M101</f>
        <v>0.65635897435897439</v>
      </c>
      <c r="N103" s="2894">
        <f>1.2799/N101</f>
        <v>0.65635897435897439</v>
      </c>
    </row>
    <row r="104" spans="1:14">
      <c r="A104" s="3248"/>
      <c r="B104" s="2893">
        <v>3</v>
      </c>
      <c r="C104" s="2894">
        <f>1.1594/C101</f>
        <v>0.59456410256410253</v>
      </c>
      <c r="D104" s="2894">
        <f>1.1594/D101</f>
        <v>0.59456410256410253</v>
      </c>
      <c r="E104" s="2894">
        <f>1.0788/E101</f>
        <v>0.55323076923076919</v>
      </c>
      <c r="F104" s="2894">
        <f>1.0788/F101</f>
        <v>0.55323076923076919</v>
      </c>
      <c r="G104" s="2894">
        <f>1.0788/G101</f>
        <v>0.55323076923076919</v>
      </c>
      <c r="H104" s="2894">
        <f>1.0788/H101</f>
        <v>0.55323076923076919</v>
      </c>
      <c r="I104" s="2894">
        <f>1.0788/I101</f>
        <v>0.55323076923076919</v>
      </c>
      <c r="J104" s="2894">
        <f>1.0072/J101</f>
        <v>0.51651282051282055</v>
      </c>
      <c r="K104" s="2894">
        <f>1.0072/K101</f>
        <v>0.51651282051282055</v>
      </c>
      <c r="L104" s="2894">
        <f>1.0072/L101</f>
        <v>0.51651282051282055</v>
      </c>
      <c r="M104" s="2894">
        <f>1.0072/M101</f>
        <v>0.51651282051282055</v>
      </c>
      <c r="N104" s="2894">
        <f>1.0072/N101</f>
        <v>0.51651282051282055</v>
      </c>
    </row>
    <row r="105" spans="1:14">
      <c r="A105" s="3248"/>
      <c r="B105" s="2893">
        <v>4</v>
      </c>
      <c r="C105" s="2894">
        <f>0.9622/C101</f>
        <v>0.4934358974358975</v>
      </c>
      <c r="D105" s="2894">
        <f>0.9622/D101</f>
        <v>0.4934358974358975</v>
      </c>
      <c r="E105" s="2894">
        <f>0.8656/E101</f>
        <v>0.44389743589743591</v>
      </c>
      <c r="F105" s="2894">
        <f>0.8656/F101</f>
        <v>0.44389743589743591</v>
      </c>
      <c r="G105" s="2894">
        <f>0.8656/G101</f>
        <v>0.44389743589743591</v>
      </c>
      <c r="H105" s="2894">
        <f>0.8656/H101</f>
        <v>0.44389743589743591</v>
      </c>
      <c r="I105" s="2894">
        <f>0.8656/I101</f>
        <v>0.44389743589743591</v>
      </c>
      <c r="J105" s="2894">
        <f>0.7525/J101</f>
        <v>0.38589743589743586</v>
      </c>
      <c r="K105" s="2894">
        <f>0.7525/K101</f>
        <v>0.38589743589743586</v>
      </c>
      <c r="L105" s="2894">
        <f>0.7525/L101</f>
        <v>0.38589743589743586</v>
      </c>
      <c r="M105" s="2894">
        <f>0.7525/M101</f>
        <v>0.38589743589743586</v>
      </c>
      <c r="N105" s="2894">
        <f>0.7525/N101</f>
        <v>0.38589743589743586</v>
      </c>
    </row>
    <row r="106" spans="1:14">
      <c r="A106" s="3248"/>
      <c r="B106" s="2893">
        <v>5</v>
      </c>
      <c r="C106" s="2894">
        <f>0.8417/C101</f>
        <v>0.43164102564102563</v>
      </c>
      <c r="D106" s="2894">
        <f>0.8417/D101</f>
        <v>0.43164102564102563</v>
      </c>
      <c r="E106" s="2894">
        <f>0.7371/E101</f>
        <v>0.378</v>
      </c>
      <c r="F106" s="2894">
        <f>0.7371/F101</f>
        <v>0.378</v>
      </c>
      <c r="G106" s="2894">
        <f>0.7371/G101</f>
        <v>0.378</v>
      </c>
      <c r="H106" s="2894">
        <f>0.7371/H101</f>
        <v>0.378</v>
      </c>
      <c r="I106" s="2894">
        <f>0.7371/I101</f>
        <v>0.378</v>
      </c>
      <c r="J106" s="2894">
        <f>0.5659/J101</f>
        <v>0.29020512820512817</v>
      </c>
      <c r="K106" s="2894">
        <f>0.5659/K101</f>
        <v>0.29020512820512817</v>
      </c>
      <c r="L106" s="2894">
        <f>0.5659/L101</f>
        <v>0.29020512820512817</v>
      </c>
      <c r="M106" s="2894">
        <f>0.5659/M101</f>
        <v>0.29020512820512817</v>
      </c>
      <c r="N106" s="2894">
        <f>0.5659/N101</f>
        <v>0.29020512820512817</v>
      </c>
    </row>
    <row r="107" spans="1:14">
      <c r="A107" s="3248"/>
      <c r="B107" s="2893">
        <v>6</v>
      </c>
      <c r="C107" s="2894">
        <f>0.7608/C101</f>
        <v>0.39015384615384618</v>
      </c>
      <c r="D107" s="2894">
        <f>0.7608/D101</f>
        <v>0.39015384615384618</v>
      </c>
      <c r="E107" s="2894">
        <f>0.6482/E101</f>
        <v>0.3324102564102564</v>
      </c>
      <c r="F107" s="2894">
        <f>0.6482/F101</f>
        <v>0.3324102564102564</v>
      </c>
      <c r="G107" s="2894">
        <f>0.6482/G101</f>
        <v>0.3324102564102564</v>
      </c>
      <c r="H107" s="2894">
        <f>0.6482/H101</f>
        <v>0.3324102564102564</v>
      </c>
      <c r="I107" s="2894">
        <f>0.6482/I101</f>
        <v>0.3324102564102564</v>
      </c>
      <c r="J107" s="2894">
        <f>0.4525/J101</f>
        <v>0.23205128205128206</v>
      </c>
      <c r="K107" s="2894">
        <f>0.4525/K101</f>
        <v>0.23205128205128206</v>
      </c>
      <c r="L107" s="2894">
        <f>0.4525/L101</f>
        <v>0.23205128205128206</v>
      </c>
      <c r="M107" s="2894">
        <f>0.4525/M101</f>
        <v>0.23205128205128206</v>
      </c>
      <c r="N107" s="2894">
        <f>0.4525/N101</f>
        <v>0.23205128205128206</v>
      </c>
    </row>
    <row r="108" spans="1:14">
      <c r="A108" s="3248"/>
      <c r="B108" s="3142"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49"/>
      <c r="B109" s="3143"/>
      <c r="C109" s="2896">
        <f>(-0.163*(C108^2)-0.59*C108+7617)*(10^(-4))/C101</f>
        <v>0.39061538461538464</v>
      </c>
      <c r="D109" s="2896">
        <f>(-0.163*(D108^2)-0.59*D108+7617)*(10^(-4))/D101</f>
        <v>0.39061538461538464</v>
      </c>
      <c r="E109" s="2896">
        <f>(-0.161*(E108^2)-7.509*E108+6533)*(10^(-4))/E101</f>
        <v>0.33502564102564103</v>
      </c>
      <c r="F109" s="2896">
        <f>(-0.161*(F108^2)-7.509*F108+6533)*(10^(-4))/F101</f>
        <v>0.33502564102564103</v>
      </c>
      <c r="G109" s="2896">
        <f>(-0.161*(G108^2)-7.509*G108+6533)*(10^(-4))/G101</f>
        <v>0.33502564102564103</v>
      </c>
      <c r="H109" s="2896">
        <f>(-0.161*(H108^2)-7.509*H108+6533)*(10^(-4))/H101</f>
        <v>0.33502564102564103</v>
      </c>
      <c r="I109" s="2896">
        <f>(-0.161*(I108^2)-7.509*I108+6533)*(10^(-4))/I101</f>
        <v>0.33502564102564103</v>
      </c>
      <c r="J109" s="2896">
        <f>(-0.214*(J108^2)-21.991*J108+4665)*(10^(-4))/J101</f>
        <v>0.23923076923076925</v>
      </c>
      <c r="K109" s="2896">
        <f>(-0.214*(K108^2)-21.991*K108+4665)*(10^(-4))/K101</f>
        <v>0.23923076923076925</v>
      </c>
      <c r="L109" s="2896">
        <f>(-0.214*(L108^2)-21.991*L108+4665)*(10^(-4))/L101</f>
        <v>0.23923076923076925</v>
      </c>
      <c r="M109" s="2896">
        <f>(-0.214*(M108^2)-21.991*M108+4665)*(10^(-4))/M101</f>
        <v>0.23923076923076925</v>
      </c>
      <c r="N109" s="2896">
        <f>(-0.214*(N108^2)-21.991*N108+4665)*(10^(-4))/N101</f>
        <v>0.23923076923076925</v>
      </c>
    </row>
    <row r="110" spans="1:14">
      <c r="A110" s="3245" t="s">
        <v>2981</v>
      </c>
      <c r="B110" s="3245"/>
      <c r="C110" s="3245"/>
      <c r="D110" s="3245"/>
      <c r="E110" s="3245"/>
      <c r="F110" s="3245"/>
      <c r="G110" s="3245"/>
      <c r="H110" s="3245"/>
      <c r="I110" s="3245"/>
      <c r="J110" s="3245"/>
      <c r="K110" s="2899"/>
      <c r="L110" s="2899"/>
      <c r="M110" s="2899"/>
      <c r="N110" s="2899"/>
    </row>
    <row r="112" spans="1:14" ht="13.5" thickBot="1"/>
    <row r="113" spans="1:13" ht="25.5" thickBot="1">
      <c r="A113" s="899" t="s">
        <v>2982</v>
      </c>
      <c r="B113" s="1286">
        <f>G3</f>
        <v>1.95</v>
      </c>
      <c r="C113" s="900" t="s">
        <v>2983</v>
      </c>
      <c r="D113" s="901">
        <f>SUMPRODUCT((A115:A118=F113)*(B114:M114=H113)*B115:M118)</f>
        <v>0.83140000000000003</v>
      </c>
      <c r="E113" s="2722" t="s">
        <v>2815</v>
      </c>
      <c r="F113" s="2901" t="str">
        <f>E2</f>
        <v>办公</v>
      </c>
      <c r="G113" s="2722" t="s">
        <v>2816</v>
      </c>
      <c r="H113" s="2901" t="str">
        <f>G2</f>
        <v>五级</v>
      </c>
      <c r="I113" s="2722"/>
      <c r="J113" s="2902"/>
      <c r="K113" s="2902"/>
      <c r="L113" s="2902"/>
      <c r="M113" s="2902"/>
    </row>
    <row r="114" spans="1:13">
      <c r="A114" s="904"/>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5" t="s">
        <v>2880</v>
      </c>
      <c r="B115" s="906">
        <f>ROUND(0.9335-0.0094*B113,4)</f>
        <v>0.91520000000000001</v>
      </c>
      <c r="C115" s="906">
        <f>B115</f>
        <v>0.91520000000000001</v>
      </c>
      <c r="D115" s="906">
        <f>ROUND(0.8331-0.0109*B113,4)</f>
        <v>0.81179999999999997</v>
      </c>
      <c r="E115" s="906">
        <f>D115</f>
        <v>0.81179999999999997</v>
      </c>
      <c r="F115" s="906">
        <f>E115</f>
        <v>0.81179999999999997</v>
      </c>
      <c r="G115" s="906">
        <f>F115</f>
        <v>0.81179999999999997</v>
      </c>
      <c r="H115" s="906">
        <f>G115</f>
        <v>0.81179999999999997</v>
      </c>
      <c r="I115" s="906">
        <f>ROUND(0.689-0.0155*B113,4)</f>
        <v>0.65880000000000005</v>
      </c>
      <c r="J115" s="906">
        <f t="shared" ref="J115:M118" si="33">I115</f>
        <v>0.65880000000000005</v>
      </c>
      <c r="K115" s="906">
        <f t="shared" si="33"/>
        <v>0.65880000000000005</v>
      </c>
      <c r="L115" s="906">
        <f t="shared" si="33"/>
        <v>0.65880000000000005</v>
      </c>
      <c r="M115" s="907">
        <f t="shared" si="33"/>
        <v>0.65880000000000005</v>
      </c>
    </row>
    <row r="116" spans="1:13">
      <c r="A116" s="905" t="s">
        <v>2881</v>
      </c>
      <c r="B116" s="906">
        <f>ROUND(0.949-0.012*B113,4)</f>
        <v>0.92559999999999998</v>
      </c>
      <c r="C116" s="906">
        <f>B116</f>
        <v>0.92559999999999998</v>
      </c>
      <c r="D116" s="906">
        <f>ROUND(0.8567-0.013*B113,4)</f>
        <v>0.83140000000000003</v>
      </c>
      <c r="E116" s="906">
        <f t="shared" ref="E116:H117" si="34">D116</f>
        <v>0.83140000000000003</v>
      </c>
      <c r="F116" s="906">
        <f t="shared" si="34"/>
        <v>0.83140000000000003</v>
      </c>
      <c r="G116" s="906">
        <f t="shared" si="34"/>
        <v>0.83140000000000003</v>
      </c>
      <c r="H116" s="906">
        <f t="shared" si="34"/>
        <v>0.83140000000000003</v>
      </c>
      <c r="I116" s="906">
        <f>ROUND(0.7694-0.014*B113,4)</f>
        <v>0.74209999999999998</v>
      </c>
      <c r="J116" s="906">
        <f t="shared" si="33"/>
        <v>0.74209999999999998</v>
      </c>
      <c r="K116" s="906">
        <f t="shared" si="33"/>
        <v>0.74209999999999998</v>
      </c>
      <c r="L116" s="906">
        <f t="shared" si="33"/>
        <v>0.74209999999999998</v>
      </c>
      <c r="M116" s="907">
        <f t="shared" si="33"/>
        <v>0.74209999999999998</v>
      </c>
    </row>
    <row r="117" spans="1:13">
      <c r="A117" s="905" t="s">
        <v>2882</v>
      </c>
      <c r="B117" s="906">
        <f>ROUND(0.8808-0.006*B113,4)</f>
        <v>0.86909999999999998</v>
      </c>
      <c r="C117" s="906">
        <f>B117</f>
        <v>0.86909999999999998</v>
      </c>
      <c r="D117" s="906">
        <f>ROUND(0.8748-0.008*B113,4)</f>
        <v>0.85919999999999996</v>
      </c>
      <c r="E117" s="906">
        <f t="shared" si="34"/>
        <v>0.85919999999999996</v>
      </c>
      <c r="F117" s="906">
        <f t="shared" si="34"/>
        <v>0.85919999999999996</v>
      </c>
      <c r="G117" s="906">
        <f t="shared" si="34"/>
        <v>0.85919999999999996</v>
      </c>
      <c r="H117" s="906">
        <f t="shared" si="34"/>
        <v>0.85919999999999996</v>
      </c>
      <c r="I117" s="906">
        <f>ROUND(0.7412-0.0095*B113,4)</f>
        <v>0.72270000000000001</v>
      </c>
      <c r="J117" s="906">
        <f t="shared" si="33"/>
        <v>0.72270000000000001</v>
      </c>
      <c r="K117" s="906">
        <f t="shared" si="33"/>
        <v>0.72270000000000001</v>
      </c>
      <c r="L117" s="906">
        <f t="shared" si="33"/>
        <v>0.72270000000000001</v>
      </c>
      <c r="M117" s="907">
        <f t="shared" si="33"/>
        <v>0.72270000000000001</v>
      </c>
    </row>
    <row r="118" spans="1:13" ht="13.5" thickBot="1">
      <c r="A118" s="714" t="s">
        <v>2883</v>
      </c>
      <c r="B118" s="908">
        <f>ROUND(0.7275-0.01*B113,4)</f>
        <v>0.70799999999999996</v>
      </c>
      <c r="C118" s="908">
        <f>B118</f>
        <v>0.70799999999999996</v>
      </c>
      <c r="D118" s="908">
        <f>ROUND(0.7043-0.012*B113,4)</f>
        <v>0.68089999999999995</v>
      </c>
      <c r="E118" s="908">
        <f>D118</f>
        <v>0.68089999999999995</v>
      </c>
      <c r="F118" s="908">
        <f>E118</f>
        <v>0.68089999999999995</v>
      </c>
      <c r="G118" s="908">
        <f>ROUND(0.6299-0.0122*B113,4)</f>
        <v>0.60609999999999997</v>
      </c>
      <c r="H118" s="908">
        <f>G118</f>
        <v>0.60609999999999997</v>
      </c>
      <c r="I118" s="908">
        <f>ROUND(0.5667-0.0136*B113,4)</f>
        <v>0.54020000000000001</v>
      </c>
      <c r="J118" s="908">
        <f t="shared" si="33"/>
        <v>0.54020000000000001</v>
      </c>
      <c r="K118" s="908">
        <f t="shared" si="33"/>
        <v>0.54020000000000001</v>
      </c>
      <c r="L118" s="908">
        <f t="shared" si="33"/>
        <v>0.54020000000000001</v>
      </c>
      <c r="M118" s="909">
        <f t="shared" si="33"/>
        <v>0.54020000000000001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3068</v>
      </c>
      <c r="D1" s="1819" t="s">
        <v>70</v>
      </c>
      <c r="E1" s="1820" t="s">
        <v>1387</v>
      </c>
      <c r="F1" s="1282">
        <f ca="1">J53</f>
        <v>43.52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42302</v>
      </c>
      <c r="C2" s="1844" t="s">
        <v>1516</v>
      </c>
      <c r="D2" s="1844"/>
      <c r="E2" s="1845"/>
      <c r="F2" s="1846"/>
      <c r="G2" s="1847"/>
      <c r="H2" s="1839"/>
      <c r="I2" s="1839"/>
      <c r="J2" s="1839"/>
      <c r="K2" s="1840"/>
      <c r="L2" s="1839"/>
      <c r="M2" s="1839"/>
    </row>
    <row r="3" spans="1:37" ht="18" customHeight="1" thickBot="1">
      <c r="A3" s="1848" t="s">
        <v>1517</v>
      </c>
      <c r="B3" s="1849">
        <f ca="1">IF(ISERROR(B2*10000/F43),0,ROUND(B2*10000/F43,0))</f>
        <v>51298</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1438</v>
      </c>
      <c r="D5" s="1821" t="s">
        <v>1402</v>
      </c>
      <c r="E5" s="1292"/>
      <c r="F5" s="1293"/>
      <c r="G5" s="1850"/>
      <c r="H5" s="344">
        <v>1</v>
      </c>
      <c r="I5" s="345" t="s">
        <v>1401</v>
      </c>
      <c r="J5" s="1291">
        <f ca="1">J6+J10+J12</f>
        <v>0</v>
      </c>
      <c r="K5" s="1821" t="s">
        <v>1402</v>
      </c>
      <c r="L5" s="1292"/>
      <c r="M5" s="1293"/>
    </row>
    <row r="6" spans="1:37" ht="18" customHeight="1">
      <c r="A6" s="1290" t="s">
        <v>1035</v>
      </c>
      <c r="B6" s="3234" t="s">
        <v>1403</v>
      </c>
      <c r="C6" s="1295">
        <f ca="1">ROUND(F6*F8*F7*(1-F9)/10000,0)</f>
        <v>1436</v>
      </c>
      <c r="D6" s="164" t="s">
        <v>3033</v>
      </c>
      <c r="E6" s="347" t="s">
        <v>1405</v>
      </c>
      <c r="F6" s="348">
        <f ca="1">INDIRECT("'数据-取费表'!u"&amp;$G$1)</f>
        <v>5.3</v>
      </c>
      <c r="G6" s="1850"/>
      <c r="H6" s="1290" t="s">
        <v>1035</v>
      </c>
      <c r="I6" s="3234" t="s">
        <v>1403</v>
      </c>
      <c r="J6" s="346">
        <f ca="1">ROUND(M6*M8*M7*(1-M9)/10000,0)</f>
        <v>0</v>
      </c>
      <c r="K6" s="164" t="s">
        <v>3032</v>
      </c>
      <c r="L6" s="347" t="s">
        <v>1405</v>
      </c>
      <c r="M6" s="348">
        <f ca="1">INDIRECT("'数据-取费表'!z"&amp;$G$1)</f>
        <v>0</v>
      </c>
    </row>
    <row r="7" spans="1:37" ht="18" customHeight="1">
      <c r="A7" s="1294"/>
      <c r="B7" s="3235"/>
      <c r="C7" s="1296"/>
      <c r="D7" s="352"/>
      <c r="E7" s="1297" t="s">
        <v>1406</v>
      </c>
      <c r="F7" s="348">
        <f ca="1">IF(INDIRECT("'数据-取费表'!ah"&amp;$G$1)="",INDIRECT("'数据-取费表'!k"&amp;$G$1),INDIRECT("'数据-取费表'!ah"&amp;$G$1))</f>
        <v>8246.2800000000007</v>
      </c>
      <c r="G7" s="1850"/>
      <c r="H7" s="349"/>
      <c r="I7" s="3235"/>
      <c r="J7" s="351"/>
      <c r="K7" s="352"/>
      <c r="L7" s="347" t="s">
        <v>1406</v>
      </c>
      <c r="M7" s="348">
        <f ca="1">F7</f>
        <v>8246.2800000000007</v>
      </c>
    </row>
    <row r="8" spans="1:37" ht="18" customHeight="1">
      <c r="A8" s="349"/>
      <c r="B8" s="3235"/>
      <c r="C8" s="351"/>
      <c r="D8" s="352"/>
      <c r="E8" s="347" t="s">
        <v>1407</v>
      </c>
      <c r="F8" s="348">
        <f ca="1">INDIRECT("'数据-取费表'!ai"&amp;$G$1)</f>
        <v>365</v>
      </c>
      <c r="G8" s="1850"/>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0.1</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2</v>
      </c>
      <c r="D10" s="1823" t="s">
        <v>3042</v>
      </c>
      <c r="E10" s="358" t="s">
        <v>1410</v>
      </c>
      <c r="F10" s="1365" t="s">
        <v>3162</v>
      </c>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3766</v>
      </c>
      <c r="D13" s="1330" t="s">
        <v>1415</v>
      </c>
      <c r="E13" s="1330" t="s">
        <v>1416</v>
      </c>
      <c r="F13" s="1331">
        <f ca="1">INDIRECT("'数据-取费表'!y"&amp;$G$1)</f>
        <v>0.93</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2474</v>
      </c>
      <c r="D14" s="1799" t="s">
        <v>1418</v>
      </c>
      <c r="E14" s="1793"/>
      <c r="F14" s="364"/>
      <c r="G14" s="1850"/>
      <c r="H14" s="1200" t="s">
        <v>1035</v>
      </c>
      <c r="I14" s="347" t="s">
        <v>1419</v>
      </c>
      <c r="J14" s="24">
        <f ca="1">C29</f>
        <v>4049</v>
      </c>
      <c r="K14" s="15"/>
      <c r="L14" s="978"/>
      <c r="M14" s="979"/>
    </row>
    <row r="15" spans="1:37" s="1857" customFormat="1" ht="18" customHeight="1" thickBot="1">
      <c r="A15" s="1200" t="s">
        <v>1036</v>
      </c>
      <c r="B15" s="347" t="s">
        <v>1420</v>
      </c>
      <c r="C15" s="24">
        <f ca="1">ROUND(C14*F15,0)</f>
        <v>74</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98</v>
      </c>
      <c r="K16" s="1336" t="s">
        <v>1425</v>
      </c>
      <c r="L16" s="1337"/>
      <c r="M16" s="1293"/>
    </row>
    <row r="17" spans="1:37" s="1857" customFormat="1" ht="18" customHeight="1">
      <c r="A17" s="1200" t="s">
        <v>1390</v>
      </c>
      <c r="B17" s="347" t="s">
        <v>1426</v>
      </c>
      <c r="C17" s="24">
        <f ca="1">ROUND(F17*(F43+INDIRECT("'数据-取费表'!S"&amp;$G$1))/10000,0)</f>
        <v>165</v>
      </c>
      <c r="D17" s="347" t="s">
        <v>1427</v>
      </c>
      <c r="E17" s="347" t="s">
        <v>1428</v>
      </c>
      <c r="F17" s="26">
        <f>'数据-取费表'!B35</f>
        <v>200</v>
      </c>
      <c r="G17" s="1853"/>
      <c r="H17" s="1200" t="s">
        <v>1035</v>
      </c>
      <c r="I17" s="347" t="s">
        <v>1429</v>
      </c>
      <c r="J17" s="24">
        <f ca="1">ROUND(IF(项目基本情况!B11="自然人",J5*M17,J18+J19+J20),1)</f>
        <v>37.200000000000003</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37</v>
      </c>
      <c r="D18" s="347" t="s">
        <v>1421</v>
      </c>
      <c r="E18" s="347" t="s">
        <v>1422</v>
      </c>
      <c r="F18" s="367">
        <f>'数据-取费表'!B36</f>
        <v>1.4999999999999999E-2</v>
      </c>
      <c r="G18" s="1853"/>
      <c r="H18" s="1200"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2750</v>
      </c>
      <c r="D19" s="140" t="s">
        <v>1436</v>
      </c>
      <c r="E19" s="1817"/>
      <c r="F19" s="26"/>
      <c r="G19" s="1850"/>
      <c r="H19" s="1200" t="s">
        <v>1036</v>
      </c>
      <c r="I19" s="347" t="s">
        <v>1437</v>
      </c>
      <c r="J19" s="24">
        <f ca="1">IF(K19="按租金收入计税",ROUND(J5*M19,2),ROUND(C29*M19*0.7,2))</f>
        <v>34.01</v>
      </c>
      <c r="K19" s="1827" t="s">
        <v>1438</v>
      </c>
      <c r="L19" s="347" t="s">
        <v>1422</v>
      </c>
      <c r="M19" s="367">
        <f>IF(K19="按租金收入计税",'数据-取费表'!B51,'数据-取费表'!B50)</f>
        <v>1.2E-2</v>
      </c>
    </row>
    <row r="20" spans="1:37" s="1857" customFormat="1" ht="18" customHeight="1">
      <c r="A20" s="1200" t="s">
        <v>1039</v>
      </c>
      <c r="B20" s="347" t="s">
        <v>1439</v>
      </c>
      <c r="C20" s="24">
        <f ca="1">ROUND(C19*F20,0)</f>
        <v>83</v>
      </c>
      <c r="D20" s="369" t="s">
        <v>1440</v>
      </c>
      <c r="E20" s="347" t="s">
        <v>1422</v>
      </c>
      <c r="F20" s="367">
        <f>'数据-取费表'!B37</f>
        <v>0.03</v>
      </c>
      <c r="G20" s="1853"/>
      <c r="H20" s="1200" t="s">
        <v>1389</v>
      </c>
      <c r="I20" s="164" t="s">
        <v>1441</v>
      </c>
      <c r="J20" s="25">
        <f ca="1">ROUND(M20*M21/10000,2)</f>
        <v>3.19</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2659.1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ROUND(J14*M22,1)</f>
        <v>60.7</v>
      </c>
      <c r="K22" s="1797"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135</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1817"/>
      <c r="F25" s="26"/>
      <c r="G25" s="1850"/>
      <c r="H25" s="1328" t="s">
        <v>1031</v>
      </c>
      <c r="I25" s="1343" t="s">
        <v>1463</v>
      </c>
      <c r="J25" s="355">
        <f ca="1">J5-J16</f>
        <v>-98</v>
      </c>
      <c r="K25" s="1344" t="s">
        <v>1464</v>
      </c>
      <c r="L25" s="1345"/>
      <c r="M25" s="1346"/>
    </row>
    <row r="26" spans="1:37">
      <c r="A26" s="1200" t="s">
        <v>1034</v>
      </c>
      <c r="B26" s="347" t="s">
        <v>1465</v>
      </c>
      <c r="C26" s="24">
        <f ca="1">ROUND((C19+C20)*F26,0)</f>
        <v>708</v>
      </c>
      <c r="D26" s="369" t="s">
        <v>1466</v>
      </c>
      <c r="E26" s="358" t="s">
        <v>1467</v>
      </c>
      <c r="F26" s="357">
        <f ca="1">INDIRECT("'数据-取费表'!q"&amp;$G$1)</f>
        <v>0.25</v>
      </c>
      <c r="G26" s="1850"/>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0" t="s">
        <v>1036</v>
      </c>
      <c r="B27" s="347" t="s">
        <v>1471</v>
      </c>
      <c r="C27" s="24">
        <f ca="1">ROUND(F21*F26,4)</f>
        <v>7.4999999999999997E-3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4049</v>
      </c>
      <c r="D29" s="1341"/>
      <c r="E29" s="1339"/>
      <c r="F29" s="1342"/>
      <c r="G29" s="1853"/>
      <c r="H29" s="380" t="s">
        <v>1033</v>
      </c>
      <c r="I29" s="381" t="s">
        <v>1479</v>
      </c>
      <c r="J29" s="382">
        <f ca="1">ROUND(J26/(1+F40)^F41,0)</f>
        <v>0</v>
      </c>
      <c r="K29" s="383" t="s">
        <v>1480</v>
      </c>
      <c r="L29" s="384"/>
      <c r="M29" s="385">
        <f ca="1">INDIRECT("'数据-取费表'!k"&amp;$G$1)</f>
        <v>8246.2800000000007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202</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ROUND(IF(项目基本情况!B11="自然人",C5*F31,C32+C33+C34),1)</f>
        <v>113.9</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76.69</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34.01</v>
      </c>
      <c r="D33" s="1827" t="s">
        <v>3176</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3.19</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2659.1</v>
      </c>
      <c r="G35" s="1850"/>
      <c r="H35" s="745"/>
      <c r="I35" s="1859"/>
      <c r="J35" s="1860"/>
      <c r="K35" s="1861"/>
      <c r="L35" s="1858"/>
      <c r="M35" s="1858"/>
    </row>
    <row r="36" spans="1:18" ht="18" customHeight="1">
      <c r="A36" s="1351" t="s">
        <v>1039</v>
      </c>
      <c r="B36" s="347" t="s">
        <v>1449</v>
      </c>
      <c r="C36" s="24">
        <f ca="1">ROUND(C29*F36,1)</f>
        <v>60.7</v>
      </c>
      <c r="D36" s="1797"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5.6</v>
      </c>
      <c r="D37" s="1797"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21.6</v>
      </c>
      <c r="D38" s="1341" t="s">
        <v>1459</v>
      </c>
      <c r="E38" s="1339" t="s">
        <v>1455</v>
      </c>
      <c r="F38" s="1335">
        <f ca="1">INDIRECT("'数据-取费表'!Am"&amp;$G$1)</f>
        <v>1.4999999999999999E-2</v>
      </c>
      <c r="G38" s="1850"/>
      <c r="H38" s="1858"/>
      <c r="I38" s="1859"/>
      <c r="J38" s="1860"/>
      <c r="K38" s="1864"/>
      <c r="L38" s="1858"/>
      <c r="M38" s="1858"/>
    </row>
    <row r="39" spans="1:18" ht="24.6" customHeight="1" thickTop="1">
      <c r="A39" s="1328" t="s">
        <v>1031</v>
      </c>
      <c r="B39" s="1343" t="s">
        <v>1483</v>
      </c>
      <c r="C39" s="355">
        <f ca="1">C5-C30</f>
        <v>1236</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42264</v>
      </c>
      <c r="D40" s="370" t="s">
        <v>1469</v>
      </c>
      <c r="E40" s="347" t="s">
        <v>1470</v>
      </c>
      <c r="F40" s="357">
        <f ca="1">INDIRECT("'数据-取费表'!I"&amp;$G$1)</f>
        <v>4.4999999999999998E-2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43.52</v>
      </c>
      <c r="G41" s="1850"/>
      <c r="H41" s="732"/>
      <c r="I41" s="1859"/>
      <c r="J41" s="1860"/>
      <c r="K41" s="751"/>
      <c r="L41" s="732"/>
      <c r="M41" s="732"/>
    </row>
    <row r="42" spans="1:18" ht="18" customHeight="1">
      <c r="A42" s="353"/>
      <c r="B42" s="354"/>
      <c r="C42" s="355"/>
      <c r="D42" s="373"/>
      <c r="E42" s="347" t="s">
        <v>1477</v>
      </c>
      <c r="F42" s="357">
        <f ca="1">INDIRECT("'数据-取费表'!v"&amp;$G$1)</f>
        <v>3.5000000000000003E-2</v>
      </c>
      <c r="G42" s="1850"/>
      <c r="H42" s="732"/>
      <c r="I42" s="1859"/>
      <c r="J42" s="1860"/>
      <c r="K42" s="751"/>
      <c r="L42" s="732"/>
      <c r="M42" s="732"/>
    </row>
    <row r="43" spans="1:18" ht="18" customHeight="1" thickBot="1">
      <c r="A43" s="380" t="s">
        <v>1033</v>
      </c>
      <c r="B43" s="381" t="s">
        <v>1487</v>
      </c>
      <c r="C43" s="382">
        <f ca="1">ROUND(C40*10000/F43,0)</f>
        <v>51252</v>
      </c>
      <c r="D43" s="383" t="s">
        <v>1488</v>
      </c>
      <c r="E43" s="384" t="s">
        <v>1489</v>
      </c>
      <c r="F43" s="385">
        <f ca="1">INDIRECT("'数据-取费表'!k"&amp;$G$1)</f>
        <v>8246.2800000000007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-44235</v>
      </c>
      <c r="D46" s="1871" t="str">
        <f>C2</f>
        <v>万元</v>
      </c>
      <c r="E46" s="1865"/>
      <c r="F46" s="1865"/>
      <c r="I46" s="1872" t="s">
        <v>1521</v>
      </c>
      <c r="J46" s="1873"/>
      <c r="K46" s="1874"/>
      <c r="L46" s="1875">
        <f ca="1">IF(M47="住宅",0,IF(L48&gt;J51,L60,J60))</f>
        <v>38</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42264</v>
      </c>
      <c r="R47" s="1885" t="s">
        <v>1529</v>
      </c>
    </row>
    <row r="48" spans="1:18" s="1841" customFormat="1" ht="28.5" thickBot="1">
      <c r="A48" s="1359" t="s">
        <v>1135</v>
      </c>
      <c r="B48" s="345" t="s">
        <v>1401</v>
      </c>
      <c r="C48" s="1816">
        <f ca="1">C49+C53+C55</f>
        <v>0</v>
      </c>
      <c r="D48" s="1361"/>
      <c r="E48" s="1362"/>
      <c r="F48" s="1180"/>
      <c r="G48" s="792"/>
      <c r="H48" s="793"/>
      <c r="I48" s="1886" t="s">
        <v>1530</v>
      </c>
      <c r="J48" s="1887" t="s">
        <v>3173</v>
      </c>
      <c r="K48" s="1888" t="s">
        <v>1531</v>
      </c>
      <c r="L48" s="1889">
        <f ca="1">INDIRECT("'数据-取费表'!f"&amp;$G$1)</f>
        <v>43.52</v>
      </c>
      <c r="O48" s="1883" t="s">
        <v>1041</v>
      </c>
      <c r="P48" s="1884" t="s">
        <v>1532</v>
      </c>
      <c r="Q48" s="1885">
        <f ca="1">J60</f>
        <v>38</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4049</v>
      </c>
      <c r="R49" s="1885" t="s">
        <v>1529</v>
      </c>
    </row>
    <row r="50" spans="1:18" s="1841" customFormat="1" ht="13.5" thickBot="1">
      <c r="A50" s="1194"/>
      <c r="B50" s="1197"/>
      <c r="C50" s="1367"/>
      <c r="D50" s="1171"/>
      <c r="E50" s="1276" t="s">
        <v>1406</v>
      </c>
      <c r="F50" s="1277">
        <f ca="1">F7</f>
        <v>8246.2800000000007</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57</v>
      </c>
      <c r="K51" s="1899" t="s">
        <v>1541</v>
      </c>
      <c r="L51" s="1900">
        <f ca="1">ROUND(-PV(INDIRECT("'数据-取费表'!h"&amp;$G$1),L48,(C39-C13*C76),0),0)</f>
        <v>18358</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43.52</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43.52</v>
      </c>
      <c r="K53" s="3237" t="s">
        <v>1548</v>
      </c>
      <c r="L53" s="3238"/>
      <c r="O53" s="1883" t="s">
        <v>1046</v>
      </c>
      <c r="P53" s="1884" t="s">
        <v>1549</v>
      </c>
      <c r="Q53" s="1885">
        <f ca="1">Q47+Q48</f>
        <v>42302</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f ca="1">ROUND(IF(J47="钢混",J57/J50,1-(1-2%)*(J50-J57)/J50),3)</f>
        <v>0.22500000000000001</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3766</v>
      </c>
      <c r="D56" s="1913"/>
      <c r="E56" s="1914"/>
      <c r="F56" s="1906"/>
      <c r="I56" s="1915" t="s">
        <v>1554</v>
      </c>
      <c r="J56" s="1916" t="s">
        <v>3058</v>
      </c>
      <c r="K56" s="1886" t="s">
        <v>1555</v>
      </c>
      <c r="L56" s="1889" t="str">
        <f ca="1">IF(L48&lt;J51,"——",L48-J53)</f>
        <v>——</v>
      </c>
      <c r="O56" s="1883" t="s">
        <v>1040</v>
      </c>
      <c r="P56" s="1884" t="s">
        <v>1528</v>
      </c>
      <c r="Q56" s="1885">
        <f ca="1">C40+J29</f>
        <v>42264</v>
      </c>
      <c r="R56" s="1885" t="s">
        <v>1529</v>
      </c>
    </row>
    <row r="57" spans="1:18" s="1841" customFormat="1" ht="24.75" thickBot="1">
      <c r="A57" s="1917"/>
      <c r="B57" s="1168" t="s">
        <v>1478</v>
      </c>
      <c r="C57" s="282">
        <f ca="1">C29</f>
        <v>4049</v>
      </c>
      <c r="D57" s="1918"/>
      <c r="E57" s="1919"/>
      <c r="F57" s="1920"/>
      <c r="I57" s="1921" t="s">
        <v>1556</v>
      </c>
      <c r="J57" s="1922">
        <f ca="1">IF(OR(M47="住宅",J51&lt;L48,J56="是"),"——",J51-L48)</f>
        <v>13.479999999999997</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104</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37.200000000000003</v>
      </c>
      <c r="D59" s="1181" t="s">
        <v>1430</v>
      </c>
      <c r="E59" s="1182" t="s">
        <v>1431</v>
      </c>
      <c r="F59" s="368" t="str">
        <f ca="1">IF(项目基本情况!B11="企业","",IF(INDIRECT("'数据-取费表'!c"&amp;$G$1)="住宅",5%,IF(F49*F50*F51/12/(1+'数据-取费表'!C42)&gt;20000,12%,7%)))</f>
        <v/>
      </c>
      <c r="I59" s="1921" t="s">
        <v>1563</v>
      </c>
      <c r="J59" s="1922">
        <f ca="1">IF(OR(M47="住宅",J51&lt;L48,J56="是"),"——",ROUND(C29*J58,0))</f>
        <v>1620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38</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34.01</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3.19</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42264</v>
      </c>
      <c r="R62" s="1885" t="s">
        <v>1047</v>
      </c>
    </row>
    <row r="63" spans="1:18" s="1841" customFormat="1" ht="13.5" thickBot="1">
      <c r="A63" s="372"/>
      <c r="B63" s="1174"/>
      <c r="C63" s="29"/>
      <c r="D63" s="1184"/>
      <c r="E63" s="1168" t="s">
        <v>1499</v>
      </c>
      <c r="F63" s="348">
        <f t="shared" ca="1" si="0"/>
        <v>2659.1</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60.7</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5.6</v>
      </c>
      <c r="D65" s="1182" t="s">
        <v>1454</v>
      </c>
      <c r="E65" s="1168" t="s">
        <v>1455</v>
      </c>
      <c r="F65" s="376">
        <f t="shared" ca="1" si="0"/>
        <v>1.5E-3</v>
      </c>
      <c r="I65" s="1928" t="s">
        <v>1579</v>
      </c>
      <c r="J65" s="1929">
        <v>40</v>
      </c>
      <c r="K65" s="1929">
        <v>30</v>
      </c>
      <c r="L65" s="1929">
        <v>50</v>
      </c>
      <c r="M65" s="1931">
        <v>0.02</v>
      </c>
      <c r="O65" s="1883" t="s">
        <v>1040</v>
      </c>
      <c r="P65" s="1884" t="s">
        <v>1580</v>
      </c>
      <c r="Q65" s="1885">
        <f ca="1">C40+J29</f>
        <v>42264</v>
      </c>
      <c r="R65" s="1885" t="s">
        <v>1529</v>
      </c>
    </row>
    <row r="66" spans="1:18" s="1841" customFormat="1" ht="16.5" thickBot="1">
      <c r="A66" s="1200" t="s">
        <v>1504</v>
      </c>
      <c r="B66" s="1168" t="s">
        <v>1439</v>
      </c>
      <c r="C66" s="24">
        <f ca="1">ROUND(C48*F66,1)</f>
        <v>0</v>
      </c>
      <c r="D66" s="1182" t="s">
        <v>1505</v>
      </c>
      <c r="E66" s="1168" t="s">
        <v>1422</v>
      </c>
      <c r="F66" s="357">
        <f t="shared" ca="1" si="0"/>
        <v>1.4999999999999999E-2</v>
      </c>
      <c r="O66" s="1883" t="s">
        <v>1041</v>
      </c>
      <c r="P66" s="1884" t="s">
        <v>1558</v>
      </c>
      <c r="Q66" s="1885">
        <f ca="1">L60</f>
        <v>0</v>
      </c>
      <c r="R66" s="1885" t="s">
        <v>1581</v>
      </c>
    </row>
    <row r="67" spans="1:18" s="1841" customFormat="1" ht="16.5" thickBot="1">
      <c r="A67" s="1175" t="s">
        <v>1031</v>
      </c>
      <c r="B67" s="1185" t="s">
        <v>1463</v>
      </c>
      <c r="C67" s="361">
        <f ca="1">C48-C58</f>
        <v>-104</v>
      </c>
      <c r="D67" s="1181" t="s">
        <v>1464</v>
      </c>
      <c r="E67" s="1186"/>
      <c r="F67" s="1187"/>
      <c r="O67" s="1893" t="s">
        <v>1042</v>
      </c>
      <c r="P67" s="1884" t="s">
        <v>1562</v>
      </c>
      <c r="Q67" s="1932">
        <f ca="1">L51</f>
        <v>18358</v>
      </c>
      <c r="R67" s="1885" t="s">
        <v>1582</v>
      </c>
    </row>
    <row r="68" spans="1:18" s="1841" customFormat="1" ht="16.5" thickBot="1">
      <c r="A68" s="1165" t="s">
        <v>1032</v>
      </c>
      <c r="B68" s="1166" t="s">
        <v>1485</v>
      </c>
      <c r="C68" s="346">
        <f ca="1">ROUND(C67*(1-((1+F70)/(1+F68))^F69)/(F68-F70),0)</f>
        <v>-1971</v>
      </c>
      <c r="D68" s="1183" t="s">
        <v>1469</v>
      </c>
      <c r="E68" s="1168" t="s">
        <v>1470</v>
      </c>
      <c r="F68" s="357">
        <f ca="1">F40</f>
        <v>4.4999999999999998E-2</v>
      </c>
      <c r="O68" s="1893" t="s">
        <v>1043</v>
      </c>
      <c r="P68" s="1933" t="s">
        <v>1583</v>
      </c>
      <c r="Q68" s="1885">
        <f ca="1">ROUND(Q69-Q70*Q71,0)</f>
        <v>897</v>
      </c>
      <c r="R68" s="1885" t="s">
        <v>1051</v>
      </c>
    </row>
    <row r="69" spans="1:18" s="1841" customFormat="1" ht="13.5" thickBot="1">
      <c r="A69" s="1169"/>
      <c r="B69" s="1170"/>
      <c r="C69" s="351"/>
      <c r="D69" s="1188" t="s">
        <v>1473</v>
      </c>
      <c r="E69" s="1168" t="s">
        <v>1474</v>
      </c>
      <c r="F69" s="379">
        <f ca="1">F41</f>
        <v>43.52</v>
      </c>
      <c r="O69" s="1893" t="s">
        <v>1048</v>
      </c>
      <c r="P69" s="1933" t="s">
        <v>1584</v>
      </c>
      <c r="Q69" s="1885">
        <f ca="1">C39</f>
        <v>1236</v>
      </c>
      <c r="R69" s="1885" t="s">
        <v>1529</v>
      </c>
    </row>
    <row r="70" spans="1:18" s="1841" customFormat="1" ht="13.5" thickBot="1">
      <c r="A70" s="1172"/>
      <c r="B70" s="1173"/>
      <c r="C70" s="355"/>
      <c r="D70" s="1184"/>
      <c r="E70" s="1168" t="s">
        <v>1477</v>
      </c>
      <c r="F70" s="1274"/>
      <c r="O70" s="1893" t="s">
        <v>1049</v>
      </c>
      <c r="P70" s="1933" t="s">
        <v>1585</v>
      </c>
      <c r="Q70" s="1885">
        <f ca="1">C13</f>
        <v>3766</v>
      </c>
      <c r="R70" s="1885" t="s">
        <v>1529</v>
      </c>
    </row>
    <row r="71" spans="1:18" s="1841" customFormat="1" ht="13.5" thickBot="1">
      <c r="A71" s="1189" t="s">
        <v>1033</v>
      </c>
      <c r="B71" s="1190" t="s">
        <v>1487</v>
      </c>
      <c r="C71" s="382">
        <f ca="1">ROUND(C68*10000/F71,0)</f>
        <v>-2390</v>
      </c>
      <c r="D71" s="1191" t="s">
        <v>1488</v>
      </c>
      <c r="E71" s="1192" t="s">
        <v>1489</v>
      </c>
      <c r="F71" s="385">
        <f ca="1">F43</f>
        <v>8246.2800000000007</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339</v>
      </c>
      <c r="D75" s="1841"/>
      <c r="E75" s="1841"/>
      <c r="F75" s="1841"/>
      <c r="K75" s="1867"/>
      <c r="L75" s="1841"/>
      <c r="O75" s="1883" t="s">
        <v>1046</v>
      </c>
      <c r="P75" s="1884" t="s">
        <v>1549</v>
      </c>
      <c r="Q75" s="1885">
        <f ca="1">Q65+Q66</f>
        <v>42264</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0.72599999999999998</v>
      </c>
    </row>
    <row r="80" spans="1:18">
      <c r="B80" s="386" t="s">
        <v>1511</v>
      </c>
      <c r="C80" s="318">
        <f ca="1">ROUND(C75/C39,3)</f>
        <v>0.27400000000000002</v>
      </c>
    </row>
    <row r="81" spans="2:3">
      <c r="B81" s="314" t="s">
        <v>1512</v>
      </c>
      <c r="C81" s="282"/>
    </row>
    <row r="82" spans="2:3">
      <c r="B82" s="317" t="s">
        <v>1513</v>
      </c>
      <c r="C82" s="319">
        <f ca="1">1-C83</f>
        <v>0.91100000000000003</v>
      </c>
    </row>
    <row r="83" spans="2:3">
      <c r="B83" s="317" t="s">
        <v>1514</v>
      </c>
      <c r="C83" s="318">
        <f ca="1">ROUND(C13/C40,3)</f>
        <v>8.8999999999999996E-2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D20" sqref="D2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3069</v>
      </c>
      <c r="D1" s="2415"/>
      <c r="E1" s="2415"/>
      <c r="F1" s="2417" t="s">
        <v>2119</v>
      </c>
      <c r="G1" s="2068" t="s">
        <v>3059</v>
      </c>
      <c r="H1" s="2418" t="str">
        <f>IF(G1="现房","——","估价对象范围")</f>
        <v>——</v>
      </c>
      <c r="I1" s="2419" t="s">
        <v>3174</v>
      </c>
    </row>
    <row r="2" spans="1:12" ht="21.75" customHeight="1" thickBot="1">
      <c r="A2" s="3096" t="str">
        <f>项目基本情况!S2</f>
        <v>北京市房地产</v>
      </c>
      <c r="B2" s="3097"/>
      <c r="C2" s="3097"/>
      <c r="D2" s="3097"/>
      <c r="E2" s="3097"/>
      <c r="F2" s="3097"/>
      <c r="G2" s="3097"/>
      <c r="H2" s="3097"/>
      <c r="I2" s="3098"/>
    </row>
    <row r="3" spans="1:12" ht="12.75">
      <c r="A3" s="3099" t="s">
        <v>2120</v>
      </c>
      <c r="B3" s="3100"/>
      <c r="C3" s="3100"/>
      <c r="D3" s="3100"/>
      <c r="E3" s="3100"/>
      <c r="F3" s="3100"/>
      <c r="G3" s="3100"/>
      <c r="H3" s="3100"/>
      <c r="I3" s="3100"/>
    </row>
    <row r="4" spans="1:12" ht="14.25">
      <c r="A4" s="2422" t="s">
        <v>2121</v>
      </c>
      <c r="B4" s="2423" t="s">
        <v>2122</v>
      </c>
      <c r="C4" s="2424" t="s">
        <v>3171</v>
      </c>
      <c r="D4" s="2424" t="s">
        <v>3167</v>
      </c>
      <c r="E4" s="3101" t="s">
        <v>2123</v>
      </c>
      <c r="F4" s="3102"/>
      <c r="G4" s="3102"/>
      <c r="H4" s="3102"/>
      <c r="I4" s="3103"/>
      <c r="K4" s="2425" t="str">
        <f>IF(ISNUMBER(FIND("比较法",结果表车库!C4)),"比较法",IF(ISNUMBER(FIND("成本法",结果表车库!C4)),"成本法",IF(ISNUMBER(FIND("假设开发法",结果表车库!C4)),"假设开发法",IF(ISNUMBER(FIND("收益法",结果表车库!C4)),"收益法","基准地价系数修正法"))))</f>
        <v>成本法</v>
      </c>
      <c r="L4" s="242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092" t="s">
        <v>2124</v>
      </c>
      <c r="B5" s="3065">
        <v>25</v>
      </c>
      <c r="C5" s="3093"/>
      <c r="D5" s="3095"/>
      <c r="E5" s="140" t="s">
        <v>2125</v>
      </c>
      <c r="F5" s="2426"/>
      <c r="G5" s="2426"/>
      <c r="H5" s="2426"/>
      <c r="I5" s="1830"/>
    </row>
    <row r="6" spans="1:12" ht="12.75">
      <c r="A6" s="3092"/>
      <c r="B6" s="3065"/>
      <c r="C6" s="3104"/>
      <c r="D6" s="3095"/>
      <c r="E6" s="140" t="s">
        <v>2126</v>
      </c>
      <c r="F6" s="2426"/>
      <c r="G6" s="2426"/>
      <c r="H6" s="2426"/>
      <c r="I6" s="1830"/>
    </row>
    <row r="7" spans="1:12" ht="12.75">
      <c r="A7" s="3092"/>
      <c r="B7" s="3065"/>
      <c r="C7" s="3094"/>
      <c r="D7" s="3095"/>
      <c r="E7" s="140" t="s">
        <v>2127</v>
      </c>
      <c r="F7" s="2426"/>
      <c r="G7" s="2426"/>
      <c r="H7" s="2426"/>
      <c r="I7" s="1830"/>
    </row>
    <row r="8" spans="1:12" ht="12.75">
      <c r="A8" s="3092" t="s">
        <v>2128</v>
      </c>
      <c r="B8" s="3065">
        <v>15</v>
      </c>
      <c r="C8" s="3093"/>
      <c r="D8" s="3095"/>
      <c r="E8" s="140" t="s">
        <v>2129</v>
      </c>
      <c r="F8" s="2426"/>
      <c r="G8" s="2426"/>
      <c r="H8" s="2426"/>
      <c r="I8" s="1830"/>
    </row>
    <row r="9" spans="1:12" ht="12.75">
      <c r="A9" s="3092"/>
      <c r="B9" s="3065"/>
      <c r="C9" s="3094"/>
      <c r="D9" s="3095"/>
      <c r="E9" s="140" t="s">
        <v>2130</v>
      </c>
      <c r="F9" s="2426"/>
      <c r="G9" s="2426"/>
      <c r="H9" s="2426"/>
      <c r="I9" s="1830"/>
    </row>
    <row r="10" spans="1:12" ht="12.75">
      <c r="A10" s="3092" t="s">
        <v>2131</v>
      </c>
      <c r="B10" s="3065">
        <v>15</v>
      </c>
      <c r="C10" s="3093"/>
      <c r="D10" s="3095"/>
      <c r="E10" s="140" t="s">
        <v>2132</v>
      </c>
      <c r="F10" s="2426"/>
      <c r="G10" s="2426"/>
      <c r="H10" s="2426"/>
      <c r="I10" s="1830"/>
    </row>
    <row r="11" spans="1:12" ht="12.75">
      <c r="A11" s="3092"/>
      <c r="B11" s="3065"/>
      <c r="C11" s="3094"/>
      <c r="D11" s="3095"/>
      <c r="E11" s="140" t="s">
        <v>2133</v>
      </c>
      <c r="F11" s="2426"/>
      <c r="G11" s="2426"/>
      <c r="H11" s="2426"/>
      <c r="I11" s="1830"/>
    </row>
    <row r="12" spans="1:12" ht="12.75">
      <c r="A12" s="3092" t="s">
        <v>2134</v>
      </c>
      <c r="B12" s="3065">
        <v>15</v>
      </c>
      <c r="C12" s="3093"/>
      <c r="D12" s="3095"/>
      <c r="E12" s="140" t="s">
        <v>2135</v>
      </c>
      <c r="F12" s="2426"/>
      <c r="G12" s="2426"/>
      <c r="H12" s="2426"/>
      <c r="I12" s="1830"/>
    </row>
    <row r="13" spans="1:12" ht="12.75">
      <c r="A13" s="3092"/>
      <c r="B13" s="3065"/>
      <c r="C13" s="3094"/>
      <c r="D13" s="3095"/>
      <c r="E13" s="140" t="s">
        <v>2136</v>
      </c>
      <c r="F13" s="2426"/>
      <c r="G13" s="2426"/>
      <c r="H13" s="2426"/>
      <c r="I13" s="1830"/>
    </row>
    <row r="14" spans="1:12" ht="12.75">
      <c r="A14" s="3092" t="s">
        <v>2137</v>
      </c>
      <c r="B14" s="3065">
        <v>30</v>
      </c>
      <c r="C14" s="3093">
        <v>0.5</v>
      </c>
      <c r="D14" s="3095">
        <f>1-C14</f>
        <v>0.5</v>
      </c>
      <c r="E14" s="140" t="s">
        <v>2138</v>
      </c>
      <c r="F14" s="2426"/>
      <c r="G14" s="2426"/>
      <c r="H14" s="2426"/>
      <c r="I14" s="1830"/>
    </row>
    <row r="15" spans="1:12" ht="12.75">
      <c r="A15" s="3092"/>
      <c r="B15" s="3065"/>
      <c r="C15" s="3104"/>
      <c r="D15" s="3095"/>
      <c r="E15" s="140" t="s">
        <v>2139</v>
      </c>
      <c r="F15" s="2426"/>
      <c r="G15" s="2426"/>
      <c r="H15" s="2426"/>
      <c r="I15" s="1830"/>
    </row>
    <row r="16" spans="1:12" ht="12.75">
      <c r="A16" s="3092"/>
      <c r="B16" s="3065"/>
      <c r="C16" s="3094"/>
      <c r="D16" s="3095"/>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7128.3</v>
      </c>
      <c r="M18" s="2425">
        <f>IF(C1="",'数据-汇总表'!E3,SUMIF(项目类型,C1,'数据-汇总表'!E17:E26))</f>
        <v>7128.3</v>
      </c>
    </row>
    <row r="19" spans="1:35" ht="15">
      <c r="A19" s="2431" t="s">
        <v>2146</v>
      </c>
      <c r="B19" s="2432" t="s">
        <v>2147</v>
      </c>
      <c r="C19" s="143">
        <f ca="1">SUMIF(INDIRECT("'"&amp;C4&amp;"'"&amp;"!A:A"),结果表车库!B19,INDIRECT("'"&amp;C4&amp;"'"&amp;"!B:B"))</f>
        <v>6003</v>
      </c>
      <c r="D19" s="144">
        <f ca="1">SUMIF(INDIRECT("'"&amp;D4&amp;"'"&amp;"!A:A"),结果表车库!B19,INDIRECT("'"&amp;D4&amp;"'"&amp;"!B:B"))</f>
        <v>6470</v>
      </c>
      <c r="E19" s="2431" t="s">
        <v>2148</v>
      </c>
      <c r="F19" s="2432" t="s">
        <v>2147</v>
      </c>
      <c r="G19" s="145">
        <f ca="1">ROUND(C19*$C$18+D19*$D$18,0)</f>
        <v>6237</v>
      </c>
      <c r="H19" s="2433" t="s">
        <v>2149</v>
      </c>
      <c r="I19" s="138"/>
      <c r="K19" s="2425" t="s">
        <v>2150</v>
      </c>
      <c r="L19" s="2425">
        <f>IF(C1="",'数据-汇总表'!D3,SUMIF(项目类型,C1,'数据-汇总表'!D17:D26)+SUMIF(项目类型,C1,'数据-汇总表'!H17:H27))</f>
        <v>2298.59</v>
      </c>
      <c r="M19" s="2425">
        <f>IF(C1="",'数据-汇总表'!D3,SUMIF(项目类型,C1,'数据-汇总表'!D17:D26))</f>
        <v>2298.59</v>
      </c>
    </row>
    <row r="20" spans="1:35" ht="15">
      <c r="A20" s="2434"/>
      <c r="B20" s="1246" t="s">
        <v>2151</v>
      </c>
      <c r="C20" s="146">
        <f ca="1">SUMIF(INDIRECT("'"&amp;C4&amp;"'"&amp;"!A:A"),结果表车库!B20,INDIRECT("'"&amp;C4&amp;"'"&amp;"!B:B"))</f>
        <v>8421</v>
      </c>
      <c r="D20" s="147">
        <f ca="1">SUMIF(INDIRECT("'"&amp;D4&amp;"'"&amp;"!A:A"),结果表车库!B20,INDIRECT("'"&amp;D4&amp;"'"&amp;"!B:B"))</f>
        <v>9076</v>
      </c>
      <c r="E20" s="2434"/>
      <c r="F20" s="1246" t="s">
        <v>2151</v>
      </c>
      <c r="G20" s="148">
        <f ca="1">ROUND(C20*$C$18+D20*$D$18,0)</f>
        <v>8749</v>
      </c>
      <c r="H20" s="979" t="s">
        <v>2152</v>
      </c>
      <c r="I20" s="138"/>
    </row>
    <row r="21" spans="1:35" ht="15" customHeight="1" thickBot="1">
      <c r="A21" s="999"/>
      <c r="B21" s="2435" t="s">
        <v>2153</v>
      </c>
      <c r="C21" s="789">
        <f ca="1">ROUND(C19*10000/L19,0)</f>
        <v>26116</v>
      </c>
      <c r="D21" s="790">
        <f ca="1">ROUND(D19*10000/L19,0)</f>
        <v>28148</v>
      </c>
      <c r="E21" s="999"/>
      <c r="F21" s="2435" t="s">
        <v>2153</v>
      </c>
      <c r="G21" s="149">
        <f ca="1">ROUND(G19*10000/L19,0)</f>
        <v>27134</v>
      </c>
      <c r="H21" s="2436" t="s">
        <v>2152</v>
      </c>
      <c r="I21" s="138"/>
    </row>
    <row r="22" spans="1:35" ht="15" thickBot="1">
      <c r="A22" s="2278" t="s">
        <v>2154</v>
      </c>
      <c r="B22" s="2437"/>
      <c r="C22" s="2438"/>
      <c r="D22" s="791">
        <f ca="1">IF(C19&lt;D19,D19/C19-1,C19/D19-1)</f>
        <v>7.7794436115275589E-2</v>
      </c>
      <c r="E22" s="138"/>
      <c r="F22" s="138"/>
      <c r="G22" s="138"/>
      <c r="H22" s="138"/>
      <c r="I22" s="138"/>
    </row>
    <row r="23" spans="1:35" ht="13.5" thickBot="1">
      <c r="A23" s="2415"/>
      <c r="B23" s="2415"/>
      <c r="C23" s="2415"/>
      <c r="D23" s="2415"/>
      <c r="E23" s="138"/>
      <c r="F23" s="138"/>
      <c r="G23" s="138"/>
      <c r="H23" s="138"/>
      <c r="I23" s="138"/>
    </row>
    <row r="24" spans="1:35" ht="14.25">
      <c r="A24" s="3105" t="s">
        <v>2155</v>
      </c>
      <c r="B24" s="2432" t="s">
        <v>2147</v>
      </c>
      <c r="C24" s="145">
        <f>IF(B30=0,0,D30)</f>
        <v>0</v>
      </c>
      <c r="D24" s="2439"/>
      <c r="E24" s="138"/>
      <c r="F24" s="138"/>
      <c r="G24" s="138"/>
      <c r="H24" s="138"/>
      <c r="I24" s="138"/>
    </row>
    <row r="25" spans="1:35" ht="14.25">
      <c r="A25" s="3106"/>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6237</v>
      </c>
      <c r="D32" s="2446" t="s">
        <v>2162</v>
      </c>
      <c r="E32" s="138"/>
      <c r="F32" s="138"/>
      <c r="G32" s="138"/>
      <c r="H32" s="138"/>
      <c r="I32" s="138"/>
    </row>
    <row r="33" spans="1:15" ht="15">
      <c r="A33" s="956" t="s">
        <v>2163</v>
      </c>
      <c r="B33" s="2447"/>
      <c r="C33" s="2448"/>
      <c r="D33" s="2449"/>
      <c r="E33" s="2450" t="s">
        <v>2164</v>
      </c>
      <c r="F33" s="294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07" t="s">
        <v>2169</v>
      </c>
      <c r="B36" s="2458" t="s">
        <v>2170</v>
      </c>
      <c r="C36" s="154"/>
      <c r="D36" s="2459"/>
      <c r="E36" s="2460"/>
      <c r="F36" s="2461"/>
      <c r="G36" s="138"/>
      <c r="H36" s="138"/>
      <c r="I36" s="138"/>
    </row>
    <row r="37" spans="1:15" ht="15.75" thickBot="1">
      <c r="A37" s="3108"/>
      <c r="B37" s="2264" t="s">
        <v>2171</v>
      </c>
      <c r="C37" s="156"/>
      <c r="D37" s="1391"/>
      <c r="E37" s="1391"/>
      <c r="F37" s="2461"/>
      <c r="G37" s="138"/>
      <c r="H37" s="138"/>
      <c r="I37" s="138"/>
    </row>
    <row r="38" spans="1:15" ht="15.75" thickBot="1">
      <c r="A38" s="3109"/>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10" t="s">
        <v>2183</v>
      </c>
      <c r="B45" s="3111"/>
      <c r="C45" s="3112"/>
      <c r="D45" s="164">
        <f ca="1">ROUND(H101*F45,0)</f>
        <v>6237</v>
      </c>
      <c r="E45" s="165" t="s">
        <v>2184</v>
      </c>
      <c r="F45" s="166">
        <v>1</v>
      </c>
      <c r="G45" s="167" t="s">
        <v>2185</v>
      </c>
      <c r="H45" s="138"/>
      <c r="I45" s="138"/>
      <c r="J45" s="3113" t="s">
        <v>2186</v>
      </c>
      <c r="K45" s="3113"/>
      <c r="L45" s="3113"/>
      <c r="M45" s="3113"/>
      <c r="N45" s="3113"/>
      <c r="O45" s="3113"/>
    </row>
    <row r="46" spans="1:15" ht="14.25" customHeight="1">
      <c r="A46" s="3114" t="s">
        <v>2187</v>
      </c>
      <c r="B46" s="3115"/>
      <c r="C46" s="3115"/>
      <c r="D46" s="3115"/>
      <c r="E46" s="3115"/>
      <c r="F46" s="3115"/>
      <c r="G46" s="3116"/>
      <c r="H46" s="2477"/>
      <c r="I46" s="168"/>
      <c r="J46" s="2955">
        <v>1</v>
      </c>
      <c r="K46" s="3113" t="s">
        <v>2188</v>
      </c>
      <c r="L46" s="3113"/>
      <c r="M46" s="3117"/>
      <c r="N46" s="3117"/>
      <c r="O46" s="3117"/>
    </row>
    <row r="47" spans="1:15" ht="12" customHeight="1">
      <c r="A47" s="169" t="s">
        <v>2189</v>
      </c>
      <c r="B47" s="170"/>
      <c r="C47" s="171"/>
      <c r="D47" s="172" t="s">
        <v>2190</v>
      </c>
      <c r="E47" s="24" t="s">
        <v>2191</v>
      </c>
      <c r="F47" s="173" t="s">
        <v>2192</v>
      </c>
      <c r="G47" s="174" t="s">
        <v>2193</v>
      </c>
      <c r="H47" s="2477"/>
      <c r="I47" s="168"/>
      <c r="J47" s="2955">
        <v>2</v>
      </c>
      <c r="K47" s="3113" t="s">
        <v>2194</v>
      </c>
      <c r="L47" s="3113"/>
      <c r="M47" s="3118">
        <f>'数据-取费表'!B2</f>
        <v>43100</v>
      </c>
      <c r="N47" s="3118"/>
      <c r="O47" s="3118"/>
    </row>
    <row r="48" spans="1:15" ht="25.5">
      <c r="A48" s="3119" t="s">
        <v>2195</v>
      </c>
      <c r="B48" s="3120"/>
      <c r="C48" s="3120"/>
      <c r="D48" s="140">
        <f>IF(H48="情况1",0,IF(H48="情况2",D52,IF(H48="情况3",D53,IF(H48="情况4",D54))))</f>
        <v>0</v>
      </c>
      <c r="E48" s="2946" t="str">
        <f>IF(H48="情况4","(销售额-原购置价)×税（费）率","销售额×税（费）率")</f>
        <v>销售额×税（费）率</v>
      </c>
      <c r="F48" s="175" t="str">
        <f>IF(H48="情况1","免征",'数据-取费表'!B41)</f>
        <v>免征</v>
      </c>
      <c r="G48" s="2478" t="s">
        <v>2196</v>
      </c>
      <c r="H48" s="2479" t="s">
        <v>2197</v>
      </c>
      <c r="I48" s="2477"/>
      <c r="J48" s="2955">
        <v>3</v>
      </c>
      <c r="K48" s="3113" t="s">
        <v>2198</v>
      </c>
      <c r="L48" s="3113"/>
      <c r="M48" s="3121">
        <f ca="1">H101</f>
        <v>6237</v>
      </c>
      <c r="N48" s="3121"/>
      <c r="O48" s="3121"/>
    </row>
    <row r="49" spans="1:35" ht="25.5" customHeight="1">
      <c r="A49" s="176" t="s">
        <v>2199</v>
      </c>
      <c r="B49" s="3122" t="s">
        <v>2200</v>
      </c>
      <c r="C49" s="3122"/>
      <c r="D49" s="177">
        <v>0</v>
      </c>
      <c r="E49" s="23" t="s">
        <v>2201</v>
      </c>
      <c r="F49" s="28" t="s">
        <v>34</v>
      </c>
      <c r="G49" s="3123"/>
      <c r="H49" s="138"/>
      <c r="I49" s="2480"/>
      <c r="J49" s="2955">
        <v>4</v>
      </c>
      <c r="K49" s="3113" t="str">
        <f>IF(项目基本情况!E8="房地产抵押价值","房地产抵押价值","抵押担保权已注销时的房地产抵押价值")</f>
        <v>抵押担保权已注销时的房地产抵押价值</v>
      </c>
      <c r="L49" s="3113"/>
      <c r="M49" s="3121" t="str">
        <f>IF(项目基本情况!E8="房地产抵押价值",H107,H109)</f>
        <v>——</v>
      </c>
      <c r="N49" s="3121"/>
      <c r="O49" s="3121"/>
    </row>
    <row r="50" spans="1:35" ht="25.5" customHeight="1">
      <c r="A50" s="178"/>
      <c r="B50" s="3122" t="s">
        <v>2202</v>
      </c>
      <c r="C50" s="3122"/>
      <c r="D50" s="179"/>
      <c r="E50" s="31"/>
      <c r="F50" s="180"/>
      <c r="G50" s="3124"/>
      <c r="H50" s="138"/>
      <c r="I50" s="2480"/>
      <c r="J50" s="3113" t="s">
        <v>2203</v>
      </c>
      <c r="K50" s="3113"/>
      <c r="L50" s="3113"/>
      <c r="M50" s="3113"/>
      <c r="N50" s="3113"/>
      <c r="O50" s="3113"/>
    </row>
    <row r="51" spans="1:35" ht="12" customHeight="1">
      <c r="A51" s="181"/>
      <c r="B51" s="3122" t="s">
        <v>2204</v>
      </c>
      <c r="C51" s="3122"/>
      <c r="D51" s="182"/>
      <c r="E51" s="30"/>
      <c r="F51" s="180"/>
      <c r="G51" s="3125"/>
      <c r="H51" s="138"/>
      <c r="I51" s="2480"/>
      <c r="J51" s="2954" t="s">
        <v>2205</v>
      </c>
      <c r="K51" s="3113" t="s">
        <v>2206</v>
      </c>
      <c r="L51" s="3113"/>
      <c r="M51" s="2954" t="s">
        <v>2207</v>
      </c>
      <c r="N51" s="2954" t="s">
        <v>2208</v>
      </c>
      <c r="O51" s="2954" t="s">
        <v>2209</v>
      </c>
    </row>
    <row r="52" spans="1:35" ht="24" customHeight="1">
      <c r="A52" s="183" t="s">
        <v>2210</v>
      </c>
      <c r="B52" s="3122" t="s">
        <v>2211</v>
      </c>
      <c r="C52" s="3122"/>
      <c r="D52" s="182">
        <f ca="1">ROUND(D45*'数据-取费表'!B41/(1+'数据-取费表'!C42),0)</f>
        <v>333</v>
      </c>
      <c r="E52" s="11" t="s">
        <v>2212</v>
      </c>
      <c r="F52" s="184">
        <f>'数据-取费表'!B41</f>
        <v>5.6000000000000001E-2</v>
      </c>
      <c r="G52" s="2482"/>
      <c r="H52" s="138"/>
      <c r="I52" s="2480"/>
      <c r="J52" s="2955">
        <v>1</v>
      </c>
      <c r="K52" s="3128" t="s">
        <v>2213</v>
      </c>
      <c r="L52" s="3128"/>
      <c r="M52" s="1750">
        <f>D48</f>
        <v>0</v>
      </c>
      <c r="N52" s="2955" t="str">
        <f>E48</f>
        <v>销售额×税（费）率</v>
      </c>
      <c r="O52" s="1751" t="str">
        <f>F48</f>
        <v>免征</v>
      </c>
    </row>
    <row r="53" spans="1:35" ht="12" customHeight="1">
      <c r="A53" s="183" t="s">
        <v>2214</v>
      </c>
      <c r="B53" s="3126" t="s">
        <v>2215</v>
      </c>
      <c r="C53" s="3127"/>
      <c r="D53" s="182">
        <f ca="1">ROUND(D45*'数据-取费表'!B41/(1+'数据-取费表'!C42),0)</f>
        <v>333</v>
      </c>
      <c r="E53" s="11" t="s">
        <v>2212</v>
      </c>
      <c r="F53" s="184">
        <f>'数据-取费表'!B41</f>
        <v>5.6000000000000001E-2</v>
      </c>
      <c r="G53" s="2482"/>
      <c r="H53" s="138"/>
      <c r="I53" s="2480"/>
      <c r="J53" s="2955">
        <v>2</v>
      </c>
      <c r="K53" s="3128" t="s">
        <v>2216</v>
      </c>
      <c r="L53" s="3128"/>
      <c r="M53" s="1750">
        <f t="shared" ref="M53:O54" ca="1" si="0">D55</f>
        <v>3</v>
      </c>
      <c r="N53" s="2955" t="str">
        <f t="shared" si="0"/>
        <v>销售额×税（费）率</v>
      </c>
      <c r="O53" s="1751">
        <f t="shared" si="0"/>
        <v>5.0000000000000001E-4</v>
      </c>
    </row>
    <row r="54" spans="1:35" ht="12" customHeight="1">
      <c r="A54" s="183" t="s">
        <v>2217</v>
      </c>
      <c r="B54" s="3126" t="s">
        <v>2218</v>
      </c>
      <c r="C54" s="3127"/>
      <c r="D54" s="182">
        <f ca="1">C68</f>
        <v>333</v>
      </c>
      <c r="E54" s="30" t="s">
        <v>2219</v>
      </c>
      <c r="F54" s="184">
        <f>'数据-取费表'!B41</f>
        <v>5.6000000000000001E-2</v>
      </c>
      <c r="G54" s="2482"/>
      <c r="H54" s="2483"/>
      <c r="I54" s="2480"/>
      <c r="J54" s="2955">
        <v>3</v>
      </c>
      <c r="K54" s="3128" t="s">
        <v>2220</v>
      </c>
      <c r="L54" s="3128"/>
      <c r="M54" s="1750">
        <f t="shared" ca="1" si="0"/>
        <v>3530</v>
      </c>
      <c r="N54" s="2955" t="str">
        <f t="shared" si="0"/>
        <v>增值额×税（费）率</v>
      </c>
      <c r="O54" s="1752" t="str">
        <f t="shared" si="0"/>
        <v>——</v>
      </c>
    </row>
    <row r="55" spans="1:35" ht="24" customHeight="1">
      <c r="A55" s="3129" t="s">
        <v>2221</v>
      </c>
      <c r="B55" s="3120"/>
      <c r="C55" s="3120"/>
      <c r="D55" s="185">
        <f ca="1">IF(H55="个人住宅",0,ROUND(D45*I55,0))</f>
        <v>3</v>
      </c>
      <c r="E55" s="11" t="s">
        <v>2222</v>
      </c>
      <c r="F55" s="184">
        <f>IF(H55="正常",I55,"免征")</f>
        <v>5.0000000000000001E-4</v>
      </c>
      <c r="G55" s="2482"/>
      <c r="H55" s="2479" t="s">
        <v>2223</v>
      </c>
      <c r="I55" s="186">
        <f>'数据-取费表'!B49</f>
        <v>5.0000000000000001E-4</v>
      </c>
      <c r="J55" s="2955" t="str">
        <f>IF(H59="非个人房产","",4)</f>
        <v/>
      </c>
      <c r="K55" s="3128" t="str">
        <f>IF(H59="非个人房产","——","个人所得税")</f>
        <v>——</v>
      </c>
      <c r="L55" s="3128"/>
      <c r="M55" s="1753" t="str">
        <f>D59</f>
        <v>——</v>
      </c>
      <c r="N55" s="2956" t="str">
        <f>E59</f>
        <v>——</v>
      </c>
      <c r="O55" s="1754" t="str">
        <f>F59</f>
        <v>——</v>
      </c>
    </row>
    <row r="56" spans="1:35" ht="24.75">
      <c r="A56" s="3129" t="s">
        <v>2224</v>
      </c>
      <c r="B56" s="3120"/>
      <c r="C56" s="3120"/>
      <c r="D56" s="185">
        <f ca="1">IF(H56="个人住宅",D57,D58)</f>
        <v>3530</v>
      </c>
      <c r="E56" s="11" t="s">
        <v>2225</v>
      </c>
      <c r="F56" s="184" t="str">
        <f>IF(H56="正常",F58,"免征")</f>
        <v>——</v>
      </c>
      <c r="G56" s="2484" t="s">
        <v>2226</v>
      </c>
      <c r="H56" s="2485" t="s">
        <v>2223</v>
      </c>
      <c r="I56" s="2486"/>
      <c r="J56" s="2955" t="str">
        <f>IF(项目基本情况!K6="上海银行",IF(J55="",4,J55+1),"")</f>
        <v/>
      </c>
      <c r="K56" s="3130" t="str">
        <f>IF(项目基本情况!K6="上海银行","其他处置费用","")</f>
        <v/>
      </c>
      <c r="L56" s="3131"/>
      <c r="M56" s="1750" t="str">
        <f>IF(项目基本情况!K6="上海银行",M69,"")</f>
        <v/>
      </c>
      <c r="N56" s="3138" t="str">
        <f>IF(项目基本情况!K6="上海银行","包含处置中涉及的律师、诉讼、拍卖、评估等费用","")</f>
        <v/>
      </c>
      <c r="O56" s="3139"/>
    </row>
    <row r="57" spans="1:35" ht="12.75">
      <c r="A57" s="183" t="s">
        <v>2199</v>
      </c>
      <c r="B57" s="3101" t="s">
        <v>2227</v>
      </c>
      <c r="C57" s="3103"/>
      <c r="D57" s="187">
        <v>0</v>
      </c>
      <c r="E57" s="23" t="s">
        <v>2201</v>
      </c>
      <c r="F57" s="155"/>
      <c r="G57" s="2482"/>
      <c r="H57" s="2486"/>
      <c r="I57" s="2486"/>
      <c r="J57" s="3128">
        <f>IF(AND(J55="",J56=""),4,IF(项目基本情况!K6="上海银行",结果表车库!J56+1,结果表车库!J55+1))</f>
        <v>4</v>
      </c>
      <c r="K57" s="3128" t="s">
        <v>2228</v>
      </c>
      <c r="L57" s="2487" t="s">
        <v>2229</v>
      </c>
      <c r="M57" s="1755"/>
      <c r="N57" s="1756">
        <f ca="1">SUMIF(M52:M56,"&lt;9e307")</f>
        <v>3533</v>
      </c>
      <c r="O57" s="2488"/>
      <c r="P57" s="1749" t="e">
        <f ca="1">N57/M49</f>
        <v>#VALUE!</v>
      </c>
    </row>
    <row r="58" spans="1:35" ht="24.75">
      <c r="A58" s="183" t="s">
        <v>2210</v>
      </c>
      <c r="B58" s="3101" t="s">
        <v>2230</v>
      </c>
      <c r="C58" s="3102"/>
      <c r="D58" s="185">
        <f ca="1">IF(H58="转让取得",C81,C97)</f>
        <v>3530</v>
      </c>
      <c r="E58" s="11" t="s">
        <v>2225</v>
      </c>
      <c r="F58" s="24" t="s">
        <v>34</v>
      </c>
      <c r="G58" s="2482"/>
      <c r="H58" s="2485" t="s">
        <v>2231</v>
      </c>
      <c r="I58" s="2486"/>
      <c r="J58" s="3128"/>
      <c r="K58" s="3128"/>
      <c r="L58" s="2487" t="s">
        <v>2232</v>
      </c>
      <c r="M58" s="1757"/>
      <c r="N58" s="2489" t="str">
        <f ca="1">NUMBERSTRING(INT(N57*10000),2)&amp;"元整"</f>
        <v>叁仟伍佰叁拾叁万元整</v>
      </c>
      <c r="O58" s="2490"/>
    </row>
    <row r="59" spans="1:35" ht="24.75"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42">
        <f>J57+1</f>
        <v>5</v>
      </c>
      <c r="K59" s="3128" t="s">
        <v>2235</v>
      </c>
      <c r="L59" s="2955" t="s">
        <v>2229</v>
      </c>
      <c r="M59" s="1758"/>
      <c r="N59" s="1759" t="e">
        <f ca="1">M49-N57</f>
        <v>#VALUE!</v>
      </c>
      <c r="O59" s="2492"/>
    </row>
    <row r="60" spans="1:35" ht="12" customHeight="1">
      <c r="A60" s="2493"/>
      <c r="B60" s="2415"/>
      <c r="C60" s="2415"/>
      <c r="D60" s="2415"/>
      <c r="E60" s="2164"/>
      <c r="F60" s="2486"/>
      <c r="G60" s="2486"/>
      <c r="H60" s="2494"/>
      <c r="I60" s="138"/>
      <c r="J60" s="3143"/>
      <c r="K60" s="3128"/>
      <c r="L60" s="2487" t="s">
        <v>2232</v>
      </c>
      <c r="M60" s="1757"/>
      <c r="N60" s="2489" t="e">
        <f ca="1">NUMBERSTRING(INT(N59*10000),2)&amp;"元整"</f>
        <v>#VALUE!</v>
      </c>
      <c r="O60" s="2490"/>
    </row>
    <row r="61" spans="1:35" ht="13.5" thickBot="1">
      <c r="A61" s="3132" t="s">
        <v>2236</v>
      </c>
      <c r="B61" s="3132"/>
      <c r="C61" s="3132"/>
      <c r="D61" s="3132"/>
      <c r="E61" s="3132"/>
      <c r="F61" s="2486"/>
      <c r="G61" s="2486"/>
      <c r="H61" s="2494"/>
      <c r="I61" s="138"/>
      <c r="J61" s="2955">
        <f>J59+1</f>
        <v>6</v>
      </c>
      <c r="K61" s="3128" t="s">
        <v>2237</v>
      </c>
      <c r="L61" s="3128"/>
      <c r="M61" s="1760"/>
      <c r="N61" s="1761" t="e">
        <f ca="1">ROUND(N59*10000/'数据-汇总表'!E3,0)</f>
        <v>#VALUE!</v>
      </c>
      <c r="O61" s="2495"/>
    </row>
    <row r="62" spans="1:35" ht="12.75">
      <c r="A62" s="3133" t="s">
        <v>2238</v>
      </c>
      <c r="B62" s="3134"/>
      <c r="C62" s="2949"/>
      <c r="D62" s="2949" t="s">
        <v>2239</v>
      </c>
      <c r="E62" s="192" t="s">
        <v>2240</v>
      </c>
      <c r="F62" s="2486"/>
      <c r="G62" s="2486"/>
      <c r="H62" s="2494"/>
      <c r="I62" s="138"/>
    </row>
    <row r="63" spans="1:35" ht="12.75">
      <c r="A63" s="203" t="s">
        <v>775</v>
      </c>
      <c r="B63" s="193" t="s">
        <v>2241</v>
      </c>
      <c r="C63" s="194">
        <f ca="1">ROUND((C64+C65)/(1+'数据-取费表'!C42),0)</f>
        <v>5940</v>
      </c>
      <c r="D63" s="195"/>
      <c r="E63" s="196"/>
      <c r="F63" s="2486"/>
      <c r="G63" s="2486"/>
      <c r="H63" s="2494"/>
      <c r="I63" s="138"/>
      <c r="J63" s="3135" t="s">
        <v>2242</v>
      </c>
      <c r="K63" s="2959" t="s">
        <v>2243</v>
      </c>
      <c r="L63" s="1748"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6237</v>
      </c>
      <c r="D64" s="200" t="s">
        <v>32</v>
      </c>
      <c r="E64" s="201"/>
      <c r="F64" s="2486"/>
      <c r="G64" s="2486"/>
      <c r="H64" s="2494"/>
      <c r="I64" s="138"/>
      <c r="J64" s="3135"/>
      <c r="K64" s="2959"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135"/>
      <c r="K65" s="2959" t="s">
        <v>2248</v>
      </c>
      <c r="L65" s="1748"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2" t="s">
        <v>1371</v>
      </c>
      <c r="F66" s="2486"/>
      <c r="G66" s="2486"/>
      <c r="H66" s="2494"/>
      <c r="I66" s="138"/>
      <c r="J66" s="3135"/>
      <c r="K66" s="2959" t="s">
        <v>2250</v>
      </c>
      <c r="L66" s="1748" t="e">
        <f>M49*0.5%</f>
        <v>#VALUE!</v>
      </c>
      <c r="M66" s="24" t="e">
        <f>IF(L66&gt;0.5,0.5,ROUND(L66,0))</f>
        <v>#VALUE!</v>
      </c>
      <c r="N66" s="138" t="s">
        <v>2251</v>
      </c>
      <c r="Z66" s="2420"/>
      <c r="AI66" s="2421"/>
    </row>
    <row r="67" spans="1:35" ht="14.25" customHeight="1">
      <c r="A67" s="203" t="s">
        <v>773</v>
      </c>
      <c r="B67" s="204" t="s">
        <v>2252</v>
      </c>
      <c r="C67" s="207">
        <f ca="1">C63-C66</f>
        <v>5940</v>
      </c>
      <c r="D67" s="200" t="s">
        <v>32</v>
      </c>
      <c r="E67" s="201"/>
      <c r="F67" s="2486"/>
      <c r="G67" s="2486"/>
      <c r="H67" s="2494"/>
      <c r="I67" s="138"/>
      <c r="J67" s="3135"/>
      <c r="K67" s="2959"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333</v>
      </c>
      <c r="D68" s="211">
        <f>'数据-取费表'!B41</f>
        <v>5.6000000000000001E-2</v>
      </c>
      <c r="E68" s="212"/>
      <c r="F68" s="2486"/>
      <c r="G68" s="2486"/>
      <c r="H68" s="2494"/>
      <c r="I68" s="138"/>
      <c r="J68" s="3135"/>
      <c r="K68" s="2959" t="s">
        <v>2255</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4"/>
      <c r="G69" s="2164"/>
      <c r="H69" s="2163"/>
      <c r="I69" s="2415"/>
      <c r="J69" s="3135"/>
      <c r="K69" s="2959"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6" t="s">
        <v>2257</v>
      </c>
      <c r="B70" s="3137"/>
      <c r="C70" s="3137"/>
      <c r="D70" s="3137"/>
      <c r="E70" s="3137"/>
      <c r="F70" s="3137"/>
      <c r="G70" s="3137"/>
      <c r="H70" s="313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3" t="s">
        <v>2238</v>
      </c>
      <c r="B71" s="3134"/>
      <c r="C71" s="2949"/>
      <c r="D71" s="2949"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5940</v>
      </c>
      <c r="D72" s="200" t="s">
        <v>32</v>
      </c>
      <c r="E72" s="2948"/>
      <c r="F72" s="2943"/>
      <c r="G72" s="294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36</v>
      </c>
      <c r="D73" s="200" t="s">
        <v>32</v>
      </c>
      <c r="E73" s="2948"/>
      <c r="F73" s="2943"/>
      <c r="G73" s="294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2948"/>
      <c r="F74" s="2943"/>
      <c r="G74" s="294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26" t="s">
        <v>2266</v>
      </c>
      <c r="F76" s="3122"/>
      <c r="G76" s="3122"/>
      <c r="H76" s="315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2960" t="s">
        <v>2268</v>
      </c>
      <c r="F77" s="224"/>
      <c r="G77" s="2510" t="s">
        <v>2269</v>
      </c>
      <c r="H77" s="295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36</v>
      </c>
      <c r="D78" s="226">
        <f>'数据-取费表'!B43</f>
        <v>6.000000000000001E-3</v>
      </c>
      <c r="E78" s="3144" t="s">
        <v>2271</v>
      </c>
      <c r="F78" s="3145"/>
      <c r="G78" s="3145"/>
      <c r="H78" s="314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5904</v>
      </c>
      <c r="D79" s="200" t="s">
        <v>32</v>
      </c>
      <c r="E79" s="2948"/>
      <c r="F79" s="2943"/>
      <c r="G79" s="294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164</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3530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6" t="s">
        <v>2275</v>
      </c>
      <c r="B83" s="3137"/>
      <c r="C83" s="3137"/>
      <c r="D83" s="3137"/>
      <c r="E83" s="3137"/>
      <c r="F83" s="3137"/>
      <c r="G83" s="3137"/>
      <c r="H83" s="313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3" t="s">
        <v>2238</v>
      </c>
      <c r="B84" s="3134"/>
      <c r="C84" s="2949"/>
      <c r="D84" s="2949"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5940</v>
      </c>
      <c r="D85" s="200" t="s">
        <v>32</v>
      </c>
      <c r="E85" s="2948"/>
      <c r="F85" s="2943"/>
      <c r="G85" s="294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36</v>
      </c>
      <c r="D86" s="235"/>
      <c r="E86" s="2948"/>
      <c r="F86" s="2943"/>
      <c r="G86" s="294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2944"/>
      <c r="F87" s="2945"/>
      <c r="G87" s="2945"/>
      <c r="H87" s="294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2945"/>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2945"/>
      <c r="G89" s="2945"/>
      <c r="H89" s="294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2945"/>
      <c r="G90" s="2945"/>
      <c r="H90" s="294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IF(H91="——",成本法仓储!C33,I91)</f>
        <v>0</v>
      </c>
      <c r="D91" s="226"/>
      <c r="E91" s="3144" t="s">
        <v>2284</v>
      </c>
      <c r="F91" s="3145"/>
      <c r="G91" s="3145"/>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44" t="s">
        <v>2288</v>
      </c>
      <c r="F92" s="3145"/>
      <c r="G92" s="3145"/>
      <c r="H92" s="314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36</v>
      </c>
      <c r="D93" s="226">
        <f>'数据-取费表'!B43</f>
        <v>6.000000000000001E-3</v>
      </c>
      <c r="E93" s="3144" t="s">
        <v>2271</v>
      </c>
      <c r="F93" s="3145"/>
      <c r="G93" s="3145"/>
      <c r="H93" s="314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47" t="s">
        <v>2292</v>
      </c>
      <c r="F94" s="3148"/>
      <c r="G94" s="3148"/>
      <c r="H94" s="314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5904</v>
      </c>
      <c r="D95" s="200" t="s">
        <v>32</v>
      </c>
      <c r="E95" s="2948"/>
      <c r="F95" s="2943"/>
      <c r="G95" s="294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164</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3530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6" t="s">
        <v>2294</v>
      </c>
      <c r="B100" s="3087"/>
      <c r="C100" s="3087"/>
      <c r="D100" s="3150"/>
      <c r="E100" s="3087" t="s">
        <v>2295</v>
      </c>
      <c r="F100" s="3087"/>
      <c r="G100" s="3087"/>
      <c r="H100" s="3150"/>
      <c r="I100" s="138"/>
    </row>
    <row r="101" spans="1:35" ht="18.75" customHeight="1">
      <c r="A101" s="3151" t="s">
        <v>2296</v>
      </c>
      <c r="B101" s="3152"/>
      <c r="C101" s="736" t="str">
        <f>C4</f>
        <v>成本法车库</v>
      </c>
      <c r="D101" s="737" t="str">
        <f>D4</f>
        <v>收益法车库</v>
      </c>
      <c r="E101" s="3153" t="s">
        <v>2297</v>
      </c>
      <c r="F101" s="3154"/>
      <c r="G101" s="2517" t="s">
        <v>2298</v>
      </c>
      <c r="H101" s="1044">
        <f ca="1">H118</f>
        <v>6237</v>
      </c>
      <c r="I101" s="138"/>
    </row>
    <row r="102" spans="1:35" ht="18.75" customHeight="1">
      <c r="A102" s="3155" t="s">
        <v>2299</v>
      </c>
      <c r="B102" s="2517" t="s">
        <v>2298</v>
      </c>
      <c r="C102" s="736">
        <f ca="1">C19</f>
        <v>6003</v>
      </c>
      <c r="D102" s="737">
        <f ca="1">D19</f>
        <v>6470</v>
      </c>
      <c r="E102" s="3153"/>
      <c r="F102" s="3154"/>
      <c r="G102" s="2517" t="s">
        <v>2300</v>
      </c>
      <c r="H102" s="371">
        <f ca="1">I118</f>
        <v>8750</v>
      </c>
      <c r="I102" s="138"/>
    </row>
    <row r="103" spans="1:35" ht="42.75" customHeight="1">
      <c r="A103" s="3155"/>
      <c r="B103" s="2517" t="s">
        <v>2300</v>
      </c>
      <c r="C103" s="738">
        <f ca="1">C20</f>
        <v>8421</v>
      </c>
      <c r="D103" s="739">
        <f ca="1">D20</f>
        <v>9076</v>
      </c>
      <c r="E103" s="3156" t="s">
        <v>2301</v>
      </c>
      <c r="F103" s="3157"/>
      <c r="G103" s="2518" t="s">
        <v>2302</v>
      </c>
      <c r="H103" s="1044">
        <f>IF(D36="正常操作",H104+H105+H106,H105+H106)</f>
        <v>0</v>
      </c>
      <c r="I103" s="138"/>
    </row>
    <row r="104" spans="1:35" ht="18.75" customHeight="1">
      <c r="A104" s="3155" t="s">
        <v>2303</v>
      </c>
      <c r="B104" s="2519" t="s">
        <v>2298</v>
      </c>
      <c r="C104" s="740">
        <f ca="1">H118</f>
        <v>6237</v>
      </c>
      <c r="D104" s="741"/>
      <c r="E104" s="2264" t="s">
        <v>2304</v>
      </c>
      <c r="F104" s="2256"/>
      <c r="G104" s="2518" t="s">
        <v>2302</v>
      </c>
      <c r="H104" s="1045">
        <f>IF(D36="同一抵押权人同一抵押物续贷",C36&amp;"（未扣减，详见特别提示）",C36)</f>
        <v>0</v>
      </c>
      <c r="I104" s="138"/>
    </row>
    <row r="105" spans="1:35" ht="18.75" customHeight="1" thickBot="1">
      <c r="A105" s="3164"/>
      <c r="B105" s="2520" t="s">
        <v>2300</v>
      </c>
      <c r="C105" s="742">
        <f ca="1">I118</f>
        <v>8750</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65" t="str">
        <f>IF(项目基本情况!E8="已注销","——","3.房地产抵押价值")</f>
        <v>3.房地产抵押价值</v>
      </c>
      <c r="F107" s="3154"/>
      <c r="G107" s="2517" t="s">
        <v>2298</v>
      </c>
      <c r="H107" s="1044">
        <f ca="1">IF(E107="——","——",H101-H103)</f>
        <v>6237</v>
      </c>
      <c r="I107" s="138"/>
    </row>
    <row r="108" spans="1:35" ht="18.75" customHeight="1">
      <c r="A108" s="138"/>
      <c r="B108" s="138"/>
      <c r="C108" s="138"/>
      <c r="D108" s="138"/>
      <c r="E108" s="3165"/>
      <c r="F108" s="3154"/>
      <c r="G108" s="2517" t="s">
        <v>2300</v>
      </c>
      <c r="H108" s="371">
        <f ca="1">ROUND(H107*10000/'数据-汇总表'!E3,0)</f>
        <v>1510</v>
      </c>
      <c r="I108" s="138"/>
    </row>
    <row r="109" spans="1:35" ht="18.75" customHeight="1">
      <c r="A109" s="138"/>
      <c r="B109" s="138"/>
      <c r="C109" s="138"/>
      <c r="D109" s="138"/>
      <c r="E109" s="3165" t="str">
        <f>IF(项目基本情况!E8="已注销及未注销","4.抵押担保权已注销时的房地产抵押价值",IF(项目基本情况!E8="已注销","3.抵押担保权已注销时的房地产抵押价值","——"))</f>
        <v>——</v>
      </c>
      <c r="F109" s="3154"/>
      <c r="G109" s="2517" t="s">
        <v>2298</v>
      </c>
      <c r="H109" s="348" t="str">
        <f>IF(E109="——","——",H101-H105-H106)</f>
        <v>——</v>
      </c>
      <c r="I109" s="138"/>
    </row>
    <row r="110" spans="1:35" ht="18.75" customHeight="1">
      <c r="A110" s="138"/>
      <c r="B110" s="138"/>
      <c r="C110" s="138"/>
      <c r="D110" s="138"/>
      <c r="E110" s="3165"/>
      <c r="F110" s="3154"/>
      <c r="G110" s="2517" t="s">
        <v>2300</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7" t="s">
        <v>2298</v>
      </c>
      <c r="H111" s="1044" t="str">
        <f>IF(E111="——","——",N59)</f>
        <v>——</v>
      </c>
      <c r="I111" s="138"/>
    </row>
    <row r="112" spans="1:35" ht="18.75" customHeight="1" thickBot="1">
      <c r="A112" s="138"/>
      <c r="B112" s="138"/>
      <c r="C112" s="138"/>
      <c r="D112" s="138"/>
      <c r="E112" s="3168"/>
      <c r="F112" s="3169"/>
      <c r="G112" s="2522" t="s">
        <v>2300</v>
      </c>
      <c r="H112" s="790" t="str">
        <f>IF(E111="——","——",N61)</f>
        <v>——</v>
      </c>
      <c r="I112" s="138"/>
    </row>
    <row r="113" spans="1:11" ht="18.75" customHeight="1">
      <c r="A113" s="138"/>
      <c r="B113" s="138"/>
      <c r="C113" s="138"/>
      <c r="D113" s="138"/>
      <c r="E113" s="3170" t="s">
        <v>2306</v>
      </c>
      <c r="F113" s="3170"/>
      <c r="G113" s="3170"/>
      <c r="H113" s="3170"/>
      <c r="I113" s="138"/>
    </row>
    <row r="114" spans="1:11" ht="3.75" customHeight="1">
      <c r="A114" s="2415"/>
      <c r="B114" s="2415"/>
      <c r="C114" s="2415"/>
      <c r="D114" s="2415"/>
      <c r="E114" s="2493"/>
      <c r="F114" s="2493"/>
      <c r="G114" s="2493"/>
      <c r="H114" s="2493"/>
      <c r="I114" s="2415"/>
    </row>
    <row r="115" spans="1:11" ht="18.75" customHeight="1">
      <c r="A115" s="3171" t="s">
        <v>2308</v>
      </c>
      <c r="B115" s="3172"/>
      <c r="C115" s="3172"/>
      <c r="D115" s="3172"/>
      <c r="E115" s="3172"/>
      <c r="F115" s="3172"/>
      <c r="G115" s="3172"/>
      <c r="H115" s="3172"/>
      <c r="I115" s="3173"/>
    </row>
    <row r="116" spans="1:11" ht="27" customHeight="1">
      <c r="A116" s="3065" t="s">
        <v>2309</v>
      </c>
      <c r="B116" s="3159" t="s">
        <v>2310</v>
      </c>
      <c r="C116" s="3159" t="s">
        <v>2311</v>
      </c>
      <c r="D116" s="3161" t="s">
        <v>2312</v>
      </c>
      <c r="E116" s="3162"/>
      <c r="F116" s="3163" t="s">
        <v>2313</v>
      </c>
      <c r="G116" s="3163"/>
      <c r="H116" s="3065" t="s">
        <v>2314</v>
      </c>
      <c r="I116" s="3065"/>
    </row>
    <row r="117" spans="1:11" ht="18.75" customHeight="1">
      <c r="A117" s="3065"/>
      <c r="B117" s="3160"/>
      <c r="C117" s="3160"/>
      <c r="D117" s="2940" t="s">
        <v>2315</v>
      </c>
      <c r="E117" s="2940" t="s">
        <v>2316</v>
      </c>
      <c r="F117" s="2940" t="s">
        <v>2315</v>
      </c>
      <c r="G117" s="2940" t="s">
        <v>2317</v>
      </c>
      <c r="H117" s="2940" t="s">
        <v>2315</v>
      </c>
      <c r="I117" s="2940" t="s">
        <v>2317</v>
      </c>
    </row>
    <row r="118" spans="1:11" ht="24.75" customHeight="1">
      <c r="A118" s="2523" t="str">
        <f>项目基本情况!S2</f>
        <v>北京市房地产</v>
      </c>
      <c r="B118" s="2940">
        <f>M18</f>
        <v>7128.3</v>
      </c>
      <c r="C118" s="2940">
        <f>M19</f>
        <v>2298.59</v>
      </c>
      <c r="D118" s="2940" t="e">
        <f ca="1">ROUND(IF(D32="总价",C34,E118*B118/10000),0)</f>
        <v>#REF!</v>
      </c>
      <c r="E118" s="2940" t="e">
        <f ca="1">ROUND(IF(C33="自定义",IF(D32="楼面单价",C34,D118*10000/B118),I118-G118),0)</f>
        <v>#REF!</v>
      </c>
      <c r="F118" s="2940" t="e">
        <f ca="1">ROUND(IF(D32="总价",C35,G118*B118/10000),0)</f>
        <v>#REF!</v>
      </c>
      <c r="G118" s="2940" t="e">
        <f ca="1">ROUND(IF(D32="楼面单价",C35,F118*10000/B118),0)</f>
        <v>#REF!</v>
      </c>
      <c r="H118" s="2940">
        <f ca="1">ROUND(IF(D32="总价",C32,I118*B118/10000),0)</f>
        <v>6237</v>
      </c>
      <c r="I118" s="2940">
        <f ca="1">ROUND(IF(D32="楼面单价",C32,H118*10000/B118),0)</f>
        <v>8750</v>
      </c>
    </row>
    <row r="119" spans="1:11" ht="18.75" customHeight="1">
      <c r="A119" s="3065" t="s">
        <v>2318</v>
      </c>
      <c r="B119" s="3065"/>
      <c r="C119" s="3065"/>
      <c r="D119" s="3177" t="e">
        <f ca="1">NUMBERSTRING(INT(D118*10000),2)&amp;"元整"</f>
        <v>#REF!</v>
      </c>
      <c r="E119" s="3179"/>
      <c r="F119" s="3177" t="e">
        <f ca="1">NUMBERSTRING(INT(F118*10000),2)&amp;"元整"</f>
        <v>#REF!</v>
      </c>
      <c r="G119" s="3179"/>
      <c r="H119" s="3177" t="str">
        <f ca="1">NUMBERSTRING(INT(H118*10000),2)&amp;"元整"</f>
        <v>陆仟贰佰叁拾柒万元整</v>
      </c>
      <c r="I119" s="3179"/>
    </row>
    <row r="120" spans="1:11" ht="18.75" customHeight="1">
      <c r="A120" s="3181" t="str">
        <f>IF(项目基本情况!B9="房地产市场价值","",MID(E103,3,LEN(E103)-2))</f>
        <v/>
      </c>
      <c r="B120" s="3182"/>
      <c r="C120" s="3183"/>
      <c r="D120" s="3181">
        <f>H103</f>
        <v>0</v>
      </c>
      <c r="E120" s="3182"/>
      <c r="F120" s="3182"/>
      <c r="G120" s="3182"/>
      <c r="H120" s="3182"/>
      <c r="I120" s="3183"/>
      <c r="K120" s="2420" t="str">
        <f>IF(D120=0,"故，本次评估不存在"&amp;A120,"故，本次评估"&amp;A120&amp;"为人民币"&amp;D120&amp;"万元整。")</f>
        <v>故，本次评估不存在</v>
      </c>
    </row>
    <row r="121" spans="1:11" ht="18.75" customHeight="1">
      <c r="A121" s="3174" t="s">
        <v>2318</v>
      </c>
      <c r="B121" s="3175"/>
      <c r="C121" s="3176"/>
      <c r="D121" s="3177" t="str">
        <f>IF(D120=0,"零元整",NUMBERSTRING(INT(D120*10000),2)&amp;"元整")</f>
        <v>零元整</v>
      </c>
      <c r="E121" s="3178"/>
      <c r="F121" s="3178"/>
      <c r="G121" s="3178"/>
      <c r="H121" s="3178"/>
      <c r="I121" s="3179"/>
    </row>
    <row r="122" spans="1:11" ht="18.75" customHeight="1">
      <c r="A122" s="3180" t="str">
        <f>IF(项目基本情况!B9="房地产市场价值","",MID(E107,3,LEN(E107)-2))</f>
        <v/>
      </c>
      <c r="B122" s="3180"/>
      <c r="C122" s="3180"/>
      <c r="D122" s="3181">
        <f ca="1">H107</f>
        <v>6237</v>
      </c>
      <c r="E122" s="3182"/>
      <c r="F122" s="3182"/>
      <c r="G122" s="3182"/>
      <c r="H122" s="3182"/>
      <c r="I122" s="3183"/>
    </row>
    <row r="123" spans="1:11" ht="18.75" customHeight="1">
      <c r="A123" s="3065" t="s">
        <v>2318</v>
      </c>
      <c r="B123" s="3065"/>
      <c r="C123" s="3065"/>
      <c r="D123" s="3177" t="str">
        <f ca="1">NUMBERSTRING(INT(D122*10000),2)&amp;"元整"</f>
        <v>陆仟贰佰叁拾柒万元整</v>
      </c>
      <c r="E123" s="3178"/>
      <c r="F123" s="3178"/>
      <c r="G123" s="3178"/>
      <c r="H123" s="3178"/>
      <c r="I123" s="3179"/>
    </row>
    <row r="124" spans="1:11" ht="18.75" customHeight="1">
      <c r="A124" s="3180" t="str">
        <f>IF(项目基本情况!B9="房地产市场价值","",MID(E109,3,LEN(E109)-2))</f>
        <v/>
      </c>
      <c r="B124" s="3180"/>
      <c r="C124" s="3180"/>
      <c r="D124" s="3181" t="str">
        <f>H109</f>
        <v>——</v>
      </c>
      <c r="E124" s="3182"/>
      <c r="F124" s="3182"/>
      <c r="G124" s="3182"/>
      <c r="H124" s="3182"/>
      <c r="I124" s="3183"/>
    </row>
    <row r="125" spans="1:11" ht="18.75" customHeight="1">
      <c r="A125" s="3065" t="s">
        <v>2318</v>
      </c>
      <c r="B125" s="3065"/>
      <c r="C125" s="3065"/>
      <c r="D125" s="3177" t="e">
        <f>NUMBERSTRING(INT(D124*10000),2)&amp;"元整"</f>
        <v>#VALUE!</v>
      </c>
      <c r="E125" s="3178"/>
      <c r="F125" s="3178"/>
      <c r="G125" s="3178"/>
      <c r="H125" s="3178"/>
      <c r="I125" s="3179"/>
    </row>
    <row r="126" spans="1:11" ht="18.75" customHeight="1">
      <c r="A126" s="3180" t="str">
        <f>IF(项目基本情况!B9="房地产市场价值","",MID(E111,3,LEN(E111)-2))</f>
        <v/>
      </c>
      <c r="B126" s="3180"/>
      <c r="C126" s="3180"/>
      <c r="D126" s="3181" t="str">
        <f>H111</f>
        <v>——</v>
      </c>
      <c r="E126" s="3182"/>
      <c r="F126" s="3182"/>
      <c r="G126" s="3182"/>
      <c r="H126" s="3182"/>
      <c r="I126" s="3183"/>
    </row>
    <row r="127" spans="1:11" ht="18.75" customHeight="1">
      <c r="A127" s="3065" t="s">
        <v>2318</v>
      </c>
      <c r="B127" s="3065"/>
      <c r="C127" s="3065"/>
      <c r="D127" s="3177" t="e">
        <f>NUMBERSTRING(INT(D126*10000),2)&amp;"元整"</f>
        <v>#VALUE!</v>
      </c>
      <c r="E127" s="3178"/>
      <c r="F127" s="3178"/>
      <c r="G127" s="3178"/>
      <c r="H127" s="3178"/>
      <c r="I127" s="3179"/>
    </row>
    <row r="128" spans="1:11" ht="21.75" customHeight="1">
      <c r="A128" s="3184" t="s">
        <v>2319</v>
      </c>
      <c r="B128" s="3184"/>
      <c r="C128" s="3184"/>
      <c r="D128" s="3184"/>
      <c r="E128" s="3184"/>
      <c r="F128" s="3184"/>
      <c r="G128" s="3184"/>
      <c r="H128" s="3184"/>
      <c r="I128" s="3184"/>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5" sqref="D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3069</v>
      </c>
      <c r="C1" s="242"/>
      <c r="D1" s="242"/>
      <c r="E1" s="242"/>
      <c r="F1" s="242"/>
      <c r="G1" s="1378">
        <f>MATCH(B1,'数据-取费表'!A6:A16,0)+5</f>
        <v>8</v>
      </c>
    </row>
    <row r="2" spans="1:9" s="244" customFormat="1" ht="18" customHeight="1">
      <c r="A2" s="245" t="s">
        <v>2328</v>
      </c>
      <c r="B2" s="246">
        <f ca="1">IF(D2="——",C52,C52-E2)</f>
        <v>6003</v>
      </c>
      <c r="C2" s="243" t="s">
        <v>2329</v>
      </c>
      <c r="D2" s="2546" t="s">
        <v>70</v>
      </c>
      <c r="E2" s="1439" t="e">
        <f ca="1">SUMIF(INDIRECT("'"&amp;G2&amp;"'"&amp;"!A:A"),"承租人权益价值",INDIRECT("'"&amp;G2&amp;"'"&amp;"!c:c"))</f>
        <v>#REF!</v>
      </c>
      <c r="F2" s="2547" t="s">
        <v>2329</v>
      </c>
      <c r="G2" s="2548"/>
    </row>
    <row r="3" spans="1:9" s="244" customFormat="1" ht="18" customHeight="1" thickBot="1">
      <c r="A3" s="247" t="s">
        <v>2330</v>
      </c>
      <c r="B3" s="248">
        <f ca="1">ROUND(B2*10000/(IF(B1="",'数据-汇总表'!E3,INDIRECT("'数据-取费表'!k"&amp;$G$1))),0)</f>
        <v>8421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2326</v>
      </c>
      <c r="D5" s="255" t="s">
        <v>2335</v>
      </c>
      <c r="E5" s="256" t="s">
        <v>2336</v>
      </c>
      <c r="F5" s="256" t="s">
        <v>2337</v>
      </c>
      <c r="G5" s="257"/>
    </row>
    <row r="6" spans="1:9" s="258" customFormat="1" ht="13.5" customHeight="1">
      <c r="A6" s="948" t="s">
        <v>2338</v>
      </c>
      <c r="B6" s="259" t="s">
        <v>2339</v>
      </c>
      <c r="C6" s="260">
        <f ca="1">基准地价修正!E39</f>
        <v>2257</v>
      </c>
      <c r="D6" s="261"/>
      <c r="E6" s="262"/>
      <c r="F6" s="262"/>
      <c r="G6" s="263"/>
    </row>
    <row r="7" spans="1:9" s="258" customFormat="1" ht="13.5" customHeight="1">
      <c r="A7" s="948" t="s">
        <v>2340</v>
      </c>
      <c r="B7" s="259" t="s">
        <v>2341</v>
      </c>
      <c r="C7" s="264">
        <f ca="1">ROUND(C6*F7,0)</f>
        <v>69</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49" t="s">
        <v>1148</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160</v>
      </c>
      <c r="F9" s="265"/>
      <c r="G9" s="2550" t="s">
        <v>3161</v>
      </c>
      <c r="H9" s="1389"/>
      <c r="I9" s="2551" t="s">
        <v>2345</v>
      </c>
    </row>
    <row r="10" spans="1:9" s="258" customFormat="1" ht="13.5" customHeight="1">
      <c r="A10" s="949" t="s">
        <v>801</v>
      </c>
      <c r="B10" s="268" t="s">
        <v>2346</v>
      </c>
      <c r="C10" s="269">
        <f ca="1">ROUND(D10*E10/10000,0)</f>
        <v>143</v>
      </c>
      <c r="D10" s="1031">
        <f ca="1">IF(B1="",'数据-汇总表'!E6,IF(INDIRECT("'数据-取费表'!c"&amp;$G$1)="住宅",INDIRECT("'数据-取费表'!s"&amp;$G$1),INDIRECT("'数据-取费表'!k"&amp;$G$1)+INDIRECT("'数据-取费表'!s"&amp;$G$1)))</f>
        <v>7128.3</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143</v>
      </c>
      <c r="D19" s="1035">
        <f ca="1">D9+D10</f>
        <v>7128.3</v>
      </c>
      <c r="E19" s="255">
        <f>'数据-取费表'!B31</f>
        <v>200</v>
      </c>
      <c r="F19" s="275"/>
      <c r="G19" s="2549" t="s">
        <v>1074</v>
      </c>
    </row>
    <row r="20" spans="1:7" s="258" customFormat="1" ht="13.5" customHeight="1">
      <c r="A20" s="299" t="s">
        <v>2359</v>
      </c>
      <c r="B20" s="254" t="s">
        <v>2360</v>
      </c>
      <c r="C20" s="276">
        <f ca="1">ROUND((C5+C19)*F20,0)</f>
        <v>74</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244</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226</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14</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381</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381</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3478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2005</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1782</v>
      </c>
      <c r="D34" s="261"/>
      <c r="E34" s="264"/>
      <c r="F34" s="301">
        <f ca="1">IF('数据-取费表'!B24=0,1,IF(B1="",'数据-取费表'!N16,INDIRECT("'数据-取费表'!n"&amp;$G$1)))</f>
        <v>1</v>
      </c>
      <c r="G34" s="263" t="s">
        <v>2392</v>
      </c>
    </row>
    <row r="35" spans="1:7" ht="13.5" customHeight="1">
      <c r="A35" s="950" t="s">
        <v>796</v>
      </c>
      <c r="B35" s="259" t="s">
        <v>2393</v>
      </c>
      <c r="C35" s="264">
        <f ca="1">ROUND(C34*F35,0)</f>
        <v>53</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2396</v>
      </c>
    </row>
    <row r="37" spans="1:7" s="302" customFormat="1" ht="13.5" customHeight="1">
      <c r="A37" s="950" t="s">
        <v>798</v>
      </c>
      <c r="B37" s="259" t="s">
        <v>2397</v>
      </c>
      <c r="C37" s="293">
        <f ca="1">ROUND(E37*D37*F34/10000,0)</f>
        <v>143</v>
      </c>
      <c r="D37" s="261">
        <f ca="1">D19</f>
        <v>7128.3</v>
      </c>
      <c r="E37" s="293">
        <f>'数据-取费表'!B35</f>
        <v>200</v>
      </c>
      <c r="F37" s="303"/>
      <c r="G37" s="305" t="s">
        <v>2398</v>
      </c>
    </row>
    <row r="38" spans="1:7" ht="13.5" customHeight="1">
      <c r="A38" s="950" t="s">
        <v>799</v>
      </c>
      <c r="B38" s="259" t="s">
        <v>2399</v>
      </c>
      <c r="C38" s="264">
        <f ca="1">ROUND(C34*F38,0)</f>
        <v>27</v>
      </c>
      <c r="D38" s="264"/>
      <c r="E38" s="264"/>
      <c r="F38" s="303">
        <f>'数据-取费表'!B36</f>
        <v>1.4999999999999999E-2</v>
      </c>
      <c r="G38" s="263" t="s">
        <v>2394</v>
      </c>
    </row>
    <row r="39" spans="1:7" s="258" customFormat="1" ht="13.5" customHeight="1">
      <c r="A39" s="299" t="s">
        <v>2400</v>
      </c>
      <c r="B39" s="254" t="s">
        <v>2401</v>
      </c>
      <c r="C39" s="276">
        <f ca="1">ROUND(C33*F20,0)</f>
        <v>60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98</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95</v>
      </c>
      <c r="D42" s="282"/>
      <c r="E42" s="282"/>
      <c r="F42" s="283"/>
      <c r="G42" s="3239" t="s">
        <v>2410</v>
      </c>
    </row>
    <row r="43" spans="1:7" ht="13.5" customHeight="1">
      <c r="A43" s="950" t="s">
        <v>792</v>
      </c>
      <c r="B43" s="259" t="s">
        <v>2411</v>
      </c>
      <c r="C43" s="282">
        <f ca="1">ROUND(IF('数据-取费表'!B22&lt;=1,C39*F22*'数据-取费表'!B21/2,C39*(POWER((1+F22),'数据-取费表'!B21/2)-1)),0)</f>
        <v>3</v>
      </c>
      <c r="D43" s="282"/>
      <c r="E43" s="282"/>
      <c r="F43" s="283"/>
      <c r="G43" s="3240"/>
    </row>
    <row r="44" spans="1:7" ht="13.5" customHeight="1">
      <c r="A44" s="950" t="s">
        <v>793</v>
      </c>
      <c r="B44" s="259" t="s">
        <v>2412</v>
      </c>
      <c r="C44" s="282">
        <f ca="1">ROUND(IF('数据-取费表'!B22&lt;=1,C40*F22*'数据-取费表'!B21/2,C40*(POWER((1+F22),'数据-取费表'!B21/2)-1)),4)</f>
        <v>1.4E-3</v>
      </c>
      <c r="D44" s="282"/>
      <c r="E44" s="282"/>
      <c r="F44" s="283"/>
      <c r="G44" s="3241"/>
    </row>
    <row r="45" spans="1:7" s="258" customFormat="1" ht="13.5" customHeight="1">
      <c r="A45" s="299" t="s">
        <v>2413</v>
      </c>
      <c r="B45" s="288" t="s">
        <v>2379</v>
      </c>
      <c r="C45" s="289">
        <f ca="1">C46</f>
        <v>310</v>
      </c>
      <c r="D45" s="279">
        <f ca="1">C47</f>
        <v>4.4999999999999997E-3</v>
      </c>
      <c r="E45" s="280" t="s">
        <v>2405</v>
      </c>
      <c r="F45" s="290"/>
      <c r="G45" s="291" t="s">
        <v>2414</v>
      </c>
    </row>
    <row r="46" spans="1:7" s="258" customFormat="1" ht="13.5" customHeight="1">
      <c r="A46" s="950" t="s">
        <v>791</v>
      </c>
      <c r="B46" s="292" t="s">
        <v>2415</v>
      </c>
      <c r="C46" s="293">
        <f ca="1">ROUND((C33+C39)*F27,0)</f>
        <v>310</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2715</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2525</v>
      </c>
      <c r="D51" s="276"/>
      <c r="E51" s="276"/>
      <c r="F51" s="308"/>
      <c r="G51" s="278" t="s">
        <v>2426</v>
      </c>
    </row>
    <row r="52" spans="1:7" s="252" customFormat="1" ht="16.5" thickBot="1">
      <c r="A52" s="309" t="s">
        <v>2427</v>
      </c>
      <c r="B52" s="310"/>
      <c r="C52" s="311">
        <f ca="1">C31+C51</f>
        <v>6003</v>
      </c>
      <c r="D52" s="310"/>
      <c r="E52" s="310"/>
      <c r="F52" s="310"/>
      <c r="G52" s="312"/>
    </row>
    <row r="55" spans="1:7" ht="15">
      <c r="B55" s="314" t="s">
        <v>2428</v>
      </c>
      <c r="C55" s="315"/>
    </row>
    <row r="56" spans="1:7">
      <c r="B56" s="317" t="s">
        <v>1513</v>
      </c>
      <c r="C56" s="319">
        <f ca="1">1-C57</f>
        <v>0.57899999999999996</v>
      </c>
    </row>
    <row r="57" spans="1:7">
      <c r="B57" s="317" t="s">
        <v>1514</v>
      </c>
      <c r="C57" s="318">
        <f ca="1">ROUND(C51/C52,3)</f>
        <v>0.42099999999999999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2"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21263</v>
      </c>
      <c r="C2" s="243" t="s">
        <v>2329</v>
      </c>
      <c r="D2" s="2546" t="s">
        <v>70</v>
      </c>
      <c r="E2" s="1439" t="e">
        <f ca="1">SUMIF(INDIRECT("'"&amp;G2&amp;"'"&amp;"!A:A"),"承租人权益价值",INDIRECT("'"&amp;G2&amp;"'"&amp;"!c:c"))</f>
        <v>#REF!</v>
      </c>
      <c r="F2" s="2547" t="s">
        <v>2329</v>
      </c>
      <c r="G2" s="2548"/>
    </row>
    <row r="3" spans="1:8" s="244" customFormat="1" ht="18" customHeight="1" thickBot="1">
      <c r="A3" s="247" t="s">
        <v>2330</v>
      </c>
      <c r="B3" s="248">
        <f ca="1">ROUND(B2*10000/(IF(B1="",'数据-汇总表'!E3,INDIRECT("'数据-取费表'!k"&amp;$G$1))),0)</f>
        <v>5149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8258792</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8258792</v>
      </c>
      <c r="D8" s="266"/>
      <c r="E8" s="264"/>
      <c r="F8" s="265"/>
      <c r="G8" s="2549"/>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2346</v>
      </c>
      <c r="C10" s="269">
        <f ca="1">ROUND(D10*E10,0)</f>
        <v>8258792</v>
      </c>
      <c r="D10" s="1031">
        <f ca="1">IF(B1="",'数据-汇总表'!E6,IF(INDIRECT("'数据-取费表'!c"&amp;$G$1)="住宅",INDIRECT("'数据-取费表'!s"&amp;$G$1),INDIRECT("'数据-取费表'!k"&amp;$G$1)+INDIRECT("'数据-取费表'!s"&amp;$G$1)))</f>
        <v>41293.960000000006</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8258792</v>
      </c>
      <c r="D19" s="1035">
        <f ca="1">D9+D10</f>
        <v>41293.960000000006</v>
      </c>
      <c r="E19" s="255">
        <f>'数据-取费表'!B31</f>
        <v>200</v>
      </c>
      <c r="F19" s="275"/>
      <c r="G19" s="2549"/>
    </row>
    <row r="20" spans="1:7" s="258" customFormat="1" ht="13.5" customHeight="1">
      <c r="A20" s="299" t="s">
        <v>2440</v>
      </c>
      <c r="B20" s="254" t="s">
        <v>2441</v>
      </c>
      <c r="C20" s="276">
        <f ca="1">ROUND((C5+C19)*F20,0)</f>
        <v>495528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1629976</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803219</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803219</v>
      </c>
      <c r="D24" s="282"/>
      <c r="E24" s="282"/>
      <c r="F24" s="283"/>
      <c r="G24" s="284" t="s">
        <v>2452</v>
      </c>
    </row>
    <row r="25" spans="1:7" s="258" customFormat="1" ht="24">
      <c r="A25" s="950" t="s">
        <v>2342</v>
      </c>
      <c r="B25" s="259" t="s">
        <v>2453</v>
      </c>
      <c r="C25" s="1380">
        <f ca="1">ROUND(IF('数据-取费表'!B22&lt;=1,C20*F22*'数据-取费表'!B22/2,C20*(POWER((1+F22),'数据-取费表'!B22/2)-1)),0)</f>
        <v>23538</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3913016</v>
      </c>
      <c r="D27" s="279">
        <f ca="1">C29</f>
        <v>6.8999999999999999E-3</v>
      </c>
      <c r="E27" s="280" t="s">
        <v>2380</v>
      </c>
      <c r="F27" s="290">
        <f ca="1">IF(B1="",'数据-取费表'!Q16,INDIRECT("'数据-取费表'!q"&amp;$G$1))</f>
        <v>0.23</v>
      </c>
      <c r="G27" s="291" t="s">
        <v>2381</v>
      </c>
    </row>
    <row r="28" spans="1:7" s="258" customFormat="1" ht="13.5" customHeight="1">
      <c r="A28" s="950" t="s">
        <v>791</v>
      </c>
      <c r="B28" s="292" t="s">
        <v>2382</v>
      </c>
      <c r="C28" s="293">
        <f ca="1">ROUND((C5+C19+C20)*F27,0)</f>
        <v>3913016</v>
      </c>
      <c r="D28" s="279"/>
      <c r="E28" s="280"/>
      <c r="F28" s="290"/>
      <c r="G28" s="291"/>
    </row>
    <row r="29" spans="1:7" s="258" customFormat="1" ht="13.5" customHeight="1">
      <c r="A29" s="950" t="s">
        <v>792</v>
      </c>
      <c r="B29" s="292" t="s">
        <v>2383</v>
      </c>
      <c r="C29" s="282">
        <f ca="1">ROUND(C21*F27,4)</f>
        <v>6.8999999999999999E-3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24830586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139407970</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125501606</v>
      </c>
      <c r="D34" s="261"/>
      <c r="E34" s="264"/>
      <c r="F34" s="301"/>
      <c r="G34" s="263"/>
    </row>
    <row r="35" spans="1:7" ht="13.5" customHeight="1">
      <c r="A35" s="950" t="s">
        <v>796</v>
      </c>
      <c r="B35" s="259" t="s">
        <v>2393</v>
      </c>
      <c r="C35" s="264">
        <f ca="1">ROUND(C34*F35,0)</f>
        <v>3765048</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0.03</v>
      </c>
      <c r="G36" s="304" t="s">
        <v>2396</v>
      </c>
    </row>
    <row r="37" spans="1:7" s="302" customFormat="1" ht="13.5" customHeight="1">
      <c r="A37" s="950" t="s">
        <v>798</v>
      </c>
      <c r="B37" s="259" t="s">
        <v>2397</v>
      </c>
      <c r="C37" s="293">
        <f ca="1">ROUND(E37*D37,0)</f>
        <v>8258792</v>
      </c>
      <c r="D37" s="261">
        <f ca="1">D19</f>
        <v>41293.960000000006</v>
      </c>
      <c r="E37" s="293">
        <f>'数据-取费表'!B35</f>
        <v>200</v>
      </c>
      <c r="F37" s="303"/>
      <c r="G37" s="305"/>
    </row>
    <row r="38" spans="1:7" ht="13.5" customHeight="1">
      <c r="A38" s="950" t="s">
        <v>799</v>
      </c>
      <c r="B38" s="259" t="s">
        <v>2399</v>
      </c>
      <c r="C38" s="264">
        <f ca="1">ROUND(C34*F38,0)</f>
        <v>1882524</v>
      </c>
      <c r="D38" s="264"/>
      <c r="E38" s="264"/>
      <c r="F38" s="303">
        <f>'数据-取费表'!B36</f>
        <v>1.4999999999999999E-2</v>
      </c>
      <c r="G38" s="263" t="s">
        <v>2394</v>
      </c>
    </row>
    <row r="39" spans="1:7" s="258" customFormat="1" ht="13.5" customHeight="1">
      <c r="A39" s="299" t="s">
        <v>2400</v>
      </c>
      <c r="B39" s="254" t="s">
        <v>2401</v>
      </c>
      <c r="C39" s="276">
        <f ca="1">ROUND(C33*F20,0)</f>
        <v>4182239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6820535</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6621879</v>
      </c>
      <c r="D42" s="282"/>
      <c r="E42" s="282"/>
      <c r="F42" s="283"/>
      <c r="G42" s="3239" t="s">
        <v>2457</v>
      </c>
    </row>
    <row r="43" spans="1:7" ht="13.5" customHeight="1">
      <c r="A43" s="950" t="s">
        <v>792</v>
      </c>
      <c r="B43" s="259" t="s">
        <v>2411</v>
      </c>
      <c r="C43" s="282">
        <f ca="1">ROUND(IF('数据-取费表'!B22&lt;=1,C39*F22*'数据-取费表'!B20/2,C39*(POWER((1+F22),'数据-取费表'!B20/2)-1)),0)</f>
        <v>198656</v>
      </c>
      <c r="D43" s="282"/>
      <c r="E43" s="282"/>
      <c r="F43" s="283"/>
      <c r="G43" s="3240"/>
    </row>
    <row r="44" spans="1:7" ht="13.5" customHeight="1">
      <c r="A44" s="950" t="s">
        <v>793</v>
      </c>
      <c r="B44" s="259" t="s">
        <v>2412</v>
      </c>
      <c r="C44" s="282">
        <f ca="1">ROUND(IF('数据-取费表'!B22&lt;=1,C40*F22*'数据-取费表'!B20/2,C40*(POWER((1+F22),'数据-取费表'!B20/2)-1)),4)</f>
        <v>1.4E-3</v>
      </c>
      <c r="D44" s="282"/>
      <c r="E44" s="282"/>
      <c r="F44" s="283"/>
      <c r="G44" s="3241"/>
    </row>
    <row r="45" spans="1:7" s="258" customFormat="1" ht="13.5" customHeight="1">
      <c r="A45" s="299" t="s">
        <v>2413</v>
      </c>
      <c r="B45" s="288" t="s">
        <v>2379</v>
      </c>
      <c r="C45" s="289">
        <f ca="1">C46</f>
        <v>33025748</v>
      </c>
      <c r="D45" s="279">
        <f ca="1">C47</f>
        <v>6.8999999999999999E-3</v>
      </c>
      <c r="E45" s="280" t="s">
        <v>2405</v>
      </c>
      <c r="F45" s="290"/>
      <c r="G45" s="291" t="s">
        <v>2414</v>
      </c>
    </row>
    <row r="46" spans="1:7" s="258" customFormat="1" ht="13.5" customHeight="1">
      <c r="A46" s="950" t="s">
        <v>791</v>
      </c>
      <c r="B46" s="292" t="s">
        <v>2415</v>
      </c>
      <c r="C46" s="293">
        <f ca="1">ROUND((C33+C39)*F27,0)</f>
        <v>33025748</v>
      </c>
      <c r="D46" s="307"/>
      <c r="E46" s="280"/>
      <c r="F46" s="290"/>
      <c r="G46" s="291"/>
    </row>
    <row r="47" spans="1:7" s="258" customFormat="1" ht="13.5" customHeight="1">
      <c r="A47" s="950" t="s">
        <v>792</v>
      </c>
      <c r="B47" s="292" t="s">
        <v>2416</v>
      </c>
      <c r="C47" s="282">
        <f ca="1">ROUND(C40*F27,4)</f>
        <v>6.8999999999999999E-3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201933611</v>
      </c>
      <c r="D49" s="276"/>
      <c r="E49" s="276"/>
      <c r="F49" s="308"/>
      <c r="G49" s="278" t="s">
        <v>2420</v>
      </c>
    </row>
    <row r="50" spans="1:7" s="302" customFormat="1">
      <c r="A50" s="299" t="s">
        <v>2421</v>
      </c>
      <c r="B50" s="254" t="s">
        <v>2422</v>
      </c>
      <c r="C50" s="276"/>
      <c r="D50" s="276"/>
      <c r="E50" s="276"/>
      <c r="F50" s="308">
        <f>IF('数据-取费表'!B24=0,'数据-取费表'!N16,1)</f>
        <v>0.93</v>
      </c>
      <c r="G50" s="291"/>
    </row>
    <row r="51" spans="1:7" ht="16.5" customHeight="1">
      <c r="A51" s="299" t="s">
        <v>2424</v>
      </c>
      <c r="B51" s="254" t="s">
        <v>2459</v>
      </c>
      <c r="C51" s="276">
        <f ca="1">ROUND(C49*F50,0)</f>
        <v>187798258</v>
      </c>
      <c r="D51" s="276"/>
      <c r="E51" s="276"/>
      <c r="F51" s="308"/>
      <c r="G51" s="278" t="s">
        <v>2426</v>
      </c>
    </row>
    <row r="52" spans="1:7" s="252" customFormat="1" ht="16.5" thickBot="1">
      <c r="A52" s="309" t="s">
        <v>2427</v>
      </c>
      <c r="B52" s="310"/>
      <c r="C52" s="311">
        <f ca="1">C31+C51</f>
        <v>212628844</v>
      </c>
      <c r="D52" s="310"/>
      <c r="E52" s="310"/>
      <c r="F52" s="310"/>
      <c r="G52" s="312"/>
    </row>
    <row r="55" spans="1:7" ht="15">
      <c r="B55" s="314" t="s">
        <v>2428</v>
      </c>
      <c r="C55" s="315"/>
    </row>
    <row r="56" spans="1:7">
      <c r="B56" s="317" t="s">
        <v>1513</v>
      </c>
      <c r="C56" s="319">
        <f ca="1">1-C57</f>
        <v>0.11699999999999999</v>
      </c>
    </row>
    <row r="57" spans="1:7">
      <c r="B57" s="317" t="s">
        <v>1514</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-1017</v>
      </c>
      <c r="C2" s="320" t="s">
        <v>2461</v>
      </c>
      <c r="D2" s="320"/>
      <c r="E2" s="320"/>
      <c r="F2" s="320"/>
      <c r="G2" s="320"/>
      <c r="H2" s="320"/>
      <c r="I2" s="320"/>
      <c r="J2" s="320"/>
      <c r="K2" s="320"/>
    </row>
    <row r="3" spans="1:33" ht="18" customHeight="1" thickBot="1">
      <c r="A3" s="247" t="s">
        <v>2330</v>
      </c>
      <c r="B3" s="248">
        <f ca="1">ROUND(B2*10000/IF(C1="",'数据-汇总表'!E3,INDIRECT("'数据-取费表'!K"&amp;$K$1)),0)</f>
        <v>-246</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3" t="s">
        <v>2466</v>
      </c>
      <c r="D5" s="2553" t="s">
        <v>2467</v>
      </c>
      <c r="E5" s="2553" t="s">
        <v>2468</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1334</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2482</v>
      </c>
      <c r="C12" s="24">
        <f ca="1">ROUND(C11*F12,0)</f>
        <v>0</v>
      </c>
      <c r="D12" s="972"/>
      <c r="E12" s="375"/>
      <c r="F12" s="975">
        <f>'数据-取费表'!B33</f>
        <v>0.03</v>
      </c>
      <c r="G12" s="8" t="s">
        <v>2483</v>
      </c>
      <c r="H12" s="967"/>
      <c r="I12" s="967"/>
      <c r="J12" s="967"/>
      <c r="K12" s="968"/>
    </row>
    <row r="13" spans="1:33" s="974" customFormat="1" ht="13.5" customHeight="1">
      <c r="A13" s="970" t="s">
        <v>1336</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1337</v>
      </c>
      <c r="B14" s="971" t="s">
        <v>2486</v>
      </c>
      <c r="C14" s="24">
        <f ca="1">ROUND(D14*E14*F11/10000,0)</f>
        <v>0</v>
      </c>
      <c r="D14" s="1032">
        <f ca="1">IF(C1="",'数据-汇总表'!E3,INDIRECT("'数据-取费表'!K"&amp;$K$1)+INDIRECT("'数据-取费表'!S"&amp;$K$1))</f>
        <v>41293.960000000006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41293.960000000006</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2493</v>
      </c>
      <c r="C18" s="24">
        <f ca="1">C19+C20-IF(C1="",'数据-取费表'!B29,IF(G18="已全部缴纳",C19+C20,H18))</f>
        <v>826</v>
      </c>
      <c r="D18" s="1032"/>
      <c r="E18" s="24"/>
      <c r="F18" s="975"/>
      <c r="G18" s="2555"/>
      <c r="H18" s="1576"/>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2496</v>
      </c>
      <c r="C20" s="24">
        <f ca="1">ROUND(D20*E20/10000,0)</f>
        <v>826</v>
      </c>
      <c r="D20" s="1032">
        <f ca="1">IF(C1="",'数据-汇总表'!E6,IF(INDIRECT("'数据-取费表'!c"&amp;$K$1)="住宅",INDIRECT("'数据-取费表'!s"&amp;$K$1),INDIRECT("'数据-取费表'!k"&amp;$K$1)+INDIRECT("'数据-取费表'!s"&amp;$K$1)))</f>
        <v>41293.960000000006</v>
      </c>
      <c r="E20" s="24">
        <f>'数据-取费表'!B28</f>
        <v>200</v>
      </c>
      <c r="F20" s="975"/>
      <c r="G20" s="15"/>
      <c r="H20" s="980"/>
      <c r="I20" s="980"/>
      <c r="J20" s="980"/>
      <c r="K20" s="981"/>
    </row>
    <row r="21" spans="1:33" s="974" customFormat="1" ht="13.5" customHeight="1">
      <c r="A21" s="960" t="s">
        <v>802</v>
      </c>
      <c r="B21" s="984" t="s">
        <v>2497</v>
      </c>
      <c r="C21" s="985">
        <f ca="1">C16+C17+C18</f>
        <v>826</v>
      </c>
      <c r="D21" s="986"/>
      <c r="E21" s="325"/>
      <c r="F21" s="325"/>
      <c r="G21" s="140" t="s">
        <v>2498</v>
      </c>
      <c r="H21" s="978"/>
      <c r="I21" s="978"/>
      <c r="J21" s="978"/>
      <c r="K21" s="979"/>
    </row>
    <row r="22" spans="1:33" s="974" customFormat="1" ht="13.5" customHeight="1">
      <c r="A22" s="960" t="s">
        <v>2470</v>
      </c>
      <c r="B22" s="984" t="s">
        <v>2499</v>
      </c>
      <c r="C22" s="985">
        <f ca="1">ROUND(C21*F22,0)</f>
        <v>25</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f ca="1">C30</f>
        <v>196</v>
      </c>
      <c r="D28" s="324">
        <f ca="1">C29</f>
        <v>0</v>
      </c>
      <c r="E28" s="326" t="s">
        <v>15</v>
      </c>
      <c r="F28" s="332">
        <f ca="1">IF(C1="",'数据-取费表'!Q16,INDIRECT("'数据-取费表'!q"&amp;$K$1))</f>
        <v>0.23</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196</v>
      </c>
      <c r="D30" s="328"/>
      <c r="E30" s="329"/>
      <c r="F30" s="334"/>
      <c r="G30" s="140"/>
      <c r="H30" s="978"/>
      <c r="I30" s="978"/>
      <c r="J30" s="978"/>
      <c r="K30" s="979"/>
    </row>
    <row r="31" spans="1:33" s="974" customFormat="1" ht="13.5" customHeight="1" thickBot="1">
      <c r="A31" s="2559"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-1017</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北京杰伟科技发展有限公司：</v>
      </c>
    </row>
    <row r="4" spans="1:1" ht="18">
      <c r="A4" s="1947" t="str">
        <f>"受贵公司委托，我公司对"&amp;项目基本情况!S1&amp;"进行了预评估。"</f>
        <v>受贵公司委托，我公司对北京市房地产市场价值进行了预评估。</v>
      </c>
    </row>
    <row r="5" spans="1:1" ht="18.75">
      <c r="A5" s="1948" t="s">
        <v>1612</v>
      </c>
    </row>
    <row r="6" spans="1:1" ht="18.75">
      <c r="A6" s="1949" t="s">
        <v>1613</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950" t="s">
        <v>1614</v>
      </c>
    </row>
    <row r="9" spans="1:1" ht="18.75">
      <c r="A9" s="1949" t="s">
        <v>1615</v>
      </c>
    </row>
    <row r="10" spans="1:1" ht="54">
      <c r="A10" s="1947" t="str">
        <f>"估价对象为"&amp;项目基本情况!S2&amp;IF(结果表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估价对象为北京市房地产,属开发建设的办公项目，该项目尚在开发建设中。根据《国有土地使用证》[]，估价对象（分摊）出让国有建设用地使用权面积为13315.65平方米，规划建筑面积为41293.96平方米。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1618</v>
      </c>
    </row>
    <row r="15" spans="1:1" ht="18">
      <c r="A15" s="1953" t="str">
        <f>TEXT(项目基本情况!D3,"yyyy年m月d日;;")&amp;IF(项目基本情况!D3=项目基本情况!B3,"（评估专业人员实地查勘之日）","")</f>
        <v>2017年12月31日（评估专业人员实地查勘之日）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1609</v>
      </c>
    </row>
    <row r="24" spans="1:1" ht="18">
      <c r="A24" s="1954" t="str">
        <f>"本次评估采用的主估价方法为"&amp;结果表仓储!K4&amp;"和"&amp;结果表仓储!L4&amp;"。"</f>
        <v>本次评估采用的主估价方法为成本法和收益法。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c r="D1" s="1819"/>
      <c r="E1" s="1820" t="s">
        <v>1387</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4"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1">
        <f ca="1">C6+C10+C12</f>
        <v>0</v>
      </c>
      <c r="D5" s="1821" t="s">
        <v>1601</v>
      </c>
      <c r="E5" s="1292"/>
      <c r="F5" s="1293"/>
      <c r="G5" s="1850"/>
      <c r="H5" s="344">
        <v>1</v>
      </c>
      <c r="I5" s="345" t="s">
        <v>1600</v>
      </c>
      <c r="J5" s="1291">
        <f ca="1">J6+J10+J12</f>
        <v>0</v>
      </c>
      <c r="K5" s="1821" t="s">
        <v>1601</v>
      </c>
      <c r="L5" s="1292"/>
      <c r="M5" s="1293"/>
    </row>
    <row r="6" spans="1:37" ht="18" customHeight="1">
      <c r="A6" s="1290" t="s">
        <v>1035</v>
      </c>
      <c r="B6" s="3234" t="s">
        <v>1403</v>
      </c>
      <c r="C6" s="1295">
        <f ca="1">ROUND(F6*F8*F7*(1-F9),0)</f>
        <v>0</v>
      </c>
      <c r="D6" s="164" t="s">
        <v>3030</v>
      </c>
      <c r="E6" s="347" t="s">
        <v>1405</v>
      </c>
      <c r="F6" s="348">
        <f ca="1">INDIRECT("'数据-取费表'!u"&amp;$G$1)</f>
        <v>0</v>
      </c>
      <c r="G6" s="1850"/>
      <c r="H6" s="1290" t="s">
        <v>1035</v>
      </c>
      <c r="I6" s="3234" t="s">
        <v>1403</v>
      </c>
      <c r="J6" s="346">
        <f ca="1">ROUND(M6*M8*M7*(1-M9),0)</f>
        <v>0</v>
      </c>
      <c r="K6" s="1833" t="s">
        <v>3031</v>
      </c>
      <c r="L6" s="347" t="s">
        <v>1405</v>
      </c>
      <c r="M6" s="348">
        <f ca="1">INDIRECT("'数据-取费表'!z"&amp;$G$1)</f>
        <v>0</v>
      </c>
    </row>
    <row r="7" spans="1:37" ht="18" customHeight="1">
      <c r="A7" s="1294"/>
      <c r="B7" s="3235"/>
      <c r="C7" s="1296"/>
      <c r="D7" s="352"/>
      <c r="E7" s="1297" t="s">
        <v>1406</v>
      </c>
      <c r="F7" s="348">
        <f ca="1">IF(INDIRECT("'数据-取费表'!ah"&amp;$G$1)="",INDIRECT("'数据-取费表'!k"&amp;$G$1),INDIRECT("'数据-取费表'!ah"&amp;$G$1))</f>
        <v>0</v>
      </c>
      <c r="G7" s="1850"/>
      <c r="H7" s="349"/>
      <c r="I7" s="3235"/>
      <c r="J7" s="351"/>
      <c r="K7" s="352"/>
      <c r="L7" s="347" t="s">
        <v>1406</v>
      </c>
      <c r="M7" s="348">
        <f ca="1">F7</f>
        <v>0</v>
      </c>
    </row>
    <row r="8" spans="1:37" ht="18" customHeight="1">
      <c r="A8" s="349"/>
      <c r="B8" s="3235"/>
      <c r="C8" s="351"/>
      <c r="D8" s="352"/>
      <c r="E8" s="347" t="s">
        <v>1407</v>
      </c>
      <c r="F8" s="348">
        <f ca="1">INDIRECT("'数据-取费表'!ai"&amp;$G$1)</f>
        <v>0</v>
      </c>
      <c r="G8" s="1850"/>
      <c r="H8" s="349"/>
      <c r="I8" s="3235"/>
      <c r="J8" s="351"/>
      <c r="K8" s="352"/>
      <c r="L8" s="347" t="s">
        <v>1407</v>
      </c>
      <c r="M8" s="348">
        <f ca="1">INDIRECT("'数据-取费表'!ai"&amp;$G$1)</f>
        <v>0</v>
      </c>
    </row>
    <row r="9" spans="1:37" ht="18" customHeight="1">
      <c r="A9" s="349"/>
      <c r="B9" s="3236"/>
      <c r="C9" s="351"/>
      <c r="D9" s="352"/>
      <c r="E9" s="347" t="s">
        <v>1408</v>
      </c>
      <c r="F9" s="357">
        <f ca="1">INDIRECT("'数据-取费表'!w"&amp;$G$1)</f>
        <v>0</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3041</v>
      </c>
      <c r="E10" s="358" t="s">
        <v>1410</v>
      </c>
      <c r="F10" s="1365"/>
      <c r="G10" s="1850"/>
      <c r="H10" s="1290" t="s">
        <v>1039</v>
      </c>
      <c r="I10" s="1822" t="s">
        <v>1409</v>
      </c>
      <c r="J10" s="346">
        <f ca="1">ROUND(IF(M10="押一",J6/12*M11,IF(M10="押二",J6/12*2*M11,IF(M10="押三",J6/12*3*M11,J11*M11))),0)</f>
        <v>0</v>
      </c>
      <c r="K10" s="1834" t="s">
        <v>3043</v>
      </c>
      <c r="L10" s="358" t="s">
        <v>1410</v>
      </c>
      <c r="M10" s="1365"/>
    </row>
    <row r="11" spans="1:37" ht="18" customHeight="1">
      <c r="A11" s="353"/>
      <c r="B11" s="1824" t="s">
        <v>1602</v>
      </c>
      <c r="C11" s="1177"/>
      <c r="D11" s="352"/>
      <c r="E11" s="358" t="s">
        <v>1412</v>
      </c>
      <c r="F11" s="359">
        <f ca="1">'数据-取费表'!B39</f>
        <v>1.4999999999999999E-2</v>
      </c>
      <c r="G11" s="1850"/>
      <c r="H11" s="1298"/>
      <c r="I11" s="1824" t="s">
        <v>1603</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7" t="s">
        <v>1417</v>
      </c>
      <c r="C14" s="363">
        <f ca="1">ROUND(INDIRECT("'数据-取费表'!l"&amp;$G$1)*F43+'数据-取费表'!L14*INDIRECT("'数据-取费表'!S"&amp;$G$1),0)</f>
        <v>0</v>
      </c>
      <c r="D14" s="1799" t="s">
        <v>1418</v>
      </c>
      <c r="E14" s="1793"/>
      <c r="F14" s="364"/>
      <c r="G14" s="1850"/>
      <c r="H14" s="1200" t="s">
        <v>1035</v>
      </c>
      <c r="I14" s="347" t="s">
        <v>1419</v>
      </c>
      <c r="J14" s="24">
        <f ca="1">C29</f>
        <v>0</v>
      </c>
      <c r="K14" s="15"/>
      <c r="L14" s="978"/>
      <c r="M14" s="979"/>
    </row>
    <row r="15" spans="1:37" s="1857" customFormat="1" ht="18" customHeight="1" thickBot="1">
      <c r="A15" s="1200" t="s">
        <v>1036</v>
      </c>
      <c r="B15" s="347" t="s">
        <v>1420</v>
      </c>
      <c r="C15" s="24">
        <f ca="1">ROUND(C14*F15,0)</f>
        <v>0</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50"/>
      <c r="H16" s="1328" t="s">
        <v>1030</v>
      </c>
      <c r="I16" s="1329" t="s">
        <v>1424</v>
      </c>
      <c r="J16" s="355">
        <f ca="1">ROUND(J17+J22+J23+J24,0)</f>
        <v>0</v>
      </c>
      <c r="K16" s="1336" t="s">
        <v>1425</v>
      </c>
      <c r="L16" s="1337"/>
      <c r="M16" s="1293"/>
    </row>
    <row r="17" spans="1:37" s="1857" customFormat="1" ht="18" customHeight="1">
      <c r="A17" s="1200" t="s">
        <v>1390</v>
      </c>
      <c r="B17" s="347" t="s">
        <v>1426</v>
      </c>
      <c r="C17" s="24">
        <f ca="1">ROUND(F17*(F43+INDIRECT("'数据-取费表'!S"&amp;$G$1)),0)</f>
        <v>0</v>
      </c>
      <c r="D17" s="347" t="s">
        <v>1427</v>
      </c>
      <c r="E17" s="347" t="s">
        <v>1428</v>
      </c>
      <c r="F17" s="26">
        <f>'数据-取费表'!B35</f>
        <v>200</v>
      </c>
      <c r="G17" s="1853"/>
      <c r="H17" s="1200" t="s">
        <v>1035</v>
      </c>
      <c r="I17" s="347" t="s">
        <v>1429</v>
      </c>
      <c r="J17" s="24">
        <f ca="1">ROUND(IF(项目基本情况!B11="自然人",J5*M17,J18+J19+J20),0)</f>
        <v>0</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0</v>
      </c>
      <c r="D18" s="347" t="s">
        <v>1421</v>
      </c>
      <c r="E18" s="347" t="s">
        <v>1422</v>
      </c>
      <c r="F18" s="367">
        <f>'数据-取费表'!B36</f>
        <v>1.4999999999999999E-2</v>
      </c>
      <c r="G18" s="1853"/>
      <c r="H18" s="1200"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0</v>
      </c>
      <c r="D19" s="140" t="s">
        <v>1436</v>
      </c>
      <c r="E19" s="1817"/>
      <c r="F19" s="26"/>
      <c r="G19" s="1850"/>
      <c r="H19" s="1200" t="s">
        <v>1036</v>
      </c>
      <c r="I19" s="347" t="s">
        <v>1437</v>
      </c>
      <c r="J19" s="24">
        <f ca="1">IF(K19="按租金收入计税",ROUND(J5*M19,0),ROUND(C29*M19*0.7,0))</f>
        <v>0</v>
      </c>
      <c r="K19" s="1827" t="s">
        <v>1438</v>
      </c>
      <c r="L19" s="347" t="s">
        <v>1422</v>
      </c>
      <c r="M19" s="367">
        <f>IF(K19="按租金收入计税",'数据-取费表'!B51,'数据-取费表'!B50)</f>
        <v>1.2E-2</v>
      </c>
    </row>
    <row r="20" spans="1:37" s="1857" customFormat="1" ht="18" customHeight="1">
      <c r="A20" s="1200" t="s">
        <v>1039</v>
      </c>
      <c r="B20" s="347" t="s">
        <v>1439</v>
      </c>
      <c r="C20" s="24">
        <f ca="1">ROUND(C19*F20,0)</f>
        <v>0</v>
      </c>
      <c r="D20" s="369" t="s">
        <v>1440</v>
      </c>
      <c r="E20" s="347" t="s">
        <v>1422</v>
      </c>
      <c r="F20" s="367">
        <f>'数据-取费表'!B37</f>
        <v>0.03</v>
      </c>
      <c r="G20" s="1853"/>
      <c r="H20" s="1200" t="s">
        <v>1389</v>
      </c>
      <c r="I20" s="164" t="s">
        <v>1441</v>
      </c>
      <c r="J20" s="25">
        <f ca="1">ROUND(M20*M21,0)</f>
        <v>0</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v>
      </c>
      <c r="D21" s="369" t="s">
        <v>1445</v>
      </c>
      <c r="E21" s="347" t="s">
        <v>1446</v>
      </c>
      <c r="F21" s="367">
        <f>'数据-取费表'!B38</f>
        <v>0.03</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ROUND(J14*M22,0)</f>
        <v>0</v>
      </c>
      <c r="K22" s="1797" t="s">
        <v>1450</v>
      </c>
      <c r="L22" s="347" t="s">
        <v>1422</v>
      </c>
      <c r="M22" s="374">
        <f ca="1">INDIRECT("'数据-取费表'!Ak"&amp;$G$1)</f>
        <v>0</v>
      </c>
    </row>
    <row r="23" spans="1:37" s="1857" customFormat="1" ht="18" customHeight="1">
      <c r="A23" s="1200"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ROUND(J13*M23,0)</f>
        <v>0</v>
      </c>
      <c r="K23" s="1797" t="s">
        <v>1454</v>
      </c>
      <c r="L23" s="347" t="s">
        <v>1455</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7" t="s">
        <v>1461</v>
      </c>
      <c r="C25" s="24"/>
      <c r="D25" s="140" t="s">
        <v>1462</v>
      </c>
      <c r="E25" s="1817"/>
      <c r="F25" s="26"/>
      <c r="G25" s="1850"/>
      <c r="H25" s="1328" t="s">
        <v>1031</v>
      </c>
      <c r="I25" s="1343" t="s">
        <v>1463</v>
      </c>
      <c r="J25" s="355">
        <f ca="1">J5-J16</f>
        <v>0</v>
      </c>
      <c r="K25" s="1344" t="s">
        <v>1464</v>
      </c>
      <c r="L25" s="1345"/>
      <c r="M25" s="1346"/>
    </row>
    <row r="26" spans="1:37" ht="18" customHeight="1">
      <c r="A26" s="1200" t="s">
        <v>1034</v>
      </c>
      <c r="B26" s="347" t="s">
        <v>1465</v>
      </c>
      <c r="C26" s="24">
        <f ca="1">ROUND((C19+C20)*F26,0)</f>
        <v>0</v>
      </c>
      <c r="D26" s="369" t="s">
        <v>1466</v>
      </c>
      <c r="E26" s="358" t="s">
        <v>1467</v>
      </c>
      <c r="F26" s="357">
        <f ca="1">INDIRECT("'数据-取费表'!q"&amp;$G$1)</f>
        <v>0</v>
      </c>
      <c r="G26" s="1850"/>
      <c r="H26" s="344" t="s">
        <v>1032</v>
      </c>
      <c r="I26" s="345" t="s">
        <v>1468</v>
      </c>
      <c r="J26" s="346">
        <f ca="1">IF(J5&lt;&gt;0,ROUND(J25*(1-((1+M28)/(1+M26))^M27)/(M26-M28),0),0)</f>
        <v>0</v>
      </c>
      <c r="K26" s="370" t="s">
        <v>1469</v>
      </c>
      <c r="L26" s="347" t="s">
        <v>1470</v>
      </c>
      <c r="M26" s="357">
        <f ca="1">INDIRECT("'数据-取费表'!I"&amp;$G$1)</f>
        <v>0</v>
      </c>
    </row>
    <row r="27" spans="1:37" ht="18" customHeight="1">
      <c r="A27" s="1200" t="s">
        <v>1036</v>
      </c>
      <c r="B27" s="347" t="s">
        <v>1471</v>
      </c>
      <c r="C27" s="24">
        <f ca="1">ROUND(F21*F26,4)</f>
        <v>0</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80" t="s">
        <v>1033</v>
      </c>
      <c r="I29" s="381" t="s">
        <v>1479</v>
      </c>
      <c r="J29" s="382">
        <f ca="1">ROUND(J26/(1+F40)^F41,0)</f>
        <v>0</v>
      </c>
      <c r="K29" s="383" t="s">
        <v>1480</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0</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ROUND(IF(项目基本情况!B11="自然人",C5*F31,C32+C33+C34),0)</f>
        <v>0</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IF(项目基本情况!B11="自然人","——",ROUND(C5*F32/(1+'数据-取费表'!C42),0))</f>
        <v>0</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IF(项目基本情况!B11="自然人","——",IF(D33="按租金收入计税",ROUND(C5*F33,0),IF(D33="按房产原值计税",ROUND(C29*F33*0.7,0),INDIRECT("'数据-取费表'!Aj"&amp;$G$1))))</f>
        <v>0</v>
      </c>
      <c r="D33" s="1827" t="s">
        <v>1438</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f>
        <v>0</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0</v>
      </c>
      <c r="G35" s="1850"/>
      <c r="H35" s="745"/>
      <c r="I35" s="1859"/>
      <c r="J35" s="1860"/>
      <c r="K35" s="1861"/>
      <c r="L35" s="1858"/>
      <c r="M35" s="1858"/>
    </row>
    <row r="36" spans="1:18" ht="18" customHeight="1">
      <c r="A36" s="1351" t="s">
        <v>1039</v>
      </c>
      <c r="B36" s="347" t="s">
        <v>1449</v>
      </c>
      <c r="C36" s="24">
        <f ca="1">ROUND(C29*F36,0)</f>
        <v>0</v>
      </c>
      <c r="D36" s="1797" t="s">
        <v>1482</v>
      </c>
      <c r="E36" s="347" t="s">
        <v>1422</v>
      </c>
      <c r="F36" s="374">
        <f ca="1">INDIRECT("'数据-取费表'!Ak"&amp;$G$1)</f>
        <v>0</v>
      </c>
      <c r="G36" s="1850"/>
      <c r="H36" s="1858"/>
      <c r="I36" s="1859"/>
      <c r="J36" s="1860"/>
      <c r="K36" s="751"/>
      <c r="L36" s="1858"/>
      <c r="M36" s="1858"/>
    </row>
    <row r="37" spans="1:18" ht="18" customHeight="1">
      <c r="A37" s="1200" t="s">
        <v>1075</v>
      </c>
      <c r="B37" s="347" t="s">
        <v>1453</v>
      </c>
      <c r="C37" s="24">
        <f ca="1">ROUND(C13*F37,0)</f>
        <v>0</v>
      </c>
      <c r="D37" s="1797" t="s">
        <v>1454</v>
      </c>
      <c r="E37" s="347" t="s">
        <v>1455</v>
      </c>
      <c r="F37" s="376">
        <f ca="1">INDIRECT("'数据-取费表'!Al"&amp;$G$1)</f>
        <v>0</v>
      </c>
      <c r="G37" s="1850"/>
      <c r="H37" s="1858"/>
      <c r="I37" s="1859"/>
      <c r="J37" s="1860"/>
      <c r="K37" s="751"/>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5">
        <f ca="1">C5-C30</f>
        <v>0</v>
      </c>
      <c r="D39" s="1344" t="s">
        <v>1484</v>
      </c>
      <c r="E39" s="1345"/>
      <c r="F39" s="1346"/>
      <c r="G39" s="1850"/>
      <c r="H39" s="1858"/>
      <c r="I39" s="1859"/>
      <c r="J39" s="1860"/>
      <c r="K39" s="1864"/>
      <c r="L39" s="1858"/>
      <c r="M39" s="1858"/>
    </row>
    <row r="40" spans="1:18" ht="18" customHeight="1">
      <c r="A40" s="344" t="s">
        <v>1032</v>
      </c>
      <c r="B40" s="345" t="s">
        <v>1485</v>
      </c>
      <c r="C40" s="346" t="e">
        <f ca="1">ROUND(C39*(1-((1+F42)/(1+F40))^F41)/(F40-F42),0)</f>
        <v>#DIV/0!</v>
      </c>
      <c r="D40" s="370" t="s">
        <v>1469</v>
      </c>
      <c r="E40" s="347" t="s">
        <v>1470</v>
      </c>
      <c r="F40" s="357">
        <f ca="1">INDIRECT("'数据-取费表'!I"&amp;$G$1)</f>
        <v>0</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1477</v>
      </c>
      <c r="F42" s="357">
        <f ca="1">INDIRECT("'数据-取费表'!v"&amp;$G$1)</f>
        <v>0</v>
      </c>
      <c r="G42" s="1850"/>
      <c r="H42" s="732"/>
      <c r="I42" s="1859"/>
      <c r="J42" s="1860"/>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92"/>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59" t="s">
        <v>1135</v>
      </c>
      <c r="B48" s="345" t="s">
        <v>1401</v>
      </c>
      <c r="C48" s="1816">
        <f ca="1">C49+C53+C55</f>
        <v>0</v>
      </c>
      <c r="D48" s="1361"/>
      <c r="E48" s="1362"/>
      <c r="F48" s="1180"/>
      <c r="G48" s="792"/>
      <c r="H48" s="793"/>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3" t="s">
        <v>1136</v>
      </c>
      <c r="B49" s="1828" t="s">
        <v>1490</v>
      </c>
      <c r="C49" s="1363">
        <f ca="1">ROUND(F49*F51*F50*(1-F52),0)</f>
        <v>0</v>
      </c>
      <c r="D49" s="1275" t="s">
        <v>1404</v>
      </c>
      <c r="E49" s="1829" t="s">
        <v>1491</v>
      </c>
      <c r="F49" s="1280"/>
      <c r="G49" s="1890"/>
      <c r="H49" s="793"/>
      <c r="I49" s="1886" t="s">
        <v>1534</v>
      </c>
      <c r="J49" s="1891"/>
      <c r="K49" s="1888" t="s">
        <v>1535</v>
      </c>
      <c r="L49" s="1892"/>
      <c r="O49" s="1893" t="s">
        <v>1042</v>
      </c>
      <c r="P49" s="1884" t="s">
        <v>1536</v>
      </c>
      <c r="Q49" s="1885">
        <f ca="1">C29</f>
        <v>0</v>
      </c>
      <c r="R49" s="1885" t="s">
        <v>1529</v>
      </c>
    </row>
    <row r="50" spans="1:18" s="1841" customFormat="1" ht="13.5" thickBot="1">
      <c r="A50" s="1194"/>
      <c r="B50" s="1197"/>
      <c r="C50" s="1198"/>
      <c r="D50" s="1171"/>
      <c r="E50" s="1276" t="s">
        <v>1406</v>
      </c>
      <c r="F50" s="1277">
        <f ca="1">F7</f>
        <v>0</v>
      </c>
      <c r="H50" s="793"/>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5"/>
      <c r="B51" s="1197"/>
      <c r="C51" s="1198"/>
      <c r="D51" s="1171"/>
      <c r="E51" s="1199" t="s">
        <v>1407</v>
      </c>
      <c r="F51" s="348">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9" t="s">
        <v>1409</v>
      </c>
      <c r="C53" s="361">
        <f ca="1">ROUND(IF(F53="押一",C49/12*F11,IF(F53="押二",C49/12*2*F11,IF(F53="押三",C49/12*3*F11,C54*F11))),0)</f>
        <v>0</v>
      </c>
      <c r="D53" s="1823" t="s">
        <v>3044</v>
      </c>
      <c r="E53" s="358" t="s">
        <v>1410</v>
      </c>
      <c r="F53" s="1365"/>
      <c r="I53" s="1904" t="s">
        <v>1547</v>
      </c>
      <c r="J53" s="1905" t="b">
        <f>IF(M47="住宅",J51,IF(D1="——",MIN(J51,L48),IF(D1="在建（套用方法）",MIN(J51,L48-'数据-取费表'!B24),IF(D1="土地（套用方法）",MIN(J51,L48-'数据-取费表'!B20)))))</f>
        <v>0</v>
      </c>
      <c r="K53" s="3237" t="s">
        <v>1548</v>
      </c>
      <c r="L53" s="3238"/>
      <c r="O53" s="1883" t="s">
        <v>1046</v>
      </c>
      <c r="P53" s="1884" t="s">
        <v>1549</v>
      </c>
      <c r="Q53" s="1885" t="e">
        <f ca="1">Q47+Q48</f>
        <v>#DIV/0!</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6">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75" thickBot="1">
      <c r="A57" s="1917"/>
      <c r="B57" s="1168" t="s">
        <v>1478</v>
      </c>
      <c r="C57" s="282">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60" t="s">
        <v>1030</v>
      </c>
      <c r="B58" s="1176" t="s">
        <v>1424</v>
      </c>
      <c r="C58" s="361">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0</v>
      </c>
      <c r="D59" s="1181" t="s">
        <v>1430</v>
      </c>
      <c r="E59" s="1182" t="s">
        <v>1431</v>
      </c>
      <c r="F59" s="368"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0</v>
      </c>
      <c r="D61" s="1827" t="s">
        <v>1438</v>
      </c>
      <c r="E61" s="1168" t="s">
        <v>1494</v>
      </c>
      <c r="F61" s="367">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1">
        <f t="shared" si="0"/>
        <v>12</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0</v>
      </c>
      <c r="D64" s="1182" t="s">
        <v>1502</v>
      </c>
      <c r="E64" s="1168" t="s">
        <v>1494</v>
      </c>
      <c r="F64" s="374">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0</v>
      </c>
      <c r="D65" s="1182" t="s">
        <v>1454</v>
      </c>
      <c r="E65" s="1168" t="s">
        <v>1455</v>
      </c>
      <c r="F65" s="376">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0" t="s">
        <v>1504</v>
      </c>
      <c r="B66" s="1168" t="s">
        <v>1439</v>
      </c>
      <c r="C66" s="24">
        <f ca="1">ROUND(C48*F66,0)</f>
        <v>0</v>
      </c>
      <c r="D66" s="1182" t="s">
        <v>1505</v>
      </c>
      <c r="E66" s="1168" t="s">
        <v>1422</v>
      </c>
      <c r="F66" s="357">
        <f t="shared" ca="1" si="0"/>
        <v>0</v>
      </c>
      <c r="O66" s="1883" t="s">
        <v>1041</v>
      </c>
      <c r="P66" s="1884" t="s">
        <v>1558</v>
      </c>
      <c r="Q66" s="1885" t="e">
        <f ca="1">L60</f>
        <v>#DIV/0!</v>
      </c>
      <c r="R66" s="1885" t="s">
        <v>1581</v>
      </c>
    </row>
    <row r="67" spans="1:18" s="1841" customFormat="1" ht="16.5" thickBot="1">
      <c r="A67" s="1175" t="s">
        <v>1031</v>
      </c>
      <c r="B67" s="1185" t="s">
        <v>1463</v>
      </c>
      <c r="C67" s="361">
        <f ca="1">C48-C58</f>
        <v>0</v>
      </c>
      <c r="D67" s="1181" t="s">
        <v>1464</v>
      </c>
      <c r="E67" s="1186"/>
      <c r="F67" s="1187"/>
      <c r="O67" s="1893" t="s">
        <v>1042</v>
      </c>
      <c r="P67" s="1884" t="s">
        <v>1562</v>
      </c>
      <c r="Q67" s="1932">
        <f ca="1">L51</f>
        <v>0</v>
      </c>
      <c r="R67" s="1885" t="s">
        <v>1582</v>
      </c>
    </row>
    <row r="68" spans="1:18" s="1841" customFormat="1" ht="16.5" thickBot="1">
      <c r="A68" s="1165" t="s">
        <v>1032</v>
      </c>
      <c r="B68" s="1166" t="s">
        <v>1485</v>
      </c>
      <c r="C68" s="346" t="e">
        <f ca="1">ROUND(C67*(1-((1+F70)/(1+F68))^F69)/(F68-F70),0)</f>
        <v>#DIV/0!</v>
      </c>
      <c r="D68" s="1183" t="s">
        <v>1469</v>
      </c>
      <c r="E68" s="1168" t="s">
        <v>1470</v>
      </c>
      <c r="F68" s="357">
        <f ca="1">F40</f>
        <v>0</v>
      </c>
      <c r="O68" s="1893" t="s">
        <v>1043</v>
      </c>
      <c r="P68" s="1933" t="s">
        <v>1583</v>
      </c>
      <c r="Q68" s="1885">
        <f ca="1">ROUND(Q69-Q70*Q71,0)</f>
        <v>0</v>
      </c>
      <c r="R68" s="1885" t="s">
        <v>1051</v>
      </c>
    </row>
    <row r="69" spans="1:18" s="1841" customFormat="1" ht="13.5" thickBot="1">
      <c r="A69" s="1169"/>
      <c r="B69" s="1170"/>
      <c r="C69" s="351"/>
      <c r="D69" s="1188" t="s">
        <v>1473</v>
      </c>
      <c r="E69" s="1168" t="s">
        <v>1474</v>
      </c>
      <c r="F69" s="379">
        <f ca="1">F41</f>
        <v>0</v>
      </c>
      <c r="O69" s="1893" t="s">
        <v>1048</v>
      </c>
      <c r="P69" s="1933" t="s">
        <v>1584</v>
      </c>
      <c r="Q69" s="1885">
        <f ca="1">C39</f>
        <v>0</v>
      </c>
      <c r="R69" s="1885" t="s">
        <v>1529</v>
      </c>
    </row>
    <row r="70" spans="1:18" s="1841" customFormat="1" ht="13.5" thickBot="1">
      <c r="A70" s="1172"/>
      <c r="B70" s="1173"/>
      <c r="C70" s="355"/>
      <c r="D70" s="1184"/>
      <c r="E70" s="1168" t="s">
        <v>1477</v>
      </c>
      <c r="F70" s="1274">
        <f ca="1">F42</f>
        <v>0</v>
      </c>
      <c r="O70" s="1893" t="s">
        <v>1049</v>
      </c>
      <c r="P70" s="1933" t="s">
        <v>1585</v>
      </c>
      <c r="Q70" s="1885">
        <f ca="1">C13</f>
        <v>0</v>
      </c>
      <c r="R70" s="1885" t="s">
        <v>1529</v>
      </c>
    </row>
    <row r="71" spans="1:18" s="1841" customFormat="1" ht="13.5" thickBot="1">
      <c r="A71" s="1189" t="s">
        <v>1033</v>
      </c>
      <c r="B71" s="1190" t="s">
        <v>1487</v>
      </c>
      <c r="C71" s="382" t="e">
        <f ca="1">ROUND(C68/F71,0)</f>
        <v>#DIV/0!</v>
      </c>
      <c r="D71" s="1191" t="s">
        <v>1488</v>
      </c>
      <c r="E71" s="1192" t="s">
        <v>1489</v>
      </c>
      <c r="F71" s="385">
        <f ca="1">F43</f>
        <v>0</v>
      </c>
      <c r="O71" s="1893" t="s">
        <v>1050</v>
      </c>
      <c r="P71" s="1933" t="s">
        <v>1586</v>
      </c>
      <c r="Q71" s="1896">
        <f ca="1">C76</f>
        <v>0</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6" t="s">
        <v>1506</v>
      </c>
      <c r="C75" s="387">
        <f ca="1">ROUND(C13*C76,0)</f>
        <v>0</v>
      </c>
      <c r="D75" s="1841"/>
      <c r="E75" s="1841"/>
      <c r="F75" s="1841"/>
      <c r="K75" s="1867"/>
      <c r="L75" s="1841"/>
      <c r="O75" s="1883" t="s">
        <v>1046</v>
      </c>
      <c r="P75" s="1884" t="s">
        <v>1549</v>
      </c>
      <c r="Q75" s="1885" t="e">
        <f ca="1">Q65+Q66</f>
        <v>#DIV/0!</v>
      </c>
      <c r="R75" s="1885" t="s">
        <v>1047</v>
      </c>
    </row>
    <row r="76" spans="1:18">
      <c r="B76" s="388" t="s">
        <v>1507</v>
      </c>
      <c r="C76" s="389">
        <f ca="1">INDIRECT("'数据-取费表'!j"&amp;$G$1)</f>
        <v>0</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2527</v>
      </c>
      <c r="B1" s="2561"/>
      <c r="C1" s="2561"/>
      <c r="D1" s="2561"/>
      <c r="E1" s="2562"/>
    </row>
    <row r="2" spans="1:6" ht="15.75">
      <c r="A2" s="2563" t="s">
        <v>2328</v>
      </c>
      <c r="B2" s="2564">
        <f ca="1">SUMIF(B6:B13,"&lt;&gt;#ref!",B6:B13)</f>
        <v>162293</v>
      </c>
      <c r="C2" s="2565" t="s">
        <v>2520</v>
      </c>
      <c r="D2" s="2566" t="s">
        <v>2521</v>
      </c>
      <c r="E2" s="2567">
        <f>SUM(E6:E13)</f>
        <v>41293.960000000006</v>
      </c>
    </row>
    <row r="3" spans="1:6" ht="15.75">
      <c r="A3" s="2563" t="s">
        <v>1395</v>
      </c>
      <c r="B3" s="2564">
        <f ca="1">ROUND(B2*10000/E2,0)</f>
        <v>39302</v>
      </c>
      <c r="C3" s="2565" t="s">
        <v>2528</v>
      </c>
      <c r="D3" s="2568"/>
      <c r="E3" s="2569"/>
    </row>
    <row r="4" spans="1:6" ht="15.75">
      <c r="A4" s="2570"/>
      <c r="B4" s="2568"/>
      <c r="C4" s="2568"/>
      <c r="D4" s="2568"/>
      <c r="E4" s="2569"/>
    </row>
    <row r="5" spans="1:6" ht="15">
      <c r="A5" s="2571" t="s">
        <v>2522</v>
      </c>
      <c r="B5" s="3262" t="s">
        <v>2523</v>
      </c>
      <c r="C5" s="3262"/>
      <c r="D5" s="2572"/>
      <c r="E5" s="2573" t="s">
        <v>2524</v>
      </c>
      <c r="F5" s="2574" t="s">
        <v>2525</v>
      </c>
    </row>
    <row r="6" spans="1:6">
      <c r="A6" s="2575" t="str">
        <f>'数据-取费表'!AN6</f>
        <v>收益法办公</v>
      </c>
      <c r="B6" s="2574">
        <f ca="1">IF(F6="是",'数据-取费表'!AO6,0)</f>
        <v>113521</v>
      </c>
      <c r="C6" s="2565" t="s">
        <v>2520</v>
      </c>
      <c r="D6" s="2568"/>
      <c r="E6" s="2576">
        <f>IF(OR(A6=0,F6="否"),0,'数据-取费表'!K6+'数据-取费表'!S6)</f>
        <v>25919.38</v>
      </c>
      <c r="F6" s="2577" t="s">
        <v>2526</v>
      </c>
    </row>
    <row r="7" spans="1:6">
      <c r="A7" s="2575" t="str">
        <f>'数据-取费表'!AN7</f>
        <v>收益法仓储</v>
      </c>
      <c r="B7" s="2574">
        <f ca="1">IF(F7="是",'数据-取费表'!AO7,0)</f>
        <v>42302</v>
      </c>
      <c r="C7" s="2565" t="s">
        <v>2520</v>
      </c>
      <c r="D7" s="2568"/>
      <c r="E7" s="2576">
        <f>IF(OR(A7=0,F7="否"),0,'数据-取费表'!K7+'数据-取费表'!S7)</f>
        <v>8246.2800000000007</v>
      </c>
      <c r="F7" s="2577" t="s">
        <v>2526</v>
      </c>
    </row>
    <row r="8" spans="1:6">
      <c r="A8" s="2575" t="str">
        <f>'数据-取费表'!AN8</f>
        <v>收益法车库</v>
      </c>
      <c r="B8" s="2574">
        <f ca="1">IF(F8="是",'数据-取费表'!AO8,0)</f>
        <v>6470</v>
      </c>
      <c r="C8" s="2565" t="s">
        <v>2520</v>
      </c>
      <c r="D8" s="2568"/>
      <c r="E8" s="2576">
        <f>IF(OR(A8=0,F8="否"),0,'数据-取费表'!K8+'数据-取费表'!S8)</f>
        <v>7128.3</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3" t="s">
        <v>1076</v>
      </c>
      <c r="B1" s="3264"/>
      <c r="C1" s="3265"/>
      <c r="D1" s="3266">
        <f>SUM(I10,I15,I20,I21,I23)</f>
        <v>0</v>
      </c>
      <c r="E1" s="3266"/>
      <c r="F1" s="3266"/>
      <c r="G1" s="3266"/>
      <c r="H1" s="3266"/>
      <c r="I1" s="3267"/>
    </row>
    <row r="2" spans="1:9">
      <c r="A2" s="3268" t="s">
        <v>1077</v>
      </c>
      <c r="B2" s="3269" t="s">
        <v>1078</v>
      </c>
      <c r="C2" s="3269"/>
      <c r="D2" s="1300" t="s">
        <v>1079</v>
      </c>
      <c r="E2" s="1300" t="s">
        <v>1080</v>
      </c>
      <c r="F2" s="1300" t="s">
        <v>1081</v>
      </c>
      <c r="G2" s="1300" t="s">
        <v>1082</v>
      </c>
      <c r="H2" s="1300" t="s">
        <v>1083</v>
      </c>
      <c r="I2" s="1301" t="s">
        <v>1084</v>
      </c>
    </row>
    <row r="3" spans="1:9">
      <c r="A3" s="3268"/>
      <c r="B3" s="3269" t="s">
        <v>1085</v>
      </c>
      <c r="C3" s="3269"/>
      <c r="D3" s="1302"/>
      <c r="E3" s="1300"/>
      <c r="F3" s="1303"/>
      <c r="G3" s="1303"/>
      <c r="H3" s="1304"/>
      <c r="I3" s="1305">
        <f>ROUND(D3*E3*F3*G3*H3/10000,0)</f>
        <v>0</v>
      </c>
    </row>
    <row r="4" spans="1:9">
      <c r="A4" s="3268"/>
      <c r="B4" s="3269" t="s">
        <v>1086</v>
      </c>
      <c r="C4" s="3269"/>
      <c r="D4" s="1302"/>
      <c r="E4" s="1300"/>
      <c r="F4" s="1303"/>
      <c r="G4" s="1303"/>
      <c r="H4" s="1304"/>
      <c r="I4" s="1305">
        <f t="shared" ref="I4:I9" si="0">ROUND(D4*E4*F4*G4*H4/10000,0)</f>
        <v>0</v>
      </c>
    </row>
    <row r="5" spans="1:9">
      <c r="A5" s="3268"/>
      <c r="B5" s="3269" t="s">
        <v>1087</v>
      </c>
      <c r="C5" s="3269"/>
      <c r="D5" s="1302"/>
      <c r="E5" s="1300"/>
      <c r="F5" s="1303"/>
      <c r="G5" s="1303"/>
      <c r="H5" s="1304"/>
      <c r="I5" s="1305">
        <f t="shared" si="0"/>
        <v>0</v>
      </c>
    </row>
    <row r="6" spans="1:9">
      <c r="A6" s="3268"/>
      <c r="B6" s="3269" t="s">
        <v>1088</v>
      </c>
      <c r="C6" s="3269"/>
      <c r="D6" s="1302"/>
      <c r="E6" s="1300"/>
      <c r="F6" s="1303"/>
      <c r="G6" s="1303"/>
      <c r="H6" s="1304"/>
      <c r="I6" s="1305">
        <f t="shared" si="0"/>
        <v>0</v>
      </c>
    </row>
    <row r="7" spans="1:9">
      <c r="A7" s="3268"/>
      <c r="B7" s="3269" t="s">
        <v>1089</v>
      </c>
      <c r="C7" s="3269"/>
      <c r="D7" s="1302"/>
      <c r="E7" s="1300"/>
      <c r="F7" s="1303"/>
      <c r="G7" s="1303"/>
      <c r="H7" s="1304"/>
      <c r="I7" s="1305">
        <f t="shared" si="0"/>
        <v>0</v>
      </c>
    </row>
    <row r="8" spans="1:9">
      <c r="A8" s="3268"/>
      <c r="B8" s="3269" t="s">
        <v>1090</v>
      </c>
      <c r="C8" s="3269"/>
      <c r="D8" s="1302"/>
      <c r="E8" s="1300"/>
      <c r="F8" s="1303"/>
      <c r="G8" s="1303"/>
      <c r="H8" s="1304"/>
      <c r="I8" s="1305">
        <f t="shared" si="0"/>
        <v>0</v>
      </c>
    </row>
    <row r="9" spans="1:9">
      <c r="A9" s="3268"/>
      <c r="B9" s="3269" t="s">
        <v>1091</v>
      </c>
      <c r="C9" s="3269"/>
      <c r="D9" s="1302"/>
      <c r="E9" s="1300"/>
      <c r="F9" s="1303"/>
      <c r="G9" s="1303"/>
      <c r="H9" s="1304"/>
      <c r="I9" s="1305">
        <f t="shared" si="0"/>
        <v>0</v>
      </c>
    </row>
    <row r="10" spans="1:9">
      <c r="A10" s="3268"/>
      <c r="B10" s="3270" t="s">
        <v>1092</v>
      </c>
      <c r="C10" s="3270"/>
      <c r="D10" s="1306"/>
      <c r="E10" s="1306" t="e">
        <f>ROUND(D1*10000/D10/H9,0)</f>
        <v>#DIV/0!</v>
      </c>
      <c r="F10" s="1307"/>
      <c r="G10" s="1307"/>
      <c r="H10" s="1308"/>
      <c r="I10" s="1309">
        <f>SUM(I3:I9)</f>
        <v>0</v>
      </c>
    </row>
    <row r="11" spans="1:9" ht="14.25">
      <c r="A11" s="3268" t="s">
        <v>1093</v>
      </c>
      <c r="B11" s="3269" t="s">
        <v>1094</v>
      </c>
      <c r="C11" s="3269"/>
      <c r="D11" s="1302" t="s">
        <v>1095</v>
      </c>
      <c r="E11" s="1302" t="s">
        <v>1096</v>
      </c>
      <c r="F11" s="1303" t="s">
        <v>1097</v>
      </c>
      <c r="G11" s="1303" t="s">
        <v>1083</v>
      </c>
      <c r="H11" s="1310" t="s">
        <v>1098</v>
      </c>
      <c r="I11" s="1301" t="s">
        <v>1084</v>
      </c>
    </row>
    <row r="12" spans="1:9">
      <c r="A12" s="3268"/>
      <c r="B12" s="3269" t="s">
        <v>1099</v>
      </c>
      <c r="C12" s="3269"/>
      <c r="D12" s="1302"/>
      <c r="E12" s="1302"/>
      <c r="F12" s="1303"/>
      <c r="G12" s="1304"/>
      <c r="H12" s="1311"/>
      <c r="I12" s="1301">
        <f>ROUND(D12*E12*F12*G12/10000,0)</f>
        <v>0</v>
      </c>
    </row>
    <row r="13" spans="1:9">
      <c r="A13" s="3268"/>
      <c r="B13" s="3269" t="s">
        <v>1100</v>
      </c>
      <c r="C13" s="3269"/>
      <c r="D13" s="1302"/>
      <c r="E13" s="1302"/>
      <c r="F13" s="1303"/>
      <c r="G13" s="1304"/>
      <c r="H13" s="1311"/>
      <c r="I13" s="1301">
        <f>ROUND(D13*E13*F13*G13/10000,0)</f>
        <v>0</v>
      </c>
    </row>
    <row r="14" spans="1:9">
      <c r="A14" s="3268"/>
      <c r="B14" s="3269" t="s">
        <v>1101</v>
      </c>
      <c r="C14" s="3269"/>
      <c r="D14" s="1302"/>
      <c r="E14" s="1302"/>
      <c r="F14" s="1303"/>
      <c r="G14" s="1304"/>
      <c r="H14" s="1311"/>
      <c r="I14" s="1301">
        <f>ROUND(D14*E14*F14*G14/10000,0)</f>
        <v>0</v>
      </c>
    </row>
    <row r="15" spans="1:9">
      <c r="A15" s="3268"/>
      <c r="B15" s="3270" t="s">
        <v>1092</v>
      </c>
      <c r="C15" s="3270"/>
      <c r="D15" s="1306"/>
      <c r="E15" s="1306">
        <f>SUM(E12:E14)</f>
        <v>0</v>
      </c>
      <c r="F15" s="1307"/>
      <c r="G15" s="1304"/>
      <c r="H15" s="1311"/>
      <c r="I15" s="1312">
        <f>SUM(I12:I14)</f>
        <v>0</v>
      </c>
    </row>
    <row r="16" spans="1:9" ht="24">
      <c r="A16" s="3268" t="s">
        <v>1102</v>
      </c>
      <c r="B16" s="3269" t="s">
        <v>1103</v>
      </c>
      <c r="C16" s="3269"/>
      <c r="D16" s="1302" t="s">
        <v>1079</v>
      </c>
      <c r="E16" s="1313" t="s">
        <v>1104</v>
      </c>
      <c r="F16" s="1303" t="s">
        <v>1105</v>
      </c>
      <c r="G16" s="1304" t="s">
        <v>1083</v>
      </c>
      <c r="H16" s="1310" t="s">
        <v>1098</v>
      </c>
      <c r="I16" s="1301" t="s">
        <v>1084</v>
      </c>
    </row>
    <row r="17" spans="1:9" ht="14.25">
      <c r="A17" s="3268"/>
      <c r="B17" s="3269" t="s">
        <v>1106</v>
      </c>
      <c r="C17" s="3269"/>
      <c r="D17" s="1302"/>
      <c r="E17" s="1302"/>
      <c r="F17" s="1303"/>
      <c r="G17" s="1304"/>
      <c r="H17" s="1314"/>
      <c r="I17" s="1315">
        <f>ROUND(D17*E17*F17*G17/10000,0)</f>
        <v>0</v>
      </c>
    </row>
    <row r="18" spans="1:9" ht="14.25">
      <c r="A18" s="3268"/>
      <c r="B18" s="3269" t="s">
        <v>1107</v>
      </c>
      <c r="C18" s="3269"/>
      <c r="D18" s="1302"/>
      <c r="E18" s="1302"/>
      <c r="F18" s="1303"/>
      <c r="G18" s="1304"/>
      <c r="H18" s="1314"/>
      <c r="I18" s="1315">
        <f>ROUND(D18*E18*F18*G18/10000,0)</f>
        <v>0</v>
      </c>
    </row>
    <row r="19" spans="1:9" ht="14.25">
      <c r="A19" s="3268"/>
      <c r="B19" s="3269" t="s">
        <v>1108</v>
      </c>
      <c r="C19" s="3269"/>
      <c r="D19" s="1302"/>
      <c r="E19" s="1302"/>
      <c r="F19" s="1303"/>
      <c r="G19" s="1304"/>
      <c r="H19" s="1314"/>
      <c r="I19" s="1315">
        <f>ROUND(D19*E19*F19*G19/10000,0)</f>
        <v>0</v>
      </c>
    </row>
    <row r="20" spans="1:9">
      <c r="A20" s="3268"/>
      <c r="B20" s="3270" t="s">
        <v>1092</v>
      </c>
      <c r="C20" s="3270"/>
      <c r="D20" s="1306">
        <f>SUM(D17:D19)</f>
        <v>0</v>
      </c>
      <c r="E20" s="1306"/>
      <c r="F20" s="1307"/>
      <c r="G20" s="1304"/>
      <c r="H20" s="1311"/>
      <c r="I20" s="1312">
        <f>SUM(I17:I19)</f>
        <v>0</v>
      </c>
    </row>
    <row r="21" spans="1:9">
      <c r="A21" s="3268" t="s">
        <v>1109</v>
      </c>
      <c r="B21" s="3272"/>
      <c r="C21" s="3272"/>
      <c r="D21" s="3272"/>
      <c r="E21" s="3272"/>
      <c r="F21" s="3272"/>
      <c r="G21" s="3272"/>
      <c r="H21" s="1764">
        <v>0.1</v>
      </c>
      <c r="I21" s="1309">
        <f>ROUND(I10*H21,0)</f>
        <v>0</v>
      </c>
    </row>
    <row r="22" spans="1:9" ht="14.25">
      <c r="A22" s="3273" t="s">
        <v>1110</v>
      </c>
      <c r="B22" s="3274"/>
      <c r="C22" s="3275"/>
      <c r="D22" s="1316" t="s">
        <v>1111</v>
      </c>
      <c r="E22" s="1316" t="s">
        <v>1112</v>
      </c>
      <c r="F22" s="1317" t="s">
        <v>1113</v>
      </c>
      <c r="G22" s="1317" t="s">
        <v>1114</v>
      </c>
      <c r="H22" s="1310" t="s">
        <v>1115</v>
      </c>
      <c r="I22" s="1301" t="s">
        <v>1116</v>
      </c>
    </row>
    <row r="23" spans="1:9" ht="14.25" thickBot="1">
      <c r="A23" s="3276"/>
      <c r="B23" s="3277"/>
      <c r="C23" s="3278"/>
      <c r="D23" s="1318"/>
      <c r="E23" s="1318"/>
      <c r="F23" s="1318"/>
      <c r="G23" s="1319"/>
      <c r="H23" s="1320"/>
      <c r="I23" s="1321">
        <f>ROUND(E23*D23*F23*(1-G23)/10000,0)</f>
        <v>0</v>
      </c>
    </row>
    <row r="26" spans="1:9">
      <c r="A26" s="1322" t="s">
        <v>1117</v>
      </c>
      <c r="B26" s="1322"/>
      <c r="C26" s="1322"/>
      <c r="D26" s="1322"/>
      <c r="E26" s="3279">
        <f>C27-C30-C31-C32</f>
        <v>0</v>
      </c>
      <c r="F26" s="3279"/>
      <c r="G26" s="3279"/>
      <c r="H26" s="1736" t="s">
        <v>1340</v>
      </c>
    </row>
    <row r="27" spans="1:9">
      <c r="A27" s="1323">
        <v>1</v>
      </c>
      <c r="B27" s="1324" t="s">
        <v>1118</v>
      </c>
      <c r="C27" s="1324">
        <f>C28+C29</f>
        <v>0</v>
      </c>
      <c r="D27" s="1324"/>
      <c r="E27" s="3280"/>
      <c r="F27" s="3280"/>
      <c r="G27" s="3280"/>
    </row>
    <row r="28" spans="1:9">
      <c r="A28" s="1325" t="s">
        <v>1119</v>
      </c>
      <c r="B28" s="1324" t="s">
        <v>1120</v>
      </c>
      <c r="C28" s="1324"/>
      <c r="D28" s="1324"/>
      <c r="E28" s="3280"/>
      <c r="F28" s="3280"/>
      <c r="G28" s="3280"/>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71"/>
      <c r="F32" s="3271"/>
      <c r="G32" s="3271"/>
    </row>
    <row r="33" spans="1:7" hidden="1">
      <c r="A33" s="3281" t="s">
        <v>1129</v>
      </c>
      <c r="B33" s="3282"/>
      <c r="C33" s="3282"/>
      <c r="D33" s="3283"/>
      <c r="E33" s="3279"/>
      <c r="F33" s="3279"/>
      <c r="G33" s="3279"/>
    </row>
    <row r="34" spans="1:7" hidden="1">
      <c r="A34" s="1327">
        <v>1</v>
      </c>
      <c r="B34" s="1324" t="s">
        <v>1130</v>
      </c>
      <c r="C34" s="1324"/>
      <c r="D34" s="1324"/>
      <c r="E34" s="3280"/>
      <c r="F34" s="3280"/>
      <c r="G34" s="3280"/>
    </row>
    <row r="35" spans="1:7" hidden="1">
      <c r="A35" s="1327">
        <v>2</v>
      </c>
      <c r="B35" s="1324" t="s">
        <v>1131</v>
      </c>
      <c r="C35" s="1324"/>
      <c r="D35" s="1324"/>
      <c r="E35" s="3280"/>
      <c r="F35" s="3280"/>
      <c r="G35" s="3280"/>
    </row>
    <row r="36" spans="1:7" hidden="1">
      <c r="A36" s="1327">
        <v>3</v>
      </c>
      <c r="B36" s="1324" t="s">
        <v>1132</v>
      </c>
      <c r="C36" s="1324"/>
      <c r="D36" s="1324"/>
      <c r="E36" s="3280"/>
      <c r="F36" s="3280"/>
      <c r="G36" s="3280"/>
    </row>
    <row r="37" spans="1:7" hidden="1">
      <c r="A37" s="1327">
        <v>4</v>
      </c>
      <c r="B37" s="1324" t="s">
        <v>1133</v>
      </c>
      <c r="C37" s="1324"/>
      <c r="D37" s="1324"/>
      <c r="E37" s="3280"/>
      <c r="F37" s="3280"/>
      <c r="G37" s="3280"/>
    </row>
    <row r="38" spans="1:7" hidden="1">
      <c r="A38" s="3281" t="s">
        <v>1134</v>
      </c>
      <c r="B38" s="3282"/>
      <c r="C38" s="3282"/>
      <c r="D38" s="3283"/>
      <c r="E38" s="3279"/>
      <c r="F38" s="3279"/>
      <c r="G38" s="32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1" t="s">
        <v>2530</v>
      </c>
      <c r="C1" s="1633" t="s">
        <v>2531</v>
      </c>
      <c r="D1" s="1620"/>
      <c r="E1" s="2582"/>
      <c r="F1" s="2583" t="s">
        <v>2532</v>
      </c>
      <c r="G1" s="1630" t="s">
        <v>2533</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2535</v>
      </c>
      <c r="D3" s="399">
        <f>IF(D1="",'数据-汇总表'!E3,SUMIF('数据-汇总表'!$C19:$C33,D1,'数据-汇总表'!$E19:$E33))</f>
        <v>41293.960000000006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204" t="s">
        <v>2537</v>
      </c>
      <c r="D4" s="3205"/>
      <c r="E4" s="3206" t="s">
        <v>2538</v>
      </c>
      <c r="F4" s="3207"/>
      <c r="G4" s="3204" t="s">
        <v>2539</v>
      </c>
      <c r="H4" s="3205"/>
      <c r="I4" s="3204" t="s">
        <v>2540</v>
      </c>
      <c r="J4" s="3205"/>
      <c r="K4" s="2595" t="s">
        <v>2541</v>
      </c>
      <c r="L4" s="1129"/>
      <c r="M4" s="1130"/>
      <c r="N4" s="1130"/>
      <c r="O4" s="1130"/>
      <c r="P4" s="3290" t="s">
        <v>2542</v>
      </c>
      <c r="Q4" s="3291"/>
      <c r="R4" s="3285" t="s">
        <v>2538</v>
      </c>
      <c r="S4" s="3286"/>
      <c r="T4" s="3285" t="s">
        <v>2539</v>
      </c>
      <c r="U4" s="3286"/>
      <c r="V4" s="3217" t="s">
        <v>2540</v>
      </c>
      <c r="W4" s="3217"/>
      <c r="X4" s="1812"/>
      <c r="Y4" s="3285" t="s">
        <v>2542</v>
      </c>
      <c r="Z4" s="3286"/>
      <c r="AA4" s="3284" t="s">
        <v>2538</v>
      </c>
      <c r="AB4" s="3284" t="s">
        <v>2539</v>
      </c>
      <c r="AC4" s="3284" t="s">
        <v>2540</v>
      </c>
    </row>
    <row r="5" spans="1:29" ht="15">
      <c r="A5" s="404"/>
      <c r="B5" s="405"/>
      <c r="C5" s="3196" t="s">
        <v>2543</v>
      </c>
      <c r="D5" s="3197"/>
      <c r="E5" s="3287" t="s">
        <v>2544</v>
      </c>
      <c r="F5" s="3195"/>
      <c r="G5" s="3196" t="s">
        <v>2545</v>
      </c>
      <c r="H5" s="3197"/>
      <c r="I5" s="3196" t="s">
        <v>2546</v>
      </c>
      <c r="J5" s="3197"/>
      <c r="K5" s="2596"/>
      <c r="L5" s="1129"/>
      <c r="M5" s="1130"/>
      <c r="N5" s="1130"/>
      <c r="O5" s="1130"/>
      <c r="P5" s="3292"/>
      <c r="Q5" s="3211"/>
      <c r="R5" s="3192"/>
      <c r="S5" s="3193"/>
      <c r="T5" s="3192"/>
      <c r="U5" s="3193"/>
      <c r="V5" s="3217"/>
      <c r="W5" s="3217"/>
      <c r="X5" s="1812"/>
      <c r="Y5" s="3192"/>
      <c r="Z5" s="3193"/>
      <c r="AA5" s="3186"/>
      <c r="AB5" s="3186"/>
      <c r="AC5" s="3186"/>
    </row>
    <row r="6" spans="1:29" ht="15.75" thickBot="1">
      <c r="A6" s="406"/>
      <c r="B6" s="407"/>
      <c r="C6" s="3198" t="s">
        <v>2547</v>
      </c>
      <c r="D6" s="3199"/>
      <c r="E6" s="3288" t="s">
        <v>2547</v>
      </c>
      <c r="F6" s="3289"/>
      <c r="G6" s="3198" t="s">
        <v>2547</v>
      </c>
      <c r="H6" s="3199"/>
      <c r="I6" s="3198" t="s">
        <v>2547</v>
      </c>
      <c r="J6" s="3199"/>
      <c r="K6" s="2596" t="s">
        <v>2548</v>
      </c>
      <c r="L6" s="1129"/>
      <c r="M6" s="1130"/>
      <c r="N6" s="1130"/>
      <c r="O6" s="1130"/>
      <c r="P6" s="3293"/>
      <c r="Q6" s="3213"/>
      <c r="R6" s="3192"/>
      <c r="S6" s="3193"/>
      <c r="T6" s="3214"/>
      <c r="U6" s="3215"/>
      <c r="V6" s="3217"/>
      <c r="W6" s="3217"/>
      <c r="X6" s="1812"/>
      <c r="Y6" s="3214"/>
      <c r="Z6" s="3215"/>
      <c r="AA6" s="3187"/>
      <c r="AB6" s="3187"/>
      <c r="AC6" s="3187"/>
    </row>
    <row r="7" spans="1:29" s="117" customFormat="1" ht="15.75" thickBot="1">
      <c r="A7" s="408" t="s">
        <v>2549</v>
      </c>
      <c r="B7" s="409"/>
      <c r="C7" s="410">
        <f>'数据-取费表'!B2</f>
        <v>43100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188" t="s">
        <v>2550</v>
      </c>
      <c r="Q7" s="3219"/>
      <c r="R7" s="770" t="s">
        <v>23</v>
      </c>
      <c r="S7" s="771">
        <f t="shared" ref="S7:S15" si="0">F7</f>
        <v>0</v>
      </c>
      <c r="T7" s="770" t="s">
        <v>23</v>
      </c>
      <c r="U7" s="771">
        <f t="shared" ref="U7:U15" si="1">H7</f>
        <v>0</v>
      </c>
      <c r="V7" s="770" t="s">
        <v>23</v>
      </c>
      <c r="W7" s="771">
        <f t="shared" ref="W7:W15" si="2">J7</f>
        <v>0</v>
      </c>
      <c r="X7" s="772"/>
      <c r="Y7" s="3188" t="s">
        <v>2550</v>
      </c>
      <c r="Z7" s="3189"/>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188" t="s">
        <v>2553</v>
      </c>
      <c r="Q8" s="3189"/>
      <c r="R8" s="770" t="s">
        <v>23</v>
      </c>
      <c r="S8" s="771">
        <f t="shared" si="0"/>
        <v>0</v>
      </c>
      <c r="T8" s="770" t="s">
        <v>23</v>
      </c>
      <c r="U8" s="771">
        <f t="shared" si="1"/>
        <v>0</v>
      </c>
      <c r="V8" s="770" t="s">
        <v>23</v>
      </c>
      <c r="W8" s="771">
        <f t="shared" si="2"/>
        <v>0</v>
      </c>
      <c r="X8" s="772"/>
      <c r="Y8" s="3188" t="s">
        <v>2553</v>
      </c>
      <c r="Z8" s="318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200" t="s">
        <v>2556</v>
      </c>
      <c r="Q9" s="1794" t="str">
        <f t="shared" ref="Q9:Q15" si="6">B9</f>
        <v>用途</v>
      </c>
      <c r="R9" s="770" t="s">
        <v>17</v>
      </c>
      <c r="S9" s="771">
        <f t="shared" si="0"/>
        <v>100</v>
      </c>
      <c r="T9" s="770" t="s">
        <v>17</v>
      </c>
      <c r="U9" s="771">
        <f t="shared" si="1"/>
        <v>100</v>
      </c>
      <c r="V9" s="770" t="s">
        <v>17</v>
      </c>
      <c r="W9" s="771">
        <f t="shared" si="2"/>
        <v>100</v>
      </c>
      <c r="X9" s="772"/>
      <c r="Y9" s="306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00"/>
      <c r="Q10" s="1794"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00"/>
      <c r="Q11" s="1794" t="str">
        <f t="shared" si="6"/>
        <v>容积率</v>
      </c>
      <c r="R11" s="770" t="s">
        <v>21</v>
      </c>
      <c r="S11" s="771" t="e">
        <f t="shared" si="0"/>
        <v>#N/A</v>
      </c>
      <c r="T11" s="770" t="s">
        <v>21</v>
      </c>
      <c r="U11" s="771" t="e">
        <f t="shared" si="1"/>
        <v>#N/A</v>
      </c>
      <c r="V11" s="770" t="s">
        <v>21</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200"/>
      <c r="Q12" s="1794">
        <f t="shared" si="6"/>
        <v>111</v>
      </c>
      <c r="R12" s="770" t="s">
        <v>21</v>
      </c>
      <c r="S12" s="771">
        <f t="shared" si="0"/>
        <v>100</v>
      </c>
      <c r="T12" s="770" t="s">
        <v>21</v>
      </c>
      <c r="U12" s="771">
        <f t="shared" si="1"/>
        <v>100</v>
      </c>
      <c r="V12" s="770" t="s">
        <v>21</v>
      </c>
      <c r="W12" s="771">
        <f t="shared" si="2"/>
        <v>100</v>
      </c>
      <c r="X12" s="772"/>
      <c r="Y12" s="306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200"/>
      <c r="Q13" s="1794">
        <f t="shared" si="6"/>
        <v>111</v>
      </c>
      <c r="R13" s="770" t="s">
        <v>21</v>
      </c>
      <c r="S13" s="771">
        <f t="shared" si="0"/>
        <v>100</v>
      </c>
      <c r="T13" s="770" t="s">
        <v>21</v>
      </c>
      <c r="U13" s="771">
        <f t="shared" si="1"/>
        <v>100</v>
      </c>
      <c r="V13" s="770" t="s">
        <v>21</v>
      </c>
      <c r="W13" s="771">
        <f t="shared" si="2"/>
        <v>100</v>
      </c>
      <c r="X13" s="772"/>
      <c r="Y13" s="3065"/>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200"/>
      <c r="Q14" s="1794">
        <f t="shared" si="6"/>
        <v>111</v>
      </c>
      <c r="R14" s="770" t="s">
        <v>21</v>
      </c>
      <c r="S14" s="771">
        <f t="shared" si="0"/>
        <v>100</v>
      </c>
      <c r="T14" s="770" t="s">
        <v>21</v>
      </c>
      <c r="U14" s="771">
        <f t="shared" si="1"/>
        <v>100</v>
      </c>
      <c r="V14" s="770" t="s">
        <v>21</v>
      </c>
      <c r="W14" s="771">
        <f t="shared" si="2"/>
        <v>100</v>
      </c>
      <c r="X14" s="772"/>
      <c r="Y14" s="3065"/>
      <c r="Z14" s="55">
        <f t="shared" si="7"/>
        <v>111</v>
      </c>
      <c r="AA14" s="773">
        <f t="shared" si="3"/>
        <v>1</v>
      </c>
      <c r="AB14" s="773">
        <f t="shared" si="4"/>
        <v>1</v>
      </c>
      <c r="AC14" s="773">
        <f t="shared" si="5"/>
        <v>1</v>
      </c>
    </row>
    <row r="15" spans="1:29" ht="99.75">
      <c r="A15" s="440" t="s">
        <v>2560</v>
      </c>
      <c r="B15" s="69" t="s">
        <v>2087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20" t="s">
        <v>2561</v>
      </c>
      <c r="Q15" s="1809" t="str">
        <f t="shared" si="6"/>
        <v>居住社区成熟度</v>
      </c>
      <c r="R15" s="774" t="s">
        <v>21</v>
      </c>
      <c r="S15" s="775">
        <f t="shared" si="0"/>
        <v>100</v>
      </c>
      <c r="T15" s="774" t="s">
        <v>21</v>
      </c>
      <c r="U15" s="775">
        <f t="shared" si="1"/>
        <v>100</v>
      </c>
      <c r="V15" s="774" t="s">
        <v>21</v>
      </c>
      <c r="W15" s="775">
        <f t="shared" si="2"/>
        <v>100</v>
      </c>
      <c r="X15" s="1812"/>
      <c r="Y15" s="3222" t="s">
        <v>2561</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39"/>
      <c r="M16" s="1130"/>
      <c r="N16" s="1130"/>
      <c r="O16" s="1130"/>
      <c r="P16" s="3221"/>
      <c r="Q16" s="1809"/>
      <c r="R16" s="774"/>
      <c r="S16" s="775"/>
      <c r="T16" s="774"/>
      <c r="U16" s="775"/>
      <c r="V16" s="774"/>
      <c r="W16" s="775"/>
      <c r="X16" s="1812"/>
      <c r="Y16" s="3223"/>
      <c r="Z16" s="1813"/>
      <c r="AA16" s="1810">
        <v>1</v>
      </c>
      <c r="AB16" s="1810">
        <v>1</v>
      </c>
      <c r="AC16" s="1810">
        <v>1</v>
      </c>
    </row>
    <row r="17" spans="1:29" ht="71.25">
      <c r="A17" s="428"/>
      <c r="B17" s="451" t="s">
        <v>2098</v>
      </c>
      <c r="C17" s="2606" t="str">
        <f>估价对象房地状况!C6</f>
        <v>估价对象周边道路通达、公共交通便捷、停车便捷，综合评价交通便捷度较好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21"/>
      <c r="Q17" s="1809" t="str">
        <f>B17</f>
        <v>交通便捷度</v>
      </c>
      <c r="R17" s="774" t="s">
        <v>21</v>
      </c>
      <c r="S17" s="775">
        <f>F17</f>
        <v>100</v>
      </c>
      <c r="T17" s="774" t="s">
        <v>21</v>
      </c>
      <c r="U17" s="775">
        <f>H17</f>
        <v>100</v>
      </c>
      <c r="V17" s="774" t="s">
        <v>21</v>
      </c>
      <c r="W17" s="775">
        <f>J17</f>
        <v>100</v>
      </c>
      <c r="X17" s="1812"/>
      <c r="Y17" s="3223"/>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39"/>
      <c r="M18" s="1130"/>
      <c r="N18" s="1130"/>
      <c r="O18" s="1130"/>
      <c r="P18" s="3221"/>
      <c r="Q18" s="1809"/>
      <c r="R18" s="774"/>
      <c r="S18" s="775"/>
      <c r="T18" s="774"/>
      <c r="U18" s="775"/>
      <c r="V18" s="774"/>
      <c r="W18" s="775"/>
      <c r="X18" s="1812"/>
      <c r="Y18" s="3223"/>
      <c r="Z18" s="1813"/>
      <c r="AA18" s="1810">
        <v>1</v>
      </c>
      <c r="AB18" s="1810">
        <v>1</v>
      </c>
      <c r="AC18" s="1810">
        <v>1</v>
      </c>
    </row>
    <row r="19" spans="1:29" ht="42.75">
      <c r="A19" s="428"/>
      <c r="B19" s="451" t="s">
        <v>2096</v>
      </c>
      <c r="C19" s="2606"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21"/>
      <c r="Q19" s="1809" t="str">
        <f>B19</f>
        <v>公共配套设施</v>
      </c>
      <c r="R19" s="774" t="s">
        <v>21</v>
      </c>
      <c r="S19" s="775">
        <f>F19</f>
        <v>100</v>
      </c>
      <c r="T19" s="774" t="s">
        <v>21</v>
      </c>
      <c r="U19" s="775">
        <f>H19</f>
        <v>100</v>
      </c>
      <c r="V19" s="774" t="s">
        <v>21</v>
      </c>
      <c r="W19" s="775">
        <f>J19</f>
        <v>100</v>
      </c>
      <c r="X19" s="1812"/>
      <c r="Y19" s="3223"/>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39"/>
      <c r="M20" s="1130"/>
      <c r="N20" s="1130"/>
      <c r="O20" s="1130"/>
      <c r="P20" s="3221"/>
      <c r="Q20" s="1809"/>
      <c r="R20" s="774"/>
      <c r="S20" s="775"/>
      <c r="T20" s="774"/>
      <c r="U20" s="775"/>
      <c r="V20" s="774"/>
      <c r="W20" s="775"/>
      <c r="X20" s="1812"/>
      <c r="Y20" s="3223"/>
      <c r="Z20" s="1813"/>
      <c r="AA20" s="1810">
        <v>1</v>
      </c>
      <c r="AB20" s="1810">
        <v>1</v>
      </c>
      <c r="AC20" s="1810">
        <v>1</v>
      </c>
    </row>
    <row r="21" spans="1:29" ht="42.75">
      <c r="A21" s="428"/>
      <c r="B21" s="1383" t="s">
        <v>2099</v>
      </c>
      <c r="C21" s="2606"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21"/>
      <c r="Q21" s="1809" t="str">
        <f>B21</f>
        <v>基础设施水平</v>
      </c>
      <c r="R21" s="774" t="s">
        <v>17</v>
      </c>
      <c r="S21" s="775">
        <f>F21</f>
        <v>100</v>
      </c>
      <c r="T21" s="774" t="s">
        <v>17</v>
      </c>
      <c r="U21" s="775">
        <f>H21</f>
        <v>100</v>
      </c>
      <c r="V21" s="774" t="s">
        <v>17</v>
      </c>
      <c r="W21" s="775">
        <f>J21</f>
        <v>100</v>
      </c>
      <c r="X21" s="1812"/>
      <c r="Y21" s="3223"/>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8"/>
      <c r="G22" s="2610"/>
      <c r="H22" s="448"/>
      <c r="I22" s="447"/>
      <c r="J22" s="448"/>
      <c r="K22" s="2611"/>
      <c r="L22" s="1139"/>
      <c r="M22" s="1130"/>
      <c r="N22" s="1130"/>
      <c r="O22" s="1130"/>
      <c r="P22" s="3221"/>
      <c r="Q22" s="1809"/>
      <c r="R22" s="774"/>
      <c r="S22" s="775"/>
      <c r="T22" s="774"/>
      <c r="U22" s="775"/>
      <c r="V22" s="774"/>
      <c r="W22" s="775"/>
      <c r="X22" s="1812"/>
      <c r="Y22" s="3223"/>
      <c r="Z22" s="1813"/>
      <c r="AA22" s="1810">
        <v>1</v>
      </c>
      <c r="AB22" s="1810">
        <v>1</v>
      </c>
      <c r="AC22" s="1810">
        <v>1</v>
      </c>
    </row>
    <row r="23" spans="1:29" ht="57">
      <c r="A23" s="428"/>
      <c r="B23" s="451" t="s">
        <v>2103</v>
      </c>
      <c r="C23" s="2606" t="str">
        <f>估价对象房地状况!C9</f>
        <v>区域自然环境较好；人文环境一般；综合评价环境状况较好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21"/>
      <c r="Q23" s="1809" t="str">
        <f>B23</f>
        <v>自然及人文环境</v>
      </c>
      <c r="R23" s="774" t="s">
        <v>21</v>
      </c>
      <c r="S23" s="775">
        <f>F23</f>
        <v>100</v>
      </c>
      <c r="T23" s="774" t="s">
        <v>21</v>
      </c>
      <c r="U23" s="775">
        <f>H23</f>
        <v>100</v>
      </c>
      <c r="V23" s="774" t="s">
        <v>21</v>
      </c>
      <c r="W23" s="775">
        <f>J23</f>
        <v>100</v>
      </c>
      <c r="X23" s="1812"/>
      <c r="Y23" s="3223"/>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39"/>
      <c r="M24" s="1130"/>
      <c r="N24" s="1130"/>
      <c r="O24" s="1130"/>
      <c r="P24" s="3221"/>
      <c r="Q24" s="1809"/>
      <c r="R24" s="774"/>
      <c r="S24" s="775"/>
      <c r="T24" s="774"/>
      <c r="U24" s="775"/>
      <c r="V24" s="774"/>
      <c r="W24" s="775"/>
      <c r="X24" s="1812"/>
      <c r="Y24" s="3223"/>
      <c r="Z24" s="1813"/>
      <c r="AA24" s="1810">
        <v>1</v>
      </c>
      <c r="AB24" s="1810">
        <v>1</v>
      </c>
      <c r="AC24" s="1810">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22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23"/>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221"/>
      <c r="Q26" s="1809" t="str">
        <f t="shared" si="11"/>
        <v>朝向</v>
      </c>
      <c r="R26" s="774" t="s">
        <v>21</v>
      </c>
      <c r="S26" s="775">
        <f t="shared" si="12"/>
        <v>100</v>
      </c>
      <c r="T26" s="774" t="s">
        <v>21</v>
      </c>
      <c r="U26" s="775">
        <f t="shared" si="13"/>
        <v>100</v>
      </c>
      <c r="V26" s="774" t="s">
        <v>21</v>
      </c>
      <c r="W26" s="775">
        <f t="shared" si="14"/>
        <v>100</v>
      </c>
      <c r="X26" s="1812"/>
      <c r="Y26" s="3223"/>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221"/>
      <c r="Q27" s="1794">
        <f t="shared" si="11"/>
        <v>111</v>
      </c>
      <c r="R27" s="770" t="s">
        <v>21</v>
      </c>
      <c r="S27" s="771">
        <f t="shared" si="12"/>
        <v>100</v>
      </c>
      <c r="T27" s="770" t="s">
        <v>21</v>
      </c>
      <c r="U27" s="771">
        <f t="shared" si="13"/>
        <v>100</v>
      </c>
      <c r="V27" s="770" t="s">
        <v>21</v>
      </c>
      <c r="W27" s="771">
        <f t="shared" si="14"/>
        <v>100</v>
      </c>
      <c r="X27" s="772"/>
      <c r="Y27" s="3223"/>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221"/>
      <c r="Q28" s="1809">
        <f t="shared" si="11"/>
        <v>111</v>
      </c>
      <c r="R28" s="774" t="s">
        <v>21</v>
      </c>
      <c r="S28" s="775">
        <f t="shared" si="12"/>
        <v>100</v>
      </c>
      <c r="T28" s="774" t="s">
        <v>21</v>
      </c>
      <c r="U28" s="775">
        <f t="shared" si="13"/>
        <v>100</v>
      </c>
      <c r="V28" s="774" t="s">
        <v>21</v>
      </c>
      <c r="W28" s="775">
        <f t="shared" si="14"/>
        <v>100</v>
      </c>
      <c r="X28" s="1812"/>
      <c r="Y28" s="3223"/>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221"/>
      <c r="Q29" s="1809">
        <f t="shared" si="11"/>
        <v>111</v>
      </c>
      <c r="R29" s="774" t="s">
        <v>21</v>
      </c>
      <c r="S29" s="775">
        <f t="shared" si="12"/>
        <v>100</v>
      </c>
      <c r="T29" s="774" t="s">
        <v>21</v>
      </c>
      <c r="U29" s="775">
        <f t="shared" si="13"/>
        <v>100</v>
      </c>
      <c r="V29" s="774" t="s">
        <v>21</v>
      </c>
      <c r="W29" s="775">
        <f t="shared" si="14"/>
        <v>100</v>
      </c>
      <c r="X29" s="1812"/>
      <c r="Y29" s="3223"/>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221"/>
      <c r="Q30" s="1809">
        <f t="shared" si="11"/>
        <v>111</v>
      </c>
      <c r="R30" s="774" t="s">
        <v>21</v>
      </c>
      <c r="S30" s="775">
        <f t="shared" si="12"/>
        <v>100</v>
      </c>
      <c r="T30" s="774" t="s">
        <v>21</v>
      </c>
      <c r="U30" s="775">
        <f t="shared" si="13"/>
        <v>100</v>
      </c>
      <c r="V30" s="774" t="s">
        <v>21</v>
      </c>
      <c r="W30" s="775">
        <f t="shared" si="14"/>
        <v>100</v>
      </c>
      <c r="X30" s="1812"/>
      <c r="Y30" s="3223"/>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221"/>
      <c r="Q31" s="1809">
        <f t="shared" si="11"/>
        <v>111</v>
      </c>
      <c r="R31" s="774" t="s">
        <v>21</v>
      </c>
      <c r="S31" s="775">
        <f t="shared" si="12"/>
        <v>100</v>
      </c>
      <c r="T31" s="774" t="s">
        <v>21</v>
      </c>
      <c r="U31" s="775">
        <f t="shared" si="13"/>
        <v>100</v>
      </c>
      <c r="V31" s="774" t="s">
        <v>21</v>
      </c>
      <c r="W31" s="775">
        <f t="shared" si="14"/>
        <v>100</v>
      </c>
      <c r="X31" s="1812"/>
      <c r="Y31" s="3223"/>
      <c r="Z31" s="1813">
        <f t="shared" si="18"/>
        <v>111</v>
      </c>
      <c r="AA31" s="1810">
        <f t="shared" si="15"/>
        <v>1</v>
      </c>
      <c r="AB31" s="1810">
        <f t="shared" si="16"/>
        <v>1</v>
      </c>
      <c r="AC31" s="1810">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224" t="s">
        <v>2566</v>
      </c>
      <c r="Q32" s="1809" t="str">
        <f t="shared" si="11"/>
        <v>建筑类型</v>
      </c>
      <c r="R32" s="774" t="s">
        <v>21</v>
      </c>
      <c r="S32" s="775">
        <f t="shared" si="12"/>
        <v>100</v>
      </c>
      <c r="T32" s="774" t="s">
        <v>21</v>
      </c>
      <c r="U32" s="775">
        <f t="shared" si="13"/>
        <v>100</v>
      </c>
      <c r="V32" s="774" t="s">
        <v>21</v>
      </c>
      <c r="W32" s="775">
        <f t="shared" si="14"/>
        <v>100</v>
      </c>
      <c r="X32" s="1812"/>
      <c r="Y32" s="3227"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0" t="e">
        <f t="shared" si="15"/>
        <v>#N/A</v>
      </c>
      <c r="AB33" s="1810" t="e">
        <f t="shared" si="16"/>
        <v>#N/A</v>
      </c>
      <c r="AC33" s="1810" t="e">
        <f t="shared" si="17"/>
        <v>#N/A</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225"/>
      <c r="Q34" s="1809" t="str">
        <f t="shared" si="11"/>
        <v>建筑结构</v>
      </c>
      <c r="R34" s="774" t="s">
        <v>21</v>
      </c>
      <c r="S34" s="775">
        <f t="shared" si="12"/>
        <v>100</v>
      </c>
      <c r="T34" s="774" t="s">
        <v>21</v>
      </c>
      <c r="U34" s="775">
        <f t="shared" si="13"/>
        <v>100</v>
      </c>
      <c r="V34" s="774" t="s">
        <v>21</v>
      </c>
      <c r="W34" s="775">
        <f t="shared" si="14"/>
        <v>100</v>
      </c>
      <c r="X34" s="1812"/>
      <c r="Y34" s="3227"/>
      <c r="Z34" s="1813" t="str">
        <f t="shared" si="18"/>
        <v>建筑结构</v>
      </c>
      <c r="AA34" s="1810">
        <f t="shared" si="15"/>
        <v>1</v>
      </c>
      <c r="AB34" s="1810">
        <f t="shared" si="16"/>
        <v>1</v>
      </c>
      <c r="AC34" s="1810">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225"/>
      <c r="Q35" s="1809" t="str">
        <f t="shared" si="11"/>
        <v>建筑品质</v>
      </c>
      <c r="R35" s="774" t="s">
        <v>21</v>
      </c>
      <c r="S35" s="775">
        <f t="shared" si="12"/>
        <v>100</v>
      </c>
      <c r="T35" s="774" t="s">
        <v>21</v>
      </c>
      <c r="U35" s="775">
        <f t="shared" si="13"/>
        <v>100</v>
      </c>
      <c r="V35" s="774" t="s">
        <v>21</v>
      </c>
      <c r="W35" s="775">
        <f t="shared" si="14"/>
        <v>100</v>
      </c>
      <c r="X35" s="1812"/>
      <c r="Y35" s="3227"/>
      <c r="Z35" s="1813" t="str">
        <f t="shared" si="18"/>
        <v>建筑品质</v>
      </c>
      <c r="AA35" s="1810">
        <f t="shared" si="15"/>
        <v>1</v>
      </c>
      <c r="AB35" s="1810">
        <f t="shared" si="16"/>
        <v>1</v>
      </c>
      <c r="AC35" s="1810">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225"/>
      <c r="Q36" s="1809" t="str">
        <f t="shared" si="11"/>
        <v>公共部分装修</v>
      </c>
      <c r="R36" s="774" t="s">
        <v>21</v>
      </c>
      <c r="S36" s="775">
        <f t="shared" si="12"/>
        <v>100</v>
      </c>
      <c r="T36" s="774" t="s">
        <v>21</v>
      </c>
      <c r="U36" s="775">
        <f t="shared" si="13"/>
        <v>100</v>
      </c>
      <c r="V36" s="774" t="s">
        <v>21</v>
      </c>
      <c r="W36" s="775">
        <f t="shared" si="14"/>
        <v>100</v>
      </c>
      <c r="X36" s="1812"/>
      <c r="Y36" s="3227"/>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25"/>
      <c r="Q37" s="1794"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225" t="s">
        <v>2566</v>
      </c>
      <c r="Q38" s="1809" t="str">
        <f t="shared" si="11"/>
        <v>物业管理</v>
      </c>
      <c r="R38" s="774" t="s">
        <v>21</v>
      </c>
      <c r="S38" s="775">
        <f t="shared" si="12"/>
        <v>100</v>
      </c>
      <c r="T38" s="774" t="s">
        <v>21</v>
      </c>
      <c r="U38" s="775">
        <f t="shared" si="13"/>
        <v>100</v>
      </c>
      <c r="V38" s="774" t="s">
        <v>21</v>
      </c>
      <c r="W38" s="775">
        <f t="shared" si="14"/>
        <v>100</v>
      </c>
      <c r="X38" s="1812"/>
      <c r="Y38" s="3227" t="s">
        <v>2566</v>
      </c>
      <c r="Z38" s="1813" t="str">
        <f t="shared" si="18"/>
        <v>物业管理</v>
      </c>
      <c r="AA38" s="1810">
        <f t="shared" si="15"/>
        <v>1</v>
      </c>
      <c r="AB38" s="1810">
        <f t="shared" si="16"/>
        <v>1</v>
      </c>
      <c r="AC38" s="1810">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225"/>
      <c r="Q39" s="1809" t="str">
        <f t="shared" si="11"/>
        <v>市政基础设施</v>
      </c>
      <c r="R39" s="774" t="s">
        <v>21</v>
      </c>
      <c r="S39" s="775">
        <f t="shared" si="12"/>
        <v>100</v>
      </c>
      <c r="T39" s="774" t="s">
        <v>21</v>
      </c>
      <c r="U39" s="775">
        <f t="shared" si="13"/>
        <v>100</v>
      </c>
      <c r="V39" s="774" t="s">
        <v>21</v>
      </c>
      <c r="W39" s="775">
        <f t="shared" si="14"/>
        <v>100</v>
      </c>
      <c r="X39" s="1812"/>
      <c r="Y39" s="3227"/>
      <c r="Z39" s="1813" t="str">
        <f t="shared" si="18"/>
        <v>市政基础设施</v>
      </c>
      <c r="AA39" s="1810">
        <f t="shared" si="15"/>
        <v>1</v>
      </c>
      <c r="AB39" s="1810">
        <f t="shared" si="16"/>
        <v>1</v>
      </c>
      <c r="AC39" s="1810">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225"/>
      <c r="Q40" s="1809" t="str">
        <f t="shared" si="11"/>
        <v>房型</v>
      </c>
      <c r="R40" s="774" t="s">
        <v>21</v>
      </c>
      <c r="S40" s="775">
        <f t="shared" si="12"/>
        <v>100</v>
      </c>
      <c r="T40" s="774" t="s">
        <v>21</v>
      </c>
      <c r="U40" s="775">
        <f t="shared" si="13"/>
        <v>100</v>
      </c>
      <c r="V40" s="774" t="s">
        <v>21</v>
      </c>
      <c r="W40" s="775">
        <f t="shared" si="14"/>
        <v>100</v>
      </c>
      <c r="X40" s="1812"/>
      <c r="Y40" s="3227"/>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0">
        <f t="shared" si="15"/>
        <v>1</v>
      </c>
      <c r="AB41" s="1810">
        <f t="shared" si="16"/>
        <v>1</v>
      </c>
      <c r="AC41" s="1810">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225"/>
      <c r="Q42" s="1809" t="str">
        <f t="shared" si="11"/>
        <v>内部装修</v>
      </c>
      <c r="R42" s="774" t="s">
        <v>21</v>
      </c>
      <c r="S42" s="775">
        <f t="shared" si="12"/>
        <v>100</v>
      </c>
      <c r="T42" s="774" t="s">
        <v>21</v>
      </c>
      <c r="U42" s="775">
        <f t="shared" si="13"/>
        <v>100</v>
      </c>
      <c r="V42" s="774" t="s">
        <v>21</v>
      </c>
      <c r="W42" s="775">
        <f t="shared" si="14"/>
        <v>100</v>
      </c>
      <c r="X42" s="1812"/>
      <c r="Y42" s="3227"/>
      <c r="Z42" s="1813" t="str">
        <f t="shared" si="18"/>
        <v>内部装修</v>
      </c>
      <c r="AA42" s="1810">
        <f t="shared" si="15"/>
        <v>1</v>
      </c>
      <c r="AB42" s="1810">
        <f t="shared" si="16"/>
        <v>1</v>
      </c>
      <c r="AC42" s="1810">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225"/>
      <c r="Q43" s="1809" t="str">
        <f t="shared" si="11"/>
        <v>内部装修维护情况</v>
      </c>
      <c r="R43" s="774" t="s">
        <v>21</v>
      </c>
      <c r="S43" s="775">
        <f t="shared" si="12"/>
        <v>100</v>
      </c>
      <c r="T43" s="774" t="s">
        <v>21</v>
      </c>
      <c r="U43" s="775">
        <f t="shared" si="13"/>
        <v>100</v>
      </c>
      <c r="V43" s="774" t="s">
        <v>21</v>
      </c>
      <c r="W43" s="775">
        <f t="shared" si="14"/>
        <v>100</v>
      </c>
      <c r="X43" s="1812"/>
      <c r="Y43" s="3227"/>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225"/>
      <c r="Q44" s="1794">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225"/>
      <c r="Q45" s="1809">
        <f t="shared" si="11"/>
        <v>111</v>
      </c>
      <c r="R45" s="774" t="s">
        <v>21</v>
      </c>
      <c r="S45" s="775">
        <f t="shared" si="12"/>
        <v>100</v>
      </c>
      <c r="T45" s="774" t="s">
        <v>21</v>
      </c>
      <c r="U45" s="775">
        <f t="shared" si="13"/>
        <v>100</v>
      </c>
      <c r="V45" s="774" t="s">
        <v>21</v>
      </c>
      <c r="W45" s="775">
        <f t="shared" si="14"/>
        <v>100</v>
      </c>
      <c r="X45" s="1812"/>
      <c r="Y45" s="3227"/>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226"/>
      <c r="Q46" s="1809">
        <f t="shared" si="11"/>
        <v>111</v>
      </c>
      <c r="R46" s="774" t="s">
        <v>20</v>
      </c>
      <c r="S46" s="775">
        <f t="shared" si="12"/>
        <v>100</v>
      </c>
      <c r="T46" s="774" t="s">
        <v>20</v>
      </c>
      <c r="U46" s="775">
        <f t="shared" si="13"/>
        <v>100</v>
      </c>
      <c r="V46" s="774" t="s">
        <v>20</v>
      </c>
      <c r="W46" s="775">
        <f t="shared" si="14"/>
        <v>100</v>
      </c>
      <c r="X46" s="1812"/>
      <c r="Y46" s="3228"/>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0"/>
      <c r="L47" s="1142"/>
      <c r="M47" s="1143"/>
      <c r="N47" s="1130"/>
      <c r="O47" s="1143"/>
      <c r="P47" s="3229" t="str">
        <f>A47</f>
        <v>成交单价（元/平方米）</v>
      </c>
      <c r="Q47" s="3229"/>
      <c r="R47" s="3230">
        <f>E47</f>
        <v>0</v>
      </c>
      <c r="S47" s="3230"/>
      <c r="T47" s="3230">
        <f>G47</f>
        <v>0</v>
      </c>
      <c r="U47" s="3230"/>
      <c r="V47" s="3230">
        <f>I47</f>
        <v>0</v>
      </c>
      <c r="W47" s="323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294" t="str">
        <f>A49</f>
        <v>估价对象XX用房的比较价值（楼面单价，元/平方米）</v>
      </c>
      <c r="Q49" s="3295"/>
      <c r="R49" s="3296" t="e">
        <f>IF(F1="售价",ROUND(AVERAGE(R48:V48),0),ROUND(AVERAGE(R48:V48),1))</f>
        <v>#DIV/0!</v>
      </c>
      <c r="S49" s="3296"/>
      <c r="T49" s="3296"/>
      <c r="U49" s="3296"/>
      <c r="V49" s="3296"/>
      <c r="W49" s="329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2099</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3069</v>
      </c>
      <c r="D1" s="1819" t="s">
        <v>70</v>
      </c>
      <c r="E1" s="1820" t="s">
        <v>1387</v>
      </c>
      <c r="F1" s="1282">
        <f ca="1">J53</f>
        <v>43.52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6470</v>
      </c>
      <c r="C2" s="1844" t="s">
        <v>1516</v>
      </c>
      <c r="D2" s="1844"/>
      <c r="E2" s="1845"/>
      <c r="F2" s="1846"/>
      <c r="G2" s="1847"/>
      <c r="H2" s="1839"/>
      <c r="I2" s="1839"/>
      <c r="J2" s="1839"/>
      <c r="K2" s="1840"/>
      <c r="L2" s="1839"/>
      <c r="M2" s="1839"/>
    </row>
    <row r="3" spans="1:37" ht="18" customHeight="1" thickBot="1">
      <c r="A3" s="1848" t="s">
        <v>1517</v>
      </c>
      <c r="B3" s="1849">
        <f ca="1">IF(ISERROR(B2*10000/F43),0,ROUND(B2*10000/F43,0))</f>
        <v>9076</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297</v>
      </c>
      <c r="D5" s="1821" t="s">
        <v>1402</v>
      </c>
      <c r="E5" s="1292"/>
      <c r="F5" s="1293"/>
      <c r="G5" s="1850"/>
      <c r="H5" s="344">
        <v>1</v>
      </c>
      <c r="I5" s="345" t="s">
        <v>1401</v>
      </c>
      <c r="J5" s="1291">
        <f ca="1">J6+J10+J12</f>
        <v>0</v>
      </c>
      <c r="K5" s="1821" t="s">
        <v>1402</v>
      </c>
      <c r="L5" s="1292"/>
      <c r="M5" s="1293"/>
    </row>
    <row r="6" spans="1:37" ht="18" customHeight="1">
      <c r="A6" s="1290" t="s">
        <v>1035</v>
      </c>
      <c r="B6" s="3234" t="s">
        <v>1403</v>
      </c>
      <c r="C6" s="1295">
        <f ca="1">ROUND(F6*F8*F7*(1-F9)/10000,0)</f>
        <v>297</v>
      </c>
      <c r="D6" s="164" t="s">
        <v>3033</v>
      </c>
      <c r="E6" s="347" t="s">
        <v>1405</v>
      </c>
      <c r="F6" s="348">
        <f ca="1">INDIRECT("'数据-取费表'!u"&amp;$G$1)</f>
        <v>1.2</v>
      </c>
      <c r="G6" s="1850"/>
      <c r="H6" s="1290" t="s">
        <v>1035</v>
      </c>
      <c r="I6" s="3234" t="s">
        <v>1403</v>
      </c>
      <c r="J6" s="346">
        <f ca="1">ROUND(M6*M8*M7*(1-M9)/10000,0)</f>
        <v>0</v>
      </c>
      <c r="K6" s="164" t="s">
        <v>3032</v>
      </c>
      <c r="L6" s="347" t="s">
        <v>1405</v>
      </c>
      <c r="M6" s="348">
        <f ca="1">INDIRECT("'数据-取费表'!z"&amp;$G$1)</f>
        <v>0</v>
      </c>
    </row>
    <row r="7" spans="1:37" ht="18" customHeight="1">
      <c r="A7" s="1294"/>
      <c r="B7" s="3235"/>
      <c r="C7" s="1296"/>
      <c r="D7" s="352"/>
      <c r="E7" s="2961" t="s">
        <v>1406</v>
      </c>
      <c r="F7" s="348">
        <f ca="1">IF(INDIRECT("'数据-取费表'!ah"&amp;$G$1)="",INDIRECT("'数据-取费表'!k"&amp;$G$1),INDIRECT("'数据-取费表'!ah"&amp;$G$1))</f>
        <v>7128.3</v>
      </c>
      <c r="G7" s="1850"/>
      <c r="H7" s="349"/>
      <c r="I7" s="3235"/>
      <c r="J7" s="351"/>
      <c r="K7" s="352"/>
      <c r="L7" s="347" t="s">
        <v>1406</v>
      </c>
      <c r="M7" s="348">
        <f ca="1">F7</f>
        <v>7128.3</v>
      </c>
    </row>
    <row r="8" spans="1:37" ht="18" customHeight="1">
      <c r="A8" s="349"/>
      <c r="B8" s="3235"/>
      <c r="C8" s="351"/>
      <c r="D8" s="352"/>
      <c r="E8" s="347" t="s">
        <v>1407</v>
      </c>
      <c r="F8" s="348">
        <f ca="1">INDIRECT("'数据-取费表'!ai"&amp;$G$1)</f>
        <v>365</v>
      </c>
      <c r="G8" s="1850"/>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0.05</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3042</v>
      </c>
      <c r="E10" s="358" t="s">
        <v>1410</v>
      </c>
      <c r="F10" s="1365"/>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2525</v>
      </c>
      <c r="D13" s="1330" t="s">
        <v>1415</v>
      </c>
      <c r="E13" s="1330" t="s">
        <v>1416</v>
      </c>
      <c r="F13" s="1331">
        <f ca="1">INDIRECT("'数据-取费表'!y"&amp;$G$1)</f>
        <v>0.93</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1782</v>
      </c>
      <c r="D14" s="2948" t="s">
        <v>1418</v>
      </c>
      <c r="E14" s="2943"/>
      <c r="F14" s="364"/>
      <c r="G14" s="1850"/>
      <c r="H14" s="1200" t="s">
        <v>1035</v>
      </c>
      <c r="I14" s="347" t="s">
        <v>1419</v>
      </c>
      <c r="J14" s="24">
        <f ca="1">C29</f>
        <v>2715</v>
      </c>
      <c r="K14" s="2960"/>
      <c r="L14" s="978"/>
      <c r="M14" s="979"/>
    </row>
    <row r="15" spans="1:37" s="1857" customFormat="1" ht="18" customHeight="1" thickBot="1">
      <c r="A15" s="1200" t="s">
        <v>1036</v>
      </c>
      <c r="B15" s="347" t="s">
        <v>1420</v>
      </c>
      <c r="C15" s="24">
        <f ca="1">ROUND(C14*F15,0)</f>
        <v>53</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66</v>
      </c>
      <c r="K16" s="1336" t="s">
        <v>1425</v>
      </c>
      <c r="L16" s="2950"/>
      <c r="M16" s="1293"/>
    </row>
    <row r="17" spans="1:37" s="1857" customFormat="1" ht="18" customHeight="1">
      <c r="A17" s="1200" t="s">
        <v>1390</v>
      </c>
      <c r="B17" s="347" t="s">
        <v>1426</v>
      </c>
      <c r="C17" s="24">
        <f ca="1">ROUND(F17*(F43+INDIRECT("'数据-取费表'!S"&amp;$G$1))/10000,0)</f>
        <v>143</v>
      </c>
      <c r="D17" s="347" t="s">
        <v>1427</v>
      </c>
      <c r="E17" s="347" t="s">
        <v>1428</v>
      </c>
      <c r="F17" s="26">
        <f>'数据-取费表'!B35</f>
        <v>200</v>
      </c>
      <c r="G17" s="1853"/>
      <c r="H17" s="1200" t="s">
        <v>1035</v>
      </c>
      <c r="I17" s="347" t="s">
        <v>1429</v>
      </c>
      <c r="J17" s="24">
        <f ca="1">ROUND(IF(项目基本情况!B11="自然人",J5*M17,J18+J19+J20),1)</f>
        <v>25.6</v>
      </c>
      <c r="K17" s="2948" t="s">
        <v>1430</v>
      </c>
      <c r="L17" s="2946"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27</v>
      </c>
      <c r="D18" s="347" t="s">
        <v>1421</v>
      </c>
      <c r="E18" s="347" t="s">
        <v>1422</v>
      </c>
      <c r="F18" s="367">
        <f>'数据-取费表'!B36</f>
        <v>1.4999999999999999E-2</v>
      </c>
      <c r="G18" s="1853"/>
      <c r="H18" s="1200" t="s">
        <v>1034</v>
      </c>
      <c r="I18" s="347" t="s">
        <v>1433</v>
      </c>
      <c r="J18" s="24">
        <f ca="1">ROUND(J5*M18/(1+'数据-取费表'!C42),2)</f>
        <v>0</v>
      </c>
      <c r="K18" s="2946"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2005</v>
      </c>
      <c r="D19" s="140" t="s">
        <v>1436</v>
      </c>
      <c r="E19" s="2958"/>
      <c r="F19" s="26"/>
      <c r="G19" s="1850"/>
      <c r="H19" s="1200" t="s">
        <v>1036</v>
      </c>
      <c r="I19" s="347" t="s">
        <v>1437</v>
      </c>
      <c r="J19" s="24">
        <f ca="1">IF(K19="按租金收入计税",ROUND(J5*M19,2),ROUND(C29*M19*0.7,2))</f>
        <v>22.81</v>
      </c>
      <c r="K19" s="1827" t="s">
        <v>1438</v>
      </c>
      <c r="L19" s="347" t="s">
        <v>1422</v>
      </c>
      <c r="M19" s="367">
        <f>IF(K19="按租金收入计税",'数据-取费表'!B51,'数据-取费表'!B50)</f>
        <v>1.2E-2</v>
      </c>
    </row>
    <row r="20" spans="1:37" s="1857" customFormat="1" ht="18" customHeight="1">
      <c r="A20" s="1200" t="s">
        <v>1039</v>
      </c>
      <c r="B20" s="347" t="s">
        <v>1439</v>
      </c>
      <c r="C20" s="24">
        <f ca="1">ROUND(C19*F20,0)</f>
        <v>60</v>
      </c>
      <c r="D20" s="369" t="s">
        <v>1440</v>
      </c>
      <c r="E20" s="347" t="s">
        <v>1422</v>
      </c>
      <c r="F20" s="367">
        <f>'数据-取费表'!B37</f>
        <v>0.03</v>
      </c>
      <c r="G20" s="1853"/>
      <c r="H20" s="1200" t="s">
        <v>1389</v>
      </c>
      <c r="I20" s="164" t="s">
        <v>1441</v>
      </c>
      <c r="J20" s="25">
        <f ca="1">ROUND(M20*M21/10000,2)</f>
        <v>2.76</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2298.59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8"/>
      <c r="F22" s="26"/>
      <c r="G22" s="1850"/>
      <c r="H22" s="1200" t="s">
        <v>1039</v>
      </c>
      <c r="I22" s="347" t="s">
        <v>1449</v>
      </c>
      <c r="J22" s="24">
        <f ca="1">ROUND(J14*M22,1)</f>
        <v>40.700000000000003</v>
      </c>
      <c r="K22" s="2946"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98</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2946"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8"/>
      <c r="F25" s="26"/>
      <c r="G25" s="1850"/>
      <c r="H25" s="1328" t="s">
        <v>1031</v>
      </c>
      <c r="I25" s="1343" t="s">
        <v>1463</v>
      </c>
      <c r="J25" s="355">
        <f ca="1">J5-J16</f>
        <v>-66</v>
      </c>
      <c r="K25" s="1344" t="s">
        <v>1464</v>
      </c>
      <c r="L25" s="1345"/>
      <c r="M25" s="1346"/>
    </row>
    <row r="26" spans="1:37">
      <c r="A26" s="1200" t="s">
        <v>1034</v>
      </c>
      <c r="B26" s="347" t="s">
        <v>1465</v>
      </c>
      <c r="C26" s="24">
        <f ca="1">ROUND((C19+C20)*F26,0)</f>
        <v>310</v>
      </c>
      <c r="D26" s="369" t="s">
        <v>1466</v>
      </c>
      <c r="E26" s="358" t="s">
        <v>1467</v>
      </c>
      <c r="F26" s="357">
        <f ca="1">INDIRECT("'数据-取费表'!q"&amp;$G$1)</f>
        <v>0.15</v>
      </c>
      <c r="G26" s="1850"/>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0" t="s">
        <v>1036</v>
      </c>
      <c r="B27" s="347" t="s">
        <v>1471</v>
      </c>
      <c r="C27" s="24">
        <f ca="1">ROUND(F21*F26,4)</f>
        <v>4.4999999999999997E-3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2715</v>
      </c>
      <c r="D29" s="1341"/>
      <c r="E29" s="1339"/>
      <c r="F29" s="1342"/>
      <c r="G29" s="1853"/>
      <c r="H29" s="380" t="s">
        <v>1033</v>
      </c>
      <c r="I29" s="381" t="s">
        <v>1479</v>
      </c>
      <c r="J29" s="382">
        <f ca="1">ROUND(J26/(1+F40)^F41,0)</f>
        <v>0</v>
      </c>
      <c r="K29" s="383" t="s">
        <v>1480</v>
      </c>
      <c r="L29" s="384"/>
      <c r="M29" s="385">
        <f ca="1">INDIRECT("'数据-取费表'!k"&amp;$G$1)</f>
        <v>7128.3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90</v>
      </c>
      <c r="D30" s="1336" t="s">
        <v>1425</v>
      </c>
      <c r="E30" s="2950"/>
      <c r="F30" s="1293"/>
      <c r="G30" s="1850"/>
      <c r="H30" s="745"/>
      <c r="I30" s="746"/>
      <c r="J30" s="747"/>
      <c r="K30" s="748"/>
      <c r="L30" s="749"/>
      <c r="M30" s="750"/>
    </row>
    <row r="31" spans="1:37" ht="18" customHeight="1">
      <c r="A31" s="1200" t="s">
        <v>1035</v>
      </c>
      <c r="B31" s="347" t="s">
        <v>1429</v>
      </c>
      <c r="C31" s="24">
        <f ca="1">ROUND(IF(项目基本情况!B11="自然人",C5*F31,C32+C33+C34),1)</f>
        <v>41.4</v>
      </c>
      <c r="D31" s="2948" t="s">
        <v>1430</v>
      </c>
      <c r="E31" s="2946"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15.84</v>
      </c>
      <c r="D32" s="2946"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22.81</v>
      </c>
      <c r="D33" s="1827" t="s">
        <v>3176</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2.76</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2298.59</v>
      </c>
      <c r="G35" s="1850"/>
      <c r="H35" s="745"/>
      <c r="I35" s="1859"/>
      <c r="J35" s="1860"/>
      <c r="K35" s="1861"/>
      <c r="L35" s="1858"/>
      <c r="M35" s="1858"/>
    </row>
    <row r="36" spans="1:18" ht="18" customHeight="1">
      <c r="A36" s="1351" t="s">
        <v>1039</v>
      </c>
      <c r="B36" s="347" t="s">
        <v>1449</v>
      </c>
      <c r="C36" s="24">
        <f ca="1">ROUND(C29*F36,1)</f>
        <v>40.700000000000003</v>
      </c>
      <c r="D36" s="2946"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3.8</v>
      </c>
      <c r="D37" s="2946"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4.5</v>
      </c>
      <c r="D38" s="1341" t="s">
        <v>1459</v>
      </c>
      <c r="E38" s="1339" t="s">
        <v>1455</v>
      </c>
      <c r="F38" s="1335">
        <f ca="1">INDIRECT("'数据-取费表'!Am"&amp;$G$1)</f>
        <v>1.4999999999999999E-2</v>
      </c>
      <c r="G38" s="1850"/>
      <c r="H38" s="1858"/>
      <c r="I38" s="1859"/>
      <c r="J38" s="1860"/>
      <c r="K38" s="1864"/>
      <c r="L38" s="1858"/>
      <c r="M38" s="1858"/>
    </row>
    <row r="39" spans="1:18" ht="24.6" customHeight="1" thickTop="1">
      <c r="A39" s="1328" t="s">
        <v>1031</v>
      </c>
      <c r="B39" s="1343" t="s">
        <v>1483</v>
      </c>
      <c r="C39" s="355">
        <f ca="1">C5-C30</f>
        <v>207</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6444</v>
      </c>
      <c r="D40" s="370" t="s">
        <v>1469</v>
      </c>
      <c r="E40" s="347" t="s">
        <v>1470</v>
      </c>
      <c r="F40" s="357">
        <f ca="1">INDIRECT("'数据-取费表'!I"&amp;$G$1)</f>
        <v>4.4999999999999998E-2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43.52</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9040</v>
      </c>
      <c r="D43" s="383" t="s">
        <v>1488</v>
      </c>
      <c r="E43" s="384" t="s">
        <v>1489</v>
      </c>
      <c r="F43" s="385">
        <f ca="1">INDIRECT("'数据-取费表'!k"&amp;$G$1)</f>
        <v>7128.3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-7770</v>
      </c>
      <c r="D46" s="1871" t="str">
        <f>C2</f>
        <v>万元</v>
      </c>
      <c r="E46" s="1865"/>
      <c r="F46" s="1865"/>
      <c r="I46" s="1872" t="s">
        <v>1521</v>
      </c>
      <c r="J46" s="1873"/>
      <c r="K46" s="1874"/>
      <c r="L46" s="1875">
        <f ca="1">IF(M47="住宅",0,IF(L48&gt;J51,L60,J60))</f>
        <v>26</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6444</v>
      </c>
      <c r="R47" s="1885" t="s">
        <v>1529</v>
      </c>
    </row>
    <row r="48" spans="1:18" s="1841" customFormat="1" ht="28.5" thickBot="1">
      <c r="A48" s="1359" t="s">
        <v>1135</v>
      </c>
      <c r="B48" s="345" t="s">
        <v>1401</v>
      </c>
      <c r="C48" s="2957">
        <f ca="1">C49+C53+C55</f>
        <v>0</v>
      </c>
      <c r="D48" s="1361"/>
      <c r="E48" s="1362"/>
      <c r="F48" s="1180"/>
      <c r="G48" s="792"/>
      <c r="H48" s="793"/>
      <c r="I48" s="1886" t="s">
        <v>1530</v>
      </c>
      <c r="J48" s="1887" t="s">
        <v>3173</v>
      </c>
      <c r="K48" s="1888" t="s">
        <v>1531</v>
      </c>
      <c r="L48" s="1889">
        <f ca="1">INDIRECT("'数据-取费表'!f"&amp;$G$1)</f>
        <v>43.52</v>
      </c>
      <c r="O48" s="1883" t="s">
        <v>1041</v>
      </c>
      <c r="P48" s="1884" t="s">
        <v>1532</v>
      </c>
      <c r="Q48" s="1885">
        <f ca="1">J60</f>
        <v>26</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2715</v>
      </c>
      <c r="R49" s="1885" t="s">
        <v>1529</v>
      </c>
    </row>
    <row r="50" spans="1:18" s="1841" customFormat="1" ht="13.5" thickBot="1">
      <c r="A50" s="1194"/>
      <c r="B50" s="1197"/>
      <c r="C50" s="1367"/>
      <c r="D50" s="1171"/>
      <c r="E50" s="1276" t="s">
        <v>1406</v>
      </c>
      <c r="F50" s="1277">
        <f ca="1">F7</f>
        <v>7128.3</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57</v>
      </c>
      <c r="K51" s="1899" t="s">
        <v>1541</v>
      </c>
      <c r="L51" s="1900">
        <f ca="1">ROUND(-PV(INDIRECT("'数据-取费表'!h"&amp;$G$1),L48,(C39-C13*C76),0),0)</f>
        <v>-414</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43.52</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43.52</v>
      </c>
      <c r="K53" s="3237" t="s">
        <v>1548</v>
      </c>
      <c r="L53" s="3238"/>
      <c r="O53" s="1883" t="s">
        <v>1046</v>
      </c>
      <c r="P53" s="1884" t="s">
        <v>1549</v>
      </c>
      <c r="Q53" s="1885">
        <f ca="1">Q47+Q48</f>
        <v>6470</v>
      </c>
      <c r="R53" s="1885" t="s">
        <v>1047</v>
      </c>
    </row>
    <row r="54" spans="1:18" s="1841" customFormat="1" ht="13.5" thickBot="1">
      <c r="A54" s="1405"/>
      <c r="B54" s="1824" t="s">
        <v>1388</v>
      </c>
      <c r="C54" s="1177"/>
      <c r="D54" s="1823"/>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3"/>
      <c r="F55" s="1906"/>
      <c r="I55" s="1909" t="s">
        <v>1551</v>
      </c>
      <c r="J55" s="1910">
        <f ca="1">ROUND(IF(J47="钢混",J57/J50,1-(1-2%)*(J50-J57)/J50),3)</f>
        <v>0.22500000000000001</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2525</v>
      </c>
      <c r="D56" s="1913"/>
      <c r="E56" s="1914"/>
      <c r="F56" s="1906"/>
      <c r="I56" s="1915" t="s">
        <v>1554</v>
      </c>
      <c r="J56" s="1916" t="s">
        <v>3058</v>
      </c>
      <c r="K56" s="1886" t="s">
        <v>1555</v>
      </c>
      <c r="L56" s="1889" t="str">
        <f ca="1">IF(L48&lt;J51,"——",L48-J53)</f>
        <v>——</v>
      </c>
      <c r="O56" s="1883" t="s">
        <v>1040</v>
      </c>
      <c r="P56" s="1884" t="s">
        <v>1528</v>
      </c>
      <c r="Q56" s="1885">
        <f ca="1">C40+J29</f>
        <v>6444</v>
      </c>
      <c r="R56" s="1885" t="s">
        <v>1529</v>
      </c>
    </row>
    <row r="57" spans="1:18" s="1841" customFormat="1" ht="24.75" thickBot="1">
      <c r="A57" s="1917"/>
      <c r="B57" s="1168" t="s">
        <v>1478</v>
      </c>
      <c r="C57" s="282">
        <f ca="1">C29</f>
        <v>2715</v>
      </c>
      <c r="D57" s="1918"/>
      <c r="E57" s="1919"/>
      <c r="F57" s="1920"/>
      <c r="I57" s="1921" t="s">
        <v>1556</v>
      </c>
      <c r="J57" s="1922">
        <f ca="1">IF(OR(M47="住宅",J51&lt;L48,J56="是"),"——",J51-L48)</f>
        <v>13.479999999999997</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70</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25.6</v>
      </c>
      <c r="D59" s="1181" t="s">
        <v>1430</v>
      </c>
      <c r="E59" s="1182" t="s">
        <v>1431</v>
      </c>
      <c r="F59" s="368" t="str">
        <f ca="1">IF(项目基本情况!B11="企业","",IF(INDIRECT("'数据-取费表'!c"&amp;$G$1)="住宅",5%,IF(F49*F50*F51/12/(1+'数据-取费表'!C42)&gt;20000,12%,7%)))</f>
        <v/>
      </c>
      <c r="I59" s="1921" t="s">
        <v>1563</v>
      </c>
      <c r="J59" s="1922">
        <f ca="1">IF(OR(M47="住宅",J51&lt;L48,J56="是"),"——",ROUND(C29*J58,0))</f>
        <v>1086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26</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22.81</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2.76</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6444</v>
      </c>
      <c r="R62" s="1885" t="s">
        <v>1047</v>
      </c>
    </row>
    <row r="63" spans="1:18" s="1841" customFormat="1" ht="13.5" thickBot="1">
      <c r="A63" s="372"/>
      <c r="B63" s="1174"/>
      <c r="C63" s="29"/>
      <c r="D63" s="1184"/>
      <c r="E63" s="1168" t="s">
        <v>1499</v>
      </c>
      <c r="F63" s="348">
        <f t="shared" ca="1" si="0"/>
        <v>2298.59</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40.700000000000003</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3.8</v>
      </c>
      <c r="D65" s="1182" t="s">
        <v>1454</v>
      </c>
      <c r="E65" s="1168" t="s">
        <v>1455</v>
      </c>
      <c r="F65" s="376">
        <f t="shared" ca="1" si="0"/>
        <v>1.5E-3</v>
      </c>
      <c r="I65" s="1928" t="s">
        <v>1579</v>
      </c>
      <c r="J65" s="1929">
        <v>40</v>
      </c>
      <c r="K65" s="1929">
        <v>30</v>
      </c>
      <c r="L65" s="1929">
        <v>50</v>
      </c>
      <c r="M65" s="1931">
        <v>0.02</v>
      </c>
      <c r="O65" s="1883" t="s">
        <v>1040</v>
      </c>
      <c r="P65" s="1884" t="s">
        <v>1580</v>
      </c>
      <c r="Q65" s="1885">
        <f ca="1">C40+J29</f>
        <v>6444</v>
      </c>
      <c r="R65" s="1885" t="s">
        <v>1529</v>
      </c>
    </row>
    <row r="66" spans="1:18" s="1841" customFormat="1" ht="16.5" thickBot="1">
      <c r="A66" s="1200" t="s">
        <v>1504</v>
      </c>
      <c r="B66" s="1168" t="s">
        <v>1439</v>
      </c>
      <c r="C66" s="24">
        <f ca="1">ROUND(C48*F66,1)</f>
        <v>0</v>
      </c>
      <c r="D66" s="1182" t="s">
        <v>1505</v>
      </c>
      <c r="E66" s="1168" t="s">
        <v>1422</v>
      </c>
      <c r="F66" s="357">
        <f t="shared" ca="1" si="0"/>
        <v>1.4999999999999999E-2</v>
      </c>
      <c r="O66" s="1883" t="s">
        <v>1041</v>
      </c>
      <c r="P66" s="1884" t="s">
        <v>1558</v>
      </c>
      <c r="Q66" s="1885">
        <f ca="1">L60</f>
        <v>0</v>
      </c>
      <c r="R66" s="1885" t="s">
        <v>1581</v>
      </c>
    </row>
    <row r="67" spans="1:18" s="1841" customFormat="1" ht="16.5" thickBot="1">
      <c r="A67" s="1175" t="s">
        <v>1031</v>
      </c>
      <c r="B67" s="1185" t="s">
        <v>1463</v>
      </c>
      <c r="C67" s="361">
        <f ca="1">C48-C58</f>
        <v>-70</v>
      </c>
      <c r="D67" s="1181" t="s">
        <v>1464</v>
      </c>
      <c r="E67" s="1186"/>
      <c r="F67" s="1187"/>
      <c r="O67" s="1893" t="s">
        <v>1042</v>
      </c>
      <c r="P67" s="1884" t="s">
        <v>1562</v>
      </c>
      <c r="Q67" s="1932">
        <f ca="1">L51</f>
        <v>-414</v>
      </c>
      <c r="R67" s="1885" t="s">
        <v>1582</v>
      </c>
    </row>
    <row r="68" spans="1:18" s="1841" customFormat="1" ht="16.5" thickBot="1">
      <c r="A68" s="1165" t="s">
        <v>1032</v>
      </c>
      <c r="B68" s="1166" t="s">
        <v>1485</v>
      </c>
      <c r="C68" s="346">
        <f ca="1">ROUND(C67*(1-((1+F70)/(1+F68))^F69)/(F68-F70),0)</f>
        <v>-1326</v>
      </c>
      <c r="D68" s="1183" t="s">
        <v>1469</v>
      </c>
      <c r="E68" s="1168" t="s">
        <v>1470</v>
      </c>
      <c r="F68" s="357">
        <f ca="1">F40</f>
        <v>4.4999999999999998E-2</v>
      </c>
      <c r="O68" s="1893" t="s">
        <v>1043</v>
      </c>
      <c r="P68" s="1933" t="s">
        <v>1583</v>
      </c>
      <c r="Q68" s="1885">
        <f ca="1">ROUND(Q69-Q70*Q71,0)</f>
        <v>-20</v>
      </c>
      <c r="R68" s="1885" t="s">
        <v>1051</v>
      </c>
    </row>
    <row r="69" spans="1:18" s="1841" customFormat="1" ht="13.5" thickBot="1">
      <c r="A69" s="1169"/>
      <c r="B69" s="1170"/>
      <c r="C69" s="351"/>
      <c r="D69" s="1188" t="s">
        <v>1473</v>
      </c>
      <c r="E69" s="1168" t="s">
        <v>1474</v>
      </c>
      <c r="F69" s="379">
        <f ca="1">F41</f>
        <v>43.52</v>
      </c>
      <c r="O69" s="1893" t="s">
        <v>1048</v>
      </c>
      <c r="P69" s="1933" t="s">
        <v>1584</v>
      </c>
      <c r="Q69" s="1885">
        <f ca="1">C39</f>
        <v>207</v>
      </c>
      <c r="R69" s="1885" t="s">
        <v>1529</v>
      </c>
    </row>
    <row r="70" spans="1:18" s="1841" customFormat="1" ht="13.5" thickBot="1">
      <c r="A70" s="1172"/>
      <c r="B70" s="1173"/>
      <c r="C70" s="355"/>
      <c r="D70" s="1184"/>
      <c r="E70" s="1168" t="s">
        <v>1477</v>
      </c>
      <c r="F70" s="1274"/>
      <c r="O70" s="1893" t="s">
        <v>1049</v>
      </c>
      <c r="P70" s="1933" t="s">
        <v>1585</v>
      </c>
      <c r="Q70" s="1885">
        <f ca="1">C13</f>
        <v>2525</v>
      </c>
      <c r="R70" s="1885" t="s">
        <v>1529</v>
      </c>
    </row>
    <row r="71" spans="1:18" s="1841" customFormat="1" ht="13.5" thickBot="1">
      <c r="A71" s="1189" t="s">
        <v>1033</v>
      </c>
      <c r="B71" s="1190" t="s">
        <v>1487</v>
      </c>
      <c r="C71" s="382">
        <f ca="1">ROUND(C68*10000/F71,0)</f>
        <v>-1860</v>
      </c>
      <c r="D71" s="1191" t="s">
        <v>1488</v>
      </c>
      <c r="E71" s="1192" t="s">
        <v>1489</v>
      </c>
      <c r="F71" s="385">
        <f ca="1">F43</f>
        <v>7128.3</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227</v>
      </c>
      <c r="D75" s="1841"/>
      <c r="E75" s="1841"/>
      <c r="F75" s="1841"/>
      <c r="K75" s="1867"/>
      <c r="L75" s="1841"/>
      <c r="O75" s="1883" t="s">
        <v>1046</v>
      </c>
      <c r="P75" s="1884" t="s">
        <v>1549</v>
      </c>
      <c r="Q75" s="1885">
        <f ca="1">Q65+Q66</f>
        <v>6444</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-9.6999999999999975E-2</v>
      </c>
    </row>
    <row r="80" spans="1:18">
      <c r="B80" s="386" t="s">
        <v>1511</v>
      </c>
      <c r="C80" s="318">
        <f ca="1">ROUND(C75/C39,3)</f>
        <v>1.097</v>
      </c>
    </row>
    <row r="81" spans="2:3">
      <c r="B81" s="314" t="s">
        <v>1512</v>
      </c>
      <c r="C81" s="282"/>
    </row>
    <row r="82" spans="2:3">
      <c r="B82" s="317" t="s">
        <v>1513</v>
      </c>
      <c r="C82" s="319">
        <f ca="1">1-C83</f>
        <v>0.60799999999999998</v>
      </c>
    </row>
    <row r="83" spans="2:3">
      <c r="B83" s="317" t="s">
        <v>1514</v>
      </c>
      <c r="C83" s="318">
        <f ca="1">ROUND(C13/C40,3)</f>
        <v>0.39200000000000002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1" t="s">
        <v>2643</v>
      </c>
      <c r="C1" s="1633" t="s">
        <v>2531</v>
      </c>
      <c r="D1" s="1620"/>
      <c r="E1" s="2656"/>
      <c r="F1" s="2583"/>
      <c r="G1" s="1630" t="s">
        <v>2644</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2328</v>
      </c>
      <c r="B2" s="1417" t="e">
        <f ca="1">IF(C2="——",ROUND(C49*D3/10000,0),ROUND(C49*D3/10000,0)-D2)</f>
        <v>#DIV/0!</v>
      </c>
      <c r="C2" s="2585"/>
      <c r="D2" s="1364" t="e">
        <f ca="1">SUMIF(INDIRECT("'"&amp;F2&amp;"'"&amp;"!A:A"),"承租人权益价值",INDIRECT("'"&amp;F2&amp;"'"&amp;"!c:c"))</f>
        <v>#REF!</v>
      </c>
      <c r="E2" s="2586" t="s">
        <v>2329</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2330</v>
      </c>
      <c r="B3" s="609" t="e">
        <f ca="1">IF(C2="——",C49,ROUND(B2*10000/D3,0))</f>
        <v>#DIV/0!</v>
      </c>
      <c r="C3" s="400" t="s">
        <v>2645</v>
      </c>
      <c r="D3" s="399">
        <f>IF(D1="",'数据-汇总表'!E3,SUMIF('数据-汇总表'!$C19:$C33,D1,'数据-汇总表'!$E19:$E33))</f>
        <v>41293.960000000006</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204" t="s">
        <v>2647</v>
      </c>
      <c r="D4" s="3205"/>
      <c r="E4" s="3206" t="s">
        <v>2648</v>
      </c>
      <c r="F4" s="3207"/>
      <c r="G4" s="3204" t="s">
        <v>2649</v>
      </c>
      <c r="H4" s="3205"/>
      <c r="I4" s="3204" t="s">
        <v>2650</v>
      </c>
      <c r="J4" s="3205"/>
      <c r="K4" s="610" t="s">
        <v>2651</v>
      </c>
      <c r="L4" s="1129"/>
      <c r="M4" s="1130"/>
      <c r="N4" s="1130"/>
      <c r="O4" s="1130"/>
      <c r="P4" s="3290" t="s">
        <v>2652</v>
      </c>
      <c r="Q4" s="3291"/>
      <c r="R4" s="3285" t="s">
        <v>2648</v>
      </c>
      <c r="S4" s="3286"/>
      <c r="T4" s="3285" t="s">
        <v>2649</v>
      </c>
      <c r="U4" s="3286"/>
      <c r="V4" s="3217" t="s">
        <v>2650</v>
      </c>
      <c r="W4" s="3217"/>
      <c r="X4" s="1812"/>
      <c r="Y4" s="3285" t="s">
        <v>2652</v>
      </c>
      <c r="Z4" s="3286"/>
      <c r="AA4" s="3284" t="s">
        <v>2648</v>
      </c>
      <c r="AB4" s="3217" t="s">
        <v>2649</v>
      </c>
      <c r="AC4" s="3284" t="s">
        <v>2650</v>
      </c>
    </row>
    <row r="5" spans="1:29" ht="15">
      <c r="A5" s="404"/>
      <c r="B5" s="405"/>
      <c r="C5" s="3196" t="s">
        <v>2543</v>
      </c>
      <c r="D5" s="3197"/>
      <c r="E5" s="3287" t="s">
        <v>2544</v>
      </c>
      <c r="F5" s="3195"/>
      <c r="G5" s="3196" t="s">
        <v>2545</v>
      </c>
      <c r="H5" s="3197"/>
      <c r="I5" s="3196" t="s">
        <v>2546</v>
      </c>
      <c r="J5" s="3197"/>
      <c r="K5" s="610"/>
      <c r="L5" s="1129"/>
      <c r="M5" s="1130"/>
      <c r="N5" s="1130"/>
      <c r="O5" s="1130"/>
      <c r="P5" s="3292"/>
      <c r="Q5" s="3211"/>
      <c r="R5" s="3192"/>
      <c r="S5" s="3193"/>
      <c r="T5" s="3192"/>
      <c r="U5" s="3193"/>
      <c r="V5" s="3217"/>
      <c r="W5" s="3217"/>
      <c r="X5" s="1812"/>
      <c r="Y5" s="3192"/>
      <c r="Z5" s="3193"/>
      <c r="AA5" s="3186"/>
      <c r="AB5" s="3217"/>
      <c r="AC5" s="3186"/>
    </row>
    <row r="6" spans="1:29" ht="15.75" thickBot="1">
      <c r="A6" s="406"/>
      <c r="B6" s="407"/>
      <c r="C6" s="3198" t="s">
        <v>2547</v>
      </c>
      <c r="D6" s="3199"/>
      <c r="E6" s="3288" t="s">
        <v>2547</v>
      </c>
      <c r="F6" s="3289"/>
      <c r="G6" s="3198" t="s">
        <v>2547</v>
      </c>
      <c r="H6" s="3199"/>
      <c r="I6" s="3198" t="s">
        <v>2547</v>
      </c>
      <c r="J6" s="3199"/>
      <c r="K6" s="610" t="s">
        <v>2548</v>
      </c>
      <c r="L6" s="1129"/>
      <c r="M6" s="1130"/>
      <c r="N6" s="1130"/>
      <c r="O6" s="1130"/>
      <c r="P6" s="3293"/>
      <c r="Q6" s="3213"/>
      <c r="R6" s="3192"/>
      <c r="S6" s="3193"/>
      <c r="T6" s="3214"/>
      <c r="U6" s="3215"/>
      <c r="V6" s="3217"/>
      <c r="W6" s="3217"/>
      <c r="X6" s="1812"/>
      <c r="Y6" s="3214"/>
      <c r="Z6" s="3215"/>
      <c r="AA6" s="3187"/>
      <c r="AB6" s="3217"/>
      <c r="AC6" s="3187"/>
    </row>
    <row r="7" spans="1:29" s="117" customFormat="1" ht="15.75" thickBot="1">
      <c r="A7" s="408" t="s">
        <v>2549</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88" t="s">
        <v>2550</v>
      </c>
      <c r="Q7" s="3219"/>
      <c r="R7" s="770" t="s">
        <v>17</v>
      </c>
      <c r="S7" s="771">
        <f t="shared" ref="S7:S15" si="0">F7</f>
        <v>0</v>
      </c>
      <c r="T7" s="770" t="s">
        <v>17</v>
      </c>
      <c r="U7" s="771">
        <f t="shared" ref="U7:U15" si="1">H7</f>
        <v>0</v>
      </c>
      <c r="V7" s="770" t="s">
        <v>17</v>
      </c>
      <c r="W7" s="771">
        <f t="shared" ref="W7:W15" si="2">J7</f>
        <v>0</v>
      </c>
      <c r="X7" s="772"/>
      <c r="Y7" s="3188" t="s">
        <v>2550</v>
      </c>
      <c r="Z7" s="3189"/>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88" t="s">
        <v>2553</v>
      </c>
      <c r="Q8" s="3189"/>
      <c r="R8" s="770" t="s">
        <v>17</v>
      </c>
      <c r="S8" s="771">
        <f t="shared" si="0"/>
        <v>0</v>
      </c>
      <c r="T8" s="770" t="s">
        <v>17</v>
      </c>
      <c r="U8" s="771">
        <f t="shared" si="1"/>
        <v>0</v>
      </c>
      <c r="V8" s="770" t="s">
        <v>17</v>
      </c>
      <c r="W8" s="771">
        <f t="shared" si="2"/>
        <v>0</v>
      </c>
      <c r="X8" s="772"/>
      <c r="Y8" s="3188" t="s">
        <v>2553</v>
      </c>
      <c r="Z8" s="3189"/>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00" t="s">
        <v>2556</v>
      </c>
      <c r="Q9" s="1794" t="str">
        <f t="shared" ref="Q9:Q15" si="6">B9</f>
        <v>用途</v>
      </c>
      <c r="R9" s="770" t="s">
        <v>17</v>
      </c>
      <c r="S9" s="771">
        <f t="shared" si="0"/>
        <v>100</v>
      </c>
      <c r="T9" s="770" t="s">
        <v>17</v>
      </c>
      <c r="U9" s="771">
        <f t="shared" si="1"/>
        <v>100</v>
      </c>
      <c r="V9" s="770" t="s">
        <v>17</v>
      </c>
      <c r="W9" s="771">
        <f t="shared" si="2"/>
        <v>100</v>
      </c>
      <c r="X9" s="772"/>
      <c r="Y9" s="306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00"/>
      <c r="Q10" s="1794"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00"/>
      <c r="Q11" s="1794"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00"/>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00"/>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00"/>
      <c r="Q14" s="1794">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71.25">
      <c r="A15" s="440" t="s">
        <v>2560</v>
      </c>
      <c r="B15" s="69" t="s">
        <v>2654</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20" t="s">
        <v>2561</v>
      </c>
      <c r="Q15" s="1809" t="str">
        <f t="shared" si="6"/>
        <v>商业繁华度</v>
      </c>
      <c r="R15" s="774" t="s">
        <v>17</v>
      </c>
      <c r="S15" s="775">
        <f t="shared" si="0"/>
        <v>100</v>
      </c>
      <c r="T15" s="774" t="s">
        <v>17</v>
      </c>
      <c r="U15" s="775">
        <f t="shared" si="1"/>
        <v>100</v>
      </c>
      <c r="V15" s="774" t="s">
        <v>17</v>
      </c>
      <c r="W15" s="775">
        <f t="shared" si="2"/>
        <v>100</v>
      </c>
      <c r="X15" s="1812"/>
      <c r="Y15" s="3222"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21"/>
      <c r="Q16" s="1809"/>
      <c r="R16" s="774"/>
      <c r="S16" s="775"/>
      <c r="T16" s="774"/>
      <c r="U16" s="775"/>
      <c r="V16" s="774"/>
      <c r="W16" s="775"/>
      <c r="X16" s="1812"/>
      <c r="Y16" s="3223"/>
      <c r="Z16" s="1813"/>
      <c r="AA16" s="1810">
        <v>1</v>
      </c>
      <c r="AB16" s="1810">
        <v>1</v>
      </c>
      <c r="AC16" s="1810">
        <v>1</v>
      </c>
    </row>
    <row r="17" spans="1:29" ht="71.25">
      <c r="A17" s="428"/>
      <c r="B17" s="451" t="s">
        <v>2098</v>
      </c>
      <c r="C17" s="2606" t="str">
        <f>估价对象房地状况!C6</f>
        <v>估价对象周边道路通达、公共交通便捷、停车便捷，综合评价交通便捷度较好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21"/>
      <c r="Q17" s="1809" t="str">
        <f>B17</f>
        <v>交通便捷度</v>
      </c>
      <c r="R17" s="774" t="s">
        <v>17</v>
      </c>
      <c r="S17" s="775">
        <f>F17</f>
        <v>100</v>
      </c>
      <c r="T17" s="774" t="s">
        <v>17</v>
      </c>
      <c r="U17" s="775">
        <f>H17</f>
        <v>100</v>
      </c>
      <c r="V17" s="774" t="s">
        <v>17</v>
      </c>
      <c r="W17" s="775">
        <f>J17</f>
        <v>100</v>
      </c>
      <c r="X17" s="1812"/>
      <c r="Y17" s="322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9"/>
      <c r="M18" s="1130"/>
      <c r="N18" s="1130"/>
      <c r="O18" s="1130"/>
      <c r="P18" s="3221"/>
      <c r="Q18" s="1809"/>
      <c r="R18" s="774"/>
      <c r="S18" s="775"/>
      <c r="T18" s="774"/>
      <c r="U18" s="775"/>
      <c r="V18" s="774"/>
      <c r="W18" s="775"/>
      <c r="X18" s="1812"/>
      <c r="Y18" s="3223"/>
      <c r="Z18" s="1813"/>
      <c r="AA18" s="1810">
        <v>1</v>
      </c>
      <c r="AB18" s="1810">
        <v>1</v>
      </c>
      <c r="AC18" s="1810">
        <v>1</v>
      </c>
    </row>
    <row r="19" spans="1:29" ht="42.75">
      <c r="A19" s="428"/>
      <c r="B19" s="451" t="s">
        <v>2655</v>
      </c>
      <c r="C19" s="2606" t="str">
        <f>估价对象房地状况!C7</f>
        <v>估价对象所在区域公共配套设施较齐备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21"/>
      <c r="Q19" s="1809" t="str">
        <f>B19</f>
        <v>公共配套设施</v>
      </c>
      <c r="R19" s="774" t="s">
        <v>17</v>
      </c>
      <c r="S19" s="775">
        <f>F19</f>
        <v>100</v>
      </c>
      <c r="T19" s="774" t="s">
        <v>17</v>
      </c>
      <c r="U19" s="775">
        <f>H19</f>
        <v>100</v>
      </c>
      <c r="V19" s="774" t="s">
        <v>17</v>
      </c>
      <c r="W19" s="775">
        <f>J19</f>
        <v>100</v>
      </c>
      <c r="X19" s="1812"/>
      <c r="Y19" s="322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9"/>
      <c r="M20" s="1130"/>
      <c r="N20" s="1130"/>
      <c r="O20" s="1130"/>
      <c r="P20" s="3221"/>
      <c r="Q20" s="1809"/>
      <c r="R20" s="774"/>
      <c r="S20" s="775"/>
      <c r="T20" s="774"/>
      <c r="U20" s="775"/>
      <c r="V20" s="774"/>
      <c r="W20" s="775"/>
      <c r="X20" s="1812"/>
      <c r="Y20" s="3223"/>
      <c r="Z20" s="1813"/>
      <c r="AA20" s="1810">
        <v>1</v>
      </c>
      <c r="AB20" s="1810">
        <v>1</v>
      </c>
      <c r="AC20" s="1810">
        <v>1</v>
      </c>
    </row>
    <row r="21" spans="1:29" ht="42.75">
      <c r="A21" s="428"/>
      <c r="B21" s="1383" t="s">
        <v>2656</v>
      </c>
      <c r="C21" s="2606"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21"/>
      <c r="Q21" s="1809" t="str">
        <f>B21</f>
        <v>基础设施水平</v>
      </c>
      <c r="R21" s="774" t="s">
        <v>17</v>
      </c>
      <c r="S21" s="775">
        <f>F21</f>
        <v>100</v>
      </c>
      <c r="T21" s="774" t="s">
        <v>17</v>
      </c>
      <c r="U21" s="775">
        <f>H21</f>
        <v>100</v>
      </c>
      <c r="V21" s="774" t="s">
        <v>17</v>
      </c>
      <c r="W21" s="775">
        <f>J21</f>
        <v>100</v>
      </c>
      <c r="X21" s="1812"/>
      <c r="Y21" s="3223"/>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9"/>
      <c r="G22" s="447"/>
      <c r="H22" s="448"/>
      <c r="I22" s="447"/>
      <c r="J22" s="448"/>
      <c r="K22" s="1382"/>
      <c r="L22" s="1139"/>
      <c r="M22" s="1130"/>
      <c r="N22" s="1130"/>
      <c r="O22" s="1130"/>
      <c r="P22" s="3221"/>
      <c r="Q22" s="1809"/>
      <c r="R22" s="774"/>
      <c r="S22" s="775"/>
      <c r="T22" s="774"/>
      <c r="U22" s="775"/>
      <c r="V22" s="774"/>
      <c r="W22" s="775"/>
      <c r="X22" s="1812"/>
      <c r="Y22" s="3223"/>
      <c r="Z22" s="1813"/>
      <c r="AA22" s="1810">
        <v>1</v>
      </c>
      <c r="AB22" s="1810">
        <v>1</v>
      </c>
      <c r="AC22" s="1810">
        <v>1</v>
      </c>
    </row>
    <row r="23" spans="1:29" ht="57">
      <c r="A23" s="428"/>
      <c r="B23" s="451" t="s">
        <v>2103</v>
      </c>
      <c r="C23" s="2663" t="str">
        <f>估价对象房地状况!C9</f>
        <v>区域自然环境较好；人文环境一般；综合评价环境状况较好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21"/>
      <c r="Q23" s="1809" t="str">
        <f>B23</f>
        <v>自然及人文环境</v>
      </c>
      <c r="R23" s="774" t="s">
        <v>17</v>
      </c>
      <c r="S23" s="775">
        <f>F23</f>
        <v>100</v>
      </c>
      <c r="T23" s="774" t="s">
        <v>17</v>
      </c>
      <c r="U23" s="775">
        <f>H23</f>
        <v>100</v>
      </c>
      <c r="V23" s="774" t="s">
        <v>17</v>
      </c>
      <c r="W23" s="775">
        <f>J23</f>
        <v>100</v>
      </c>
      <c r="X23" s="1812"/>
      <c r="Y23" s="3223"/>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39"/>
      <c r="M24" s="1130"/>
      <c r="N24" s="1130"/>
      <c r="O24" s="1130"/>
      <c r="P24" s="3221"/>
      <c r="Q24" s="1809"/>
      <c r="R24" s="774"/>
      <c r="S24" s="775"/>
      <c r="T24" s="774"/>
      <c r="U24" s="775"/>
      <c r="V24" s="774"/>
      <c r="W24" s="775"/>
      <c r="X24" s="1812"/>
      <c r="Y24" s="3223"/>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21"/>
      <c r="Q25" s="1809" t="str">
        <f t="shared" ref="Q25:Q46" si="11">B25</f>
        <v>临街状况</v>
      </c>
      <c r="R25" s="774" t="s">
        <v>17</v>
      </c>
      <c r="S25" s="775">
        <f>F25</f>
        <v>100</v>
      </c>
      <c r="T25" s="774" t="s">
        <v>17</v>
      </c>
      <c r="U25" s="775">
        <f>H25</f>
        <v>100</v>
      </c>
      <c r="V25" s="774" t="s">
        <v>17</v>
      </c>
      <c r="W25" s="775">
        <f>J25</f>
        <v>100</v>
      </c>
      <c r="X25" s="1812"/>
      <c r="Y25" s="3223"/>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21"/>
      <c r="Q26" s="1809" t="str">
        <f t="shared" si="11"/>
        <v>平面位置/可视性</v>
      </c>
      <c r="R26" s="774" t="s">
        <v>17</v>
      </c>
      <c r="S26" s="775">
        <f>F26</f>
        <v>100</v>
      </c>
      <c r="T26" s="774" t="s">
        <v>17</v>
      </c>
      <c r="U26" s="775">
        <f>H26</f>
        <v>100</v>
      </c>
      <c r="V26" s="774" t="s">
        <v>17</v>
      </c>
      <c r="W26" s="775">
        <f>J26</f>
        <v>100</v>
      </c>
      <c r="X26" s="1812"/>
      <c r="Y26" s="3223"/>
      <c r="Z26" s="1813" t="str">
        <f>Q26</f>
        <v>平面位置/可视性</v>
      </c>
      <c r="AA26" s="1810">
        <f t="shared" si="3"/>
        <v>1</v>
      </c>
      <c r="AB26" s="1810">
        <f t="shared" si="4"/>
        <v>1</v>
      </c>
      <c r="AC26" s="1810">
        <f t="shared" si="5"/>
        <v>1</v>
      </c>
    </row>
    <row r="27" spans="1:29" s="117" customFormat="1" ht="15">
      <c r="A27" s="431"/>
      <c r="B27" s="451" t="s">
        <v>2659</v>
      </c>
      <c r="C27" s="2664"/>
      <c r="D27" s="462">
        <v>100</v>
      </c>
      <c r="E27" s="2664"/>
      <c r="F27" s="464">
        <f>SUMIF(90:90,E27,91:91)-SUMIF(90:90,C27,91:91)+100</f>
        <v>100</v>
      </c>
      <c r="G27" s="2664"/>
      <c r="H27" s="462">
        <f>SUMIF(90:90,G27,91:91)-SUMIF(90:90,C27,91:91)+100</f>
        <v>100</v>
      </c>
      <c r="I27" s="2664"/>
      <c r="J27" s="462">
        <f>SUMIF(90:90,I27,91:91)-SUMIF(90:90,C27,91:91)+100</f>
        <v>100</v>
      </c>
      <c r="K27" s="612"/>
      <c r="L27" s="1131"/>
      <c r="M27" s="1132"/>
      <c r="N27" s="1132"/>
      <c r="O27" s="1132"/>
      <c r="P27" s="3221"/>
      <c r="Q27" s="1794" t="str">
        <f t="shared" si="11"/>
        <v>人流量</v>
      </c>
      <c r="R27" s="770" t="s">
        <v>17</v>
      </c>
      <c r="S27" s="771">
        <f>F27</f>
        <v>100</v>
      </c>
      <c r="T27" s="770" t="s">
        <v>17</v>
      </c>
      <c r="U27" s="771">
        <f>H27</f>
        <v>100</v>
      </c>
      <c r="V27" s="770" t="s">
        <v>17</v>
      </c>
      <c r="W27" s="771">
        <f>J27</f>
        <v>100</v>
      </c>
      <c r="X27" s="772"/>
      <c r="Y27" s="3223"/>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2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23"/>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1"/>
      <c r="Q29" s="1809">
        <f t="shared" si="11"/>
        <v>111</v>
      </c>
      <c r="R29" s="774" t="s">
        <v>17</v>
      </c>
      <c r="S29" s="775">
        <f t="shared" si="12"/>
        <v>100</v>
      </c>
      <c r="T29" s="774" t="s">
        <v>17</v>
      </c>
      <c r="U29" s="775">
        <f t="shared" si="13"/>
        <v>100</v>
      </c>
      <c r="V29" s="774" t="s">
        <v>17</v>
      </c>
      <c r="W29" s="775">
        <f t="shared" si="14"/>
        <v>100</v>
      </c>
      <c r="X29" s="1812"/>
      <c r="Y29" s="3223"/>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1"/>
      <c r="Q30" s="1809">
        <f t="shared" si="11"/>
        <v>111</v>
      </c>
      <c r="R30" s="774" t="s">
        <v>17</v>
      </c>
      <c r="S30" s="775">
        <f t="shared" si="12"/>
        <v>100</v>
      </c>
      <c r="T30" s="774" t="s">
        <v>17</v>
      </c>
      <c r="U30" s="775">
        <f t="shared" si="13"/>
        <v>100</v>
      </c>
      <c r="V30" s="774" t="s">
        <v>17</v>
      </c>
      <c r="W30" s="775">
        <f t="shared" si="14"/>
        <v>100</v>
      </c>
      <c r="X30" s="1812"/>
      <c r="Y30" s="3223"/>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1"/>
      <c r="Q31" s="1809">
        <f t="shared" si="11"/>
        <v>111</v>
      </c>
      <c r="R31" s="774" t="s">
        <v>17</v>
      </c>
      <c r="S31" s="775">
        <f t="shared" si="12"/>
        <v>100</v>
      </c>
      <c r="T31" s="774" t="s">
        <v>17</v>
      </c>
      <c r="U31" s="775">
        <f t="shared" si="13"/>
        <v>100</v>
      </c>
      <c r="V31" s="774" t="s">
        <v>17</v>
      </c>
      <c r="W31" s="775">
        <f t="shared" si="14"/>
        <v>100</v>
      </c>
      <c r="X31" s="1812"/>
      <c r="Y31" s="3223"/>
      <c r="Z31" s="1813">
        <f t="shared" si="15"/>
        <v>111</v>
      </c>
      <c r="AA31" s="1810">
        <f t="shared" si="3"/>
        <v>1</v>
      </c>
      <c r="AB31" s="1810">
        <f t="shared" si="4"/>
        <v>1</v>
      </c>
      <c r="AC31" s="1810">
        <f t="shared" si="5"/>
        <v>1</v>
      </c>
    </row>
    <row r="32" spans="1:29" ht="15">
      <c r="A32" s="440" t="s">
        <v>2564</v>
      </c>
      <c r="B32" s="71" t="s">
        <v>2661</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9"/>
      <c r="M32" s="1130"/>
      <c r="N32" s="1130"/>
      <c r="O32" s="1130"/>
      <c r="P32" s="3224" t="s">
        <v>2566</v>
      </c>
      <c r="Q32" s="1809" t="str">
        <f t="shared" si="11"/>
        <v>商业类型</v>
      </c>
      <c r="R32" s="774" t="s">
        <v>17</v>
      </c>
      <c r="S32" s="775">
        <f t="shared" si="12"/>
        <v>100</v>
      </c>
      <c r="T32" s="774" t="s">
        <v>17</v>
      </c>
      <c r="U32" s="775">
        <f t="shared" si="13"/>
        <v>100</v>
      </c>
      <c r="V32" s="774" t="s">
        <v>17</v>
      </c>
      <c r="W32" s="775">
        <f t="shared" si="14"/>
        <v>100</v>
      </c>
      <c r="X32" s="1812"/>
      <c r="Y32" s="3227"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0" t="e">
        <f t="shared" si="3"/>
        <v>#N/A</v>
      </c>
      <c r="AB33" s="1810" t="e">
        <f t="shared" si="4"/>
        <v>#N/A</v>
      </c>
      <c r="AC33" s="1810" t="e">
        <f t="shared" si="5"/>
        <v>#N/A</v>
      </c>
    </row>
    <row r="34" spans="1:29" ht="15">
      <c r="A34" s="472"/>
      <c r="B34" s="422" t="s">
        <v>2568</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9"/>
      <c r="M34" s="1130"/>
      <c r="N34" s="1130"/>
      <c r="O34" s="1130"/>
      <c r="P34" s="3225"/>
      <c r="Q34" s="1809" t="str">
        <f t="shared" si="11"/>
        <v>建筑结构</v>
      </c>
      <c r="R34" s="774" t="s">
        <v>17</v>
      </c>
      <c r="S34" s="775">
        <f t="shared" si="12"/>
        <v>100</v>
      </c>
      <c r="T34" s="774" t="s">
        <v>17</v>
      </c>
      <c r="U34" s="775">
        <f t="shared" si="13"/>
        <v>100</v>
      </c>
      <c r="V34" s="774" t="s">
        <v>17</v>
      </c>
      <c r="W34" s="775">
        <f t="shared" si="14"/>
        <v>100</v>
      </c>
      <c r="X34" s="1812"/>
      <c r="Y34" s="3227"/>
      <c r="Z34" s="1813" t="str">
        <f t="shared" si="15"/>
        <v>建筑结构</v>
      </c>
      <c r="AA34" s="1810">
        <f t="shared" si="3"/>
        <v>1</v>
      </c>
      <c r="AB34" s="1810">
        <f t="shared" si="4"/>
        <v>1</v>
      </c>
      <c r="AC34" s="1810">
        <f t="shared" si="5"/>
        <v>1</v>
      </c>
    </row>
    <row r="35" spans="1:29" ht="15">
      <c r="A35" s="472"/>
      <c r="B35" s="422" t="s">
        <v>2662</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9"/>
      <c r="M35" s="1130"/>
      <c r="N35" s="1130"/>
      <c r="O35" s="1130"/>
      <c r="P35" s="3225"/>
      <c r="Q35" s="1809" t="str">
        <f t="shared" si="11"/>
        <v>公共部分装修</v>
      </c>
      <c r="R35" s="774" t="s">
        <v>17</v>
      </c>
      <c r="S35" s="775">
        <f t="shared" si="12"/>
        <v>100</v>
      </c>
      <c r="T35" s="774" t="s">
        <v>17</v>
      </c>
      <c r="U35" s="775">
        <f t="shared" si="13"/>
        <v>100</v>
      </c>
      <c r="V35" s="774" t="s">
        <v>17</v>
      </c>
      <c r="W35" s="775">
        <f t="shared" si="14"/>
        <v>100</v>
      </c>
      <c r="X35" s="1812"/>
      <c r="Y35" s="3227"/>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25"/>
      <c r="Q36" s="1809" t="str">
        <f t="shared" si="11"/>
        <v>成新度</v>
      </c>
      <c r="R36" s="774" t="s">
        <v>17</v>
      </c>
      <c r="S36" s="775" t="e">
        <f t="shared" si="12"/>
        <v>#N/A</v>
      </c>
      <c r="T36" s="774" t="s">
        <v>17</v>
      </c>
      <c r="U36" s="775" t="e">
        <f t="shared" si="13"/>
        <v>#N/A</v>
      </c>
      <c r="V36" s="774" t="s">
        <v>17</v>
      </c>
      <c r="W36" s="775" t="e">
        <f t="shared" si="14"/>
        <v>#N/A</v>
      </c>
      <c r="X36" s="1812"/>
      <c r="Y36" s="3227"/>
      <c r="Z36" s="1813" t="str">
        <f t="shared" si="15"/>
        <v>成新度</v>
      </c>
      <c r="AA36" s="1810" t="e">
        <f t="shared" si="3"/>
        <v>#N/A</v>
      </c>
      <c r="AB36" s="1810" t="e">
        <f t="shared" si="4"/>
        <v>#N/A</v>
      </c>
      <c r="AC36" s="1810" t="e">
        <f t="shared" si="5"/>
        <v>#N/A</v>
      </c>
    </row>
    <row r="37" spans="1:29" s="117" customFormat="1" ht="15">
      <c r="A37" s="473"/>
      <c r="B37" s="422" t="s">
        <v>2664</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1"/>
      <c r="M37" s="1132"/>
      <c r="N37" s="1132"/>
      <c r="O37" s="1132"/>
      <c r="P37" s="3225"/>
      <c r="Q37" s="1794"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2665</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9"/>
      <c r="M38" s="1130"/>
      <c r="N38" s="1130"/>
      <c r="O38" s="1130"/>
      <c r="P38" s="3225" t="s">
        <v>2566</v>
      </c>
      <c r="Q38" s="1809" t="str">
        <f t="shared" si="11"/>
        <v>业态</v>
      </c>
      <c r="R38" s="774" t="s">
        <v>17</v>
      </c>
      <c r="S38" s="775">
        <f t="shared" si="12"/>
        <v>100</v>
      </c>
      <c r="T38" s="774" t="s">
        <v>17</v>
      </c>
      <c r="U38" s="775">
        <f t="shared" si="13"/>
        <v>100</v>
      </c>
      <c r="V38" s="774" t="s">
        <v>17</v>
      </c>
      <c r="W38" s="775">
        <f t="shared" si="14"/>
        <v>100</v>
      </c>
      <c r="X38" s="1812"/>
      <c r="Y38" s="3227" t="s">
        <v>2566</v>
      </c>
      <c r="Z38" s="1813" t="str">
        <f t="shared" si="15"/>
        <v>业态</v>
      </c>
      <c r="AA38" s="1810">
        <f t="shared" si="3"/>
        <v>1</v>
      </c>
      <c r="AB38" s="1810">
        <f t="shared" si="4"/>
        <v>1</v>
      </c>
      <c r="AC38" s="1810">
        <f t="shared" si="5"/>
        <v>1</v>
      </c>
    </row>
    <row r="39" spans="1:29" ht="15">
      <c r="A39" s="472"/>
      <c r="B39" s="422" t="s">
        <v>2666</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9"/>
      <c r="M39" s="1130"/>
      <c r="N39" s="1130"/>
      <c r="O39" s="1130"/>
      <c r="P39" s="3225"/>
      <c r="Q39" s="1809" t="str">
        <f t="shared" si="11"/>
        <v>层高</v>
      </c>
      <c r="R39" s="774" t="s">
        <v>17</v>
      </c>
      <c r="S39" s="775">
        <f t="shared" si="12"/>
        <v>100</v>
      </c>
      <c r="T39" s="774" t="s">
        <v>17</v>
      </c>
      <c r="U39" s="775">
        <f t="shared" si="13"/>
        <v>100</v>
      </c>
      <c r="V39" s="774" t="s">
        <v>17</v>
      </c>
      <c r="W39" s="775">
        <f t="shared" si="14"/>
        <v>100</v>
      </c>
      <c r="X39" s="1812"/>
      <c r="Y39" s="3227"/>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25"/>
      <c r="Q40" s="1809" t="str">
        <f t="shared" si="11"/>
        <v>单套建筑面积</v>
      </c>
      <c r="R40" s="774" t="s">
        <v>17</v>
      </c>
      <c r="S40" s="775">
        <f t="shared" si="12"/>
        <v>100</v>
      </c>
      <c r="T40" s="774" t="s">
        <v>17</v>
      </c>
      <c r="U40" s="775">
        <f t="shared" si="13"/>
        <v>100</v>
      </c>
      <c r="V40" s="774" t="s">
        <v>17</v>
      </c>
      <c r="W40" s="775">
        <f t="shared" si="14"/>
        <v>100</v>
      </c>
      <c r="X40" s="1812"/>
      <c r="Y40" s="3227"/>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0">
        <f t="shared" si="3"/>
        <v>1</v>
      </c>
      <c r="AB41" s="1810">
        <f t="shared" si="4"/>
        <v>1</v>
      </c>
      <c r="AC41" s="1810">
        <f t="shared" si="5"/>
        <v>1</v>
      </c>
    </row>
    <row r="42" spans="1:29" ht="15">
      <c r="A42" s="472"/>
      <c r="B42" s="422" t="s">
        <v>2669</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9"/>
      <c r="M42" s="1130"/>
      <c r="N42" s="1130"/>
      <c r="O42" s="1130"/>
      <c r="P42" s="3225"/>
      <c r="Q42" s="1809" t="str">
        <f t="shared" si="11"/>
        <v>内部装修</v>
      </c>
      <c r="R42" s="774" t="s">
        <v>17</v>
      </c>
      <c r="S42" s="775">
        <f t="shared" si="12"/>
        <v>100</v>
      </c>
      <c r="T42" s="774" t="s">
        <v>17</v>
      </c>
      <c r="U42" s="775">
        <f t="shared" si="13"/>
        <v>100</v>
      </c>
      <c r="V42" s="774" t="s">
        <v>17</v>
      </c>
      <c r="W42" s="775">
        <f t="shared" si="14"/>
        <v>100</v>
      </c>
      <c r="X42" s="1812"/>
      <c r="Y42" s="3227"/>
      <c r="Z42" s="1813" t="str">
        <f t="shared" si="15"/>
        <v>内部装修</v>
      </c>
      <c r="AA42" s="1810">
        <f t="shared" si="3"/>
        <v>1</v>
      </c>
      <c r="AB42" s="1810">
        <f t="shared" si="4"/>
        <v>1</v>
      </c>
      <c r="AC42" s="1810">
        <f t="shared" si="5"/>
        <v>1</v>
      </c>
    </row>
    <row r="43" spans="1:29" ht="15">
      <c r="A43" s="472"/>
      <c r="B43" s="422" t="s">
        <v>2577</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9"/>
      <c r="M43" s="1130"/>
      <c r="N43" s="1130"/>
      <c r="O43" s="1130"/>
      <c r="P43" s="3225"/>
      <c r="Q43" s="1809" t="str">
        <f t="shared" si="11"/>
        <v>内部装修维护情况</v>
      </c>
      <c r="R43" s="774" t="s">
        <v>17</v>
      </c>
      <c r="S43" s="775">
        <f t="shared" si="12"/>
        <v>100</v>
      </c>
      <c r="T43" s="774" t="s">
        <v>17</v>
      </c>
      <c r="U43" s="775">
        <f t="shared" si="13"/>
        <v>100</v>
      </c>
      <c r="V43" s="774" t="s">
        <v>17</v>
      </c>
      <c r="W43" s="775">
        <f t="shared" si="14"/>
        <v>100</v>
      </c>
      <c r="X43" s="1812"/>
      <c r="Y43" s="3227"/>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5"/>
      <c r="Q44" s="1794">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5"/>
      <c r="Q45" s="1809">
        <f t="shared" si="11"/>
        <v>111</v>
      </c>
      <c r="R45" s="774" t="s">
        <v>17</v>
      </c>
      <c r="S45" s="775">
        <f t="shared" si="12"/>
        <v>100</v>
      </c>
      <c r="T45" s="774" t="s">
        <v>17</v>
      </c>
      <c r="U45" s="775">
        <f t="shared" si="13"/>
        <v>100</v>
      </c>
      <c r="V45" s="774" t="s">
        <v>17</v>
      </c>
      <c r="W45" s="775">
        <f t="shared" si="14"/>
        <v>100</v>
      </c>
      <c r="X45" s="1812"/>
      <c r="Y45" s="3227"/>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26"/>
      <c r="Q46" s="1809">
        <f t="shared" si="11"/>
        <v>111</v>
      </c>
      <c r="R46" s="774" t="s">
        <v>17</v>
      </c>
      <c r="S46" s="775">
        <f t="shared" si="12"/>
        <v>100</v>
      </c>
      <c r="T46" s="774" t="s">
        <v>17</v>
      </c>
      <c r="U46" s="775">
        <f t="shared" si="13"/>
        <v>100</v>
      </c>
      <c r="V46" s="774" t="s">
        <v>17</v>
      </c>
      <c r="W46" s="775">
        <f t="shared" si="14"/>
        <v>100</v>
      </c>
      <c r="X46" s="1812"/>
      <c r="Y46" s="3228"/>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229" t="str">
        <f>A47</f>
        <v>成交单价（元/平方米）</v>
      </c>
      <c r="Q47" s="3229"/>
      <c r="R47" s="3217">
        <f>E47</f>
        <v>0</v>
      </c>
      <c r="S47" s="3217"/>
      <c r="T47" s="3217">
        <f>G47</f>
        <v>0</v>
      </c>
      <c r="U47" s="3217"/>
      <c r="V47" s="3217">
        <f>I47</f>
        <v>0</v>
      </c>
      <c r="W47" s="3217"/>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294" t="str">
        <f>A49</f>
        <v>估价对象XX用房的比较价值（楼面单价，元/平方米）</v>
      </c>
      <c r="Q49" s="3295"/>
      <c r="R49" s="3296" t="e">
        <f>IF(F1="售价",ROUND(AVERAGE(R48:V48),0),ROUND(AVERAGE(R48:V48),1))</f>
        <v>#DIV/0!</v>
      </c>
      <c r="S49" s="3296"/>
      <c r="T49" s="3296"/>
      <c r="U49" s="3296"/>
      <c r="V49" s="3296"/>
      <c r="W49" s="329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9"/>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2681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0"/>
      <c r="O88" s="1150"/>
      <c r="P88" s="2629"/>
      <c r="Q88" s="504"/>
    </row>
    <row r="89" spans="1:17" s="117" customFormat="1" ht="15.75" thickBot="1">
      <c r="A89" s="579"/>
      <c r="B89" s="543"/>
      <c r="C89" s="560"/>
      <c r="D89" s="536"/>
      <c r="E89" s="536"/>
      <c r="F89" s="536"/>
      <c r="G89" s="536"/>
      <c r="H89" s="536"/>
      <c r="I89" s="536"/>
      <c r="J89" s="536"/>
      <c r="K89" s="536"/>
      <c r="L89" s="536"/>
      <c r="M89" s="536"/>
      <c r="N89" s="1152"/>
      <c r="O89" s="1152"/>
      <c r="P89" s="2629"/>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0"/>
      <c r="Q91" s="559"/>
    </row>
    <row r="92" spans="1:17" ht="15.75" thickTop="1">
      <c r="A92" s="534"/>
      <c r="B92" s="538" t="str">
        <f>B28</f>
        <v>楼层</v>
      </c>
      <c r="C92" s="554"/>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9"/>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9"/>
      <c r="Q106" s="504"/>
    </row>
    <row r="107" spans="1:17" ht="15" thickTop="1">
      <c r="A107" s="599"/>
      <c r="B107" s="538" t="s">
        <v>2617</v>
      </c>
      <c r="C107" s="554"/>
      <c r="D107" s="554"/>
      <c r="E107" s="554"/>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9"/>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9"/>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0"/>
      <c r="Q113" s="559"/>
    </row>
    <row r="114" spans="1:17" ht="15" thickTop="1">
      <c r="A114" s="599"/>
      <c r="B114" s="538" t="s">
        <v>2683</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9"/>
      <c r="Q115" s="504"/>
    </row>
    <row r="116" spans="1:17" ht="15" thickTop="1">
      <c r="A116" s="599"/>
      <c r="B116" s="538" t="s">
        <v>2684</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2703</v>
      </c>
      <c r="C1" s="1619" t="s">
        <v>2531</v>
      </c>
      <c r="D1" s="1620"/>
      <c r="E1" s="1629"/>
      <c r="F1" s="2583"/>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5"/>
      <c r="D2" s="1123"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41293.960000000006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29"/>
      <c r="M4" s="1130"/>
      <c r="N4" s="1130"/>
      <c r="O4" s="1130"/>
      <c r="P4" s="3290" t="s">
        <v>2652</v>
      </c>
      <c r="Q4" s="3291"/>
      <c r="R4" s="3285" t="s">
        <v>2648</v>
      </c>
      <c r="S4" s="3286"/>
      <c r="T4" s="3285" t="s">
        <v>2649</v>
      </c>
      <c r="U4" s="3286"/>
      <c r="V4" s="3217" t="s">
        <v>2650</v>
      </c>
      <c r="W4" s="3217"/>
      <c r="X4" s="1812"/>
      <c r="Y4" s="3285" t="s">
        <v>2652</v>
      </c>
      <c r="Z4" s="3286"/>
      <c r="AA4" s="3284" t="s">
        <v>2648</v>
      </c>
      <c r="AB4" s="3186" t="s">
        <v>2649</v>
      </c>
      <c r="AC4" s="3284" t="s">
        <v>2650</v>
      </c>
    </row>
    <row r="5" spans="1:29" ht="15">
      <c r="A5" s="404"/>
      <c r="B5" s="405"/>
      <c r="C5" s="3196" t="s">
        <v>2543</v>
      </c>
      <c r="D5" s="3197"/>
      <c r="E5" s="3287" t="s">
        <v>2544</v>
      </c>
      <c r="F5" s="3195"/>
      <c r="G5" s="3196" t="s">
        <v>2545</v>
      </c>
      <c r="H5" s="3197"/>
      <c r="I5" s="3196" t="s">
        <v>2546</v>
      </c>
      <c r="J5" s="3197"/>
      <c r="K5" s="610"/>
      <c r="L5" s="1129"/>
      <c r="M5" s="1130"/>
      <c r="N5" s="1130"/>
      <c r="O5" s="1130"/>
      <c r="P5" s="3292"/>
      <c r="Q5" s="3211"/>
      <c r="R5" s="3192"/>
      <c r="S5" s="3193"/>
      <c r="T5" s="3192"/>
      <c r="U5" s="3193"/>
      <c r="V5" s="3217"/>
      <c r="W5" s="3217"/>
      <c r="X5" s="1812"/>
      <c r="Y5" s="3192"/>
      <c r="Z5" s="3193"/>
      <c r="AA5" s="3186"/>
      <c r="AB5" s="3186"/>
      <c r="AC5" s="3186"/>
    </row>
    <row r="6" spans="1:29" ht="15.75" thickBot="1">
      <c r="A6" s="406"/>
      <c r="B6" s="407"/>
      <c r="C6" s="3198" t="s">
        <v>2547</v>
      </c>
      <c r="D6" s="3199"/>
      <c r="E6" s="3288" t="s">
        <v>2547</v>
      </c>
      <c r="F6" s="3289"/>
      <c r="G6" s="3198" t="s">
        <v>2547</v>
      </c>
      <c r="H6" s="3199"/>
      <c r="I6" s="3198" t="s">
        <v>2547</v>
      </c>
      <c r="J6" s="3199"/>
      <c r="K6" s="610" t="s">
        <v>2548</v>
      </c>
      <c r="L6" s="1129"/>
      <c r="M6" s="1130"/>
      <c r="N6" s="1130"/>
      <c r="O6" s="1130"/>
      <c r="P6" s="3293"/>
      <c r="Q6" s="3213"/>
      <c r="R6" s="3192"/>
      <c r="S6" s="3193"/>
      <c r="T6" s="3214"/>
      <c r="U6" s="3215"/>
      <c r="V6" s="3217"/>
      <c r="W6" s="3217"/>
      <c r="X6" s="1812"/>
      <c r="Y6" s="3214"/>
      <c r="Z6" s="3215"/>
      <c r="AA6" s="3187"/>
      <c r="AB6" s="3187"/>
      <c r="AC6" s="3187"/>
    </row>
    <row r="7" spans="1:29" s="117" customFormat="1" ht="15.75" thickBot="1">
      <c r="A7" s="408" t="s">
        <v>2549</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88" t="s">
        <v>2550</v>
      </c>
      <c r="Q7" s="3219"/>
      <c r="R7" s="770" t="s">
        <v>17</v>
      </c>
      <c r="S7" s="771">
        <f t="shared" ref="S7:S15" si="0">F7</f>
        <v>0</v>
      </c>
      <c r="T7" s="770" t="s">
        <v>17</v>
      </c>
      <c r="U7" s="771">
        <f t="shared" ref="U7:U15" si="1">H7</f>
        <v>0</v>
      </c>
      <c r="V7" s="770" t="s">
        <v>17</v>
      </c>
      <c r="W7" s="771">
        <f t="shared" ref="W7:W15" si="2">J7</f>
        <v>0</v>
      </c>
      <c r="X7" s="772"/>
      <c r="Y7" s="3188" t="s">
        <v>2550</v>
      </c>
      <c r="Z7" s="318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88" t="s">
        <v>2553</v>
      </c>
      <c r="Q8" s="3189"/>
      <c r="R8" s="770" t="s">
        <v>17</v>
      </c>
      <c r="S8" s="771">
        <f t="shared" si="0"/>
        <v>0</v>
      </c>
      <c r="T8" s="770" t="s">
        <v>17</v>
      </c>
      <c r="U8" s="771">
        <f t="shared" si="1"/>
        <v>0</v>
      </c>
      <c r="V8" s="770" t="s">
        <v>17</v>
      </c>
      <c r="W8" s="771">
        <f t="shared" si="2"/>
        <v>0</v>
      </c>
      <c r="X8" s="772"/>
      <c r="Y8" s="3188" t="s">
        <v>2553</v>
      </c>
      <c r="Z8" s="318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29" t="s">
        <v>2556</v>
      </c>
      <c r="Q9" s="1794" t="str">
        <f t="shared" ref="Q9:Q15" si="6">B9</f>
        <v>用途</v>
      </c>
      <c r="R9" s="770" t="s">
        <v>17</v>
      </c>
      <c r="S9" s="771">
        <f t="shared" si="0"/>
        <v>100</v>
      </c>
      <c r="T9" s="770" t="s">
        <v>17</v>
      </c>
      <c r="U9" s="771">
        <f t="shared" si="1"/>
        <v>100</v>
      </c>
      <c r="V9" s="770" t="s">
        <v>17</v>
      </c>
      <c r="W9" s="771">
        <f t="shared" si="2"/>
        <v>100</v>
      </c>
      <c r="X9" s="772"/>
      <c r="Y9" s="306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29"/>
      <c r="Q10" s="1794"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29"/>
      <c r="Q11" s="1794"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229"/>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229"/>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229"/>
      <c r="Q14" s="1794">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2560</v>
      </c>
      <c r="B15" s="69" t="s">
        <v>2704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2" t="s">
        <v>2561</v>
      </c>
      <c r="Q15" s="1809" t="str">
        <f t="shared" si="6"/>
        <v>产业集聚程度</v>
      </c>
      <c r="R15" s="774" t="s">
        <v>17</v>
      </c>
      <c r="S15" s="775">
        <f t="shared" si="0"/>
        <v>100</v>
      </c>
      <c r="T15" s="774" t="s">
        <v>17</v>
      </c>
      <c r="U15" s="775">
        <f t="shared" si="1"/>
        <v>100</v>
      </c>
      <c r="V15" s="774" t="s">
        <v>17</v>
      </c>
      <c r="W15" s="775">
        <f t="shared" si="2"/>
        <v>100</v>
      </c>
      <c r="X15" s="1812"/>
      <c r="Y15" s="3222"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23"/>
      <c r="Q16" s="1809"/>
      <c r="R16" s="774"/>
      <c r="S16" s="775"/>
      <c r="T16" s="774"/>
      <c r="U16" s="775"/>
      <c r="V16" s="774"/>
      <c r="W16" s="775"/>
      <c r="X16" s="1812"/>
      <c r="Y16" s="3223"/>
      <c r="Z16" s="1813"/>
      <c r="AA16" s="1810">
        <v>1</v>
      </c>
      <c r="AB16" s="1810">
        <v>1</v>
      </c>
      <c r="AC16" s="1810">
        <v>1</v>
      </c>
    </row>
    <row r="17" spans="1:29" ht="85.5">
      <c r="A17" s="428"/>
      <c r="B17" s="451" t="s">
        <v>2098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3"/>
      <c r="Q17" s="1809" t="str">
        <f>B17</f>
        <v>交通便捷度</v>
      </c>
      <c r="R17" s="774" t="s">
        <v>17</v>
      </c>
      <c r="S17" s="775">
        <f>F17</f>
        <v>100</v>
      </c>
      <c r="T17" s="774" t="s">
        <v>17</v>
      </c>
      <c r="U17" s="775">
        <f>H17</f>
        <v>100</v>
      </c>
      <c r="V17" s="774" t="s">
        <v>17</v>
      </c>
      <c r="W17" s="775">
        <f>J17</f>
        <v>100</v>
      </c>
      <c r="X17" s="1812"/>
      <c r="Y17" s="322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9"/>
      <c r="M18" s="1130"/>
      <c r="N18" s="1130"/>
      <c r="O18" s="1138"/>
      <c r="P18" s="3223"/>
      <c r="Q18" s="1809"/>
      <c r="R18" s="774"/>
      <c r="S18" s="775"/>
      <c r="T18" s="774"/>
      <c r="U18" s="775"/>
      <c r="V18" s="774"/>
      <c r="W18" s="775"/>
      <c r="X18" s="1812"/>
      <c r="Y18" s="3223"/>
      <c r="Z18" s="1813"/>
      <c r="AA18" s="1810">
        <v>1</v>
      </c>
      <c r="AB18" s="1810">
        <v>1</v>
      </c>
      <c r="AC18" s="1810">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3"/>
      <c r="Q19" s="1809" t="str">
        <f>B19</f>
        <v>公共配套设施</v>
      </c>
      <c r="R19" s="774" t="s">
        <v>17</v>
      </c>
      <c r="S19" s="775">
        <f>F19</f>
        <v>100</v>
      </c>
      <c r="T19" s="774" t="s">
        <v>17</v>
      </c>
      <c r="U19" s="775">
        <f>H19</f>
        <v>100</v>
      </c>
      <c r="V19" s="774" t="s">
        <v>17</v>
      </c>
      <c r="W19" s="775">
        <f>J19</f>
        <v>100</v>
      </c>
      <c r="X19" s="1812"/>
      <c r="Y19" s="322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9"/>
      <c r="M20" s="1130"/>
      <c r="N20" s="1130"/>
      <c r="O20" s="1138"/>
      <c r="P20" s="3223"/>
      <c r="Q20" s="1809"/>
      <c r="R20" s="774"/>
      <c r="S20" s="775"/>
      <c r="T20" s="774"/>
      <c r="U20" s="775"/>
      <c r="V20" s="774"/>
      <c r="W20" s="775"/>
      <c r="X20" s="1812"/>
      <c r="Y20" s="3223"/>
      <c r="Z20" s="1813"/>
      <c r="AA20" s="1810">
        <v>1</v>
      </c>
      <c r="AB20" s="1810">
        <v>1</v>
      </c>
      <c r="AC20" s="1810">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3"/>
      <c r="Q21" s="1809" t="str">
        <f>B21</f>
        <v>基础设施水平</v>
      </c>
      <c r="R21" s="774" t="s">
        <v>17</v>
      </c>
      <c r="S21" s="775">
        <f>F21</f>
        <v>100</v>
      </c>
      <c r="T21" s="774" t="s">
        <v>17</v>
      </c>
      <c r="U21" s="775">
        <f>H21</f>
        <v>100</v>
      </c>
      <c r="V21" s="774" t="s">
        <v>17</v>
      </c>
      <c r="W21" s="775">
        <f>J21</f>
        <v>100</v>
      </c>
      <c r="X21" s="1812"/>
      <c r="Y21" s="3223"/>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9"/>
      <c r="G22" s="447"/>
      <c r="H22" s="448"/>
      <c r="I22" s="447"/>
      <c r="J22" s="448"/>
      <c r="K22" s="1382"/>
      <c r="L22" s="1139"/>
      <c r="M22" s="1130"/>
      <c r="N22" s="1130"/>
      <c r="O22" s="1138"/>
      <c r="P22" s="3223"/>
      <c r="Q22" s="1809"/>
      <c r="R22" s="774"/>
      <c r="S22" s="775"/>
      <c r="T22" s="774"/>
      <c r="U22" s="775"/>
      <c r="V22" s="774"/>
      <c r="W22" s="775"/>
      <c r="X22" s="1812"/>
      <c r="Y22" s="3223"/>
      <c r="Z22" s="1813"/>
      <c r="AA22" s="1810">
        <v>1</v>
      </c>
      <c r="AB22" s="1810">
        <v>1</v>
      </c>
      <c r="AC22" s="1810">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3"/>
      <c r="Q23" s="1809" t="str">
        <f>B23</f>
        <v>环境质量</v>
      </c>
      <c r="R23" s="774" t="s">
        <v>17</v>
      </c>
      <c r="S23" s="775">
        <f>F23</f>
        <v>100</v>
      </c>
      <c r="T23" s="774" t="s">
        <v>17</v>
      </c>
      <c r="U23" s="775">
        <f>H23</f>
        <v>100</v>
      </c>
      <c r="V23" s="774" t="s">
        <v>17</v>
      </c>
      <c r="W23" s="775">
        <f>J23</f>
        <v>100</v>
      </c>
      <c r="X23" s="1812"/>
      <c r="Y23" s="3223"/>
      <c r="Z23" s="1813" t="str">
        <f>Q23</f>
        <v>环境质量</v>
      </c>
      <c r="AA23" s="1810">
        <f t="shared" si="3"/>
        <v>1</v>
      </c>
      <c r="AB23" s="1810">
        <f t="shared" si="4"/>
        <v>1</v>
      </c>
      <c r="AC23" s="1810">
        <f t="shared" si="5"/>
        <v>1</v>
      </c>
    </row>
    <row r="24" spans="1:29" ht="15">
      <c r="A24" s="428"/>
      <c r="B24" s="1383"/>
      <c r="C24" s="447"/>
      <c r="D24" s="448"/>
      <c r="E24" s="2604"/>
      <c r="F24" s="449"/>
      <c r="G24" s="2603"/>
      <c r="H24" s="448"/>
      <c r="I24" s="2604"/>
      <c r="J24" s="448"/>
      <c r="K24" s="615"/>
      <c r="L24" s="1139"/>
      <c r="M24" s="1130"/>
      <c r="N24" s="1130"/>
      <c r="O24" s="1138"/>
      <c r="P24" s="3223"/>
      <c r="Q24" s="1809"/>
      <c r="R24" s="774"/>
      <c r="S24" s="775"/>
      <c r="T24" s="774"/>
      <c r="U24" s="775"/>
      <c r="V24" s="774"/>
      <c r="W24" s="775"/>
      <c r="X24" s="1812"/>
      <c r="Y24" s="3223"/>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3"/>
      <c r="Q25" s="1809">
        <f>B25</f>
        <v>111</v>
      </c>
      <c r="R25" s="774" t="s">
        <v>17</v>
      </c>
      <c r="S25" s="775">
        <f>F25</f>
        <v>100</v>
      </c>
      <c r="T25" s="774" t="s">
        <v>17</v>
      </c>
      <c r="U25" s="775">
        <f>H25</f>
        <v>100</v>
      </c>
      <c r="V25" s="774" t="s">
        <v>17</v>
      </c>
      <c r="W25" s="775">
        <f>J25</f>
        <v>100</v>
      </c>
      <c r="X25" s="1812"/>
      <c r="Y25" s="3223"/>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3"/>
      <c r="Q26" s="1809">
        <f t="shared" ref="Q26:Q40" si="11">B26</f>
        <v>111</v>
      </c>
      <c r="R26" s="774" t="s">
        <v>17</v>
      </c>
      <c r="S26" s="775">
        <f>F26</f>
        <v>100</v>
      </c>
      <c r="T26" s="774" t="s">
        <v>17</v>
      </c>
      <c r="U26" s="775">
        <f>H26</f>
        <v>100</v>
      </c>
      <c r="V26" s="774" t="s">
        <v>17</v>
      </c>
      <c r="W26" s="775">
        <f>J26</f>
        <v>100</v>
      </c>
      <c r="X26" s="1812"/>
      <c r="Y26" s="3223"/>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3"/>
      <c r="Q27" s="1794">
        <f t="shared" si="11"/>
        <v>111</v>
      </c>
      <c r="R27" s="770" t="s">
        <v>17</v>
      </c>
      <c r="S27" s="771">
        <f>F27</f>
        <v>100</v>
      </c>
      <c r="T27" s="770" t="s">
        <v>17</v>
      </c>
      <c r="U27" s="771">
        <f>H27</f>
        <v>100</v>
      </c>
      <c r="V27" s="770" t="s">
        <v>17</v>
      </c>
      <c r="W27" s="771">
        <f>J27</f>
        <v>100</v>
      </c>
      <c r="X27" s="772"/>
      <c r="Y27" s="3223"/>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3"/>
      <c r="Q28" s="1809">
        <f t="shared" si="11"/>
        <v>111</v>
      </c>
      <c r="R28" s="774" t="s">
        <v>17</v>
      </c>
      <c r="S28" s="775">
        <f t="shared" ref="S28:S40" si="12">F28</f>
        <v>100</v>
      </c>
      <c r="T28" s="774" t="s">
        <v>17</v>
      </c>
      <c r="U28" s="775">
        <f t="shared" ref="U28:U40" si="13">H28</f>
        <v>100</v>
      </c>
      <c r="V28" s="774" t="s">
        <v>17</v>
      </c>
      <c r="W28" s="775">
        <f t="shared" ref="W28:W40" si="14">J28</f>
        <v>100</v>
      </c>
      <c r="X28" s="1812"/>
      <c r="Y28" s="3223"/>
      <c r="Z28" s="1813">
        <f t="shared" ref="Z28:Z40" si="15">Q28</f>
        <v>111</v>
      </c>
      <c r="AA28" s="1810">
        <f t="shared" si="3"/>
        <v>1</v>
      </c>
      <c r="AB28" s="1810">
        <f t="shared" si="4"/>
        <v>1</v>
      </c>
      <c r="AC28" s="1810">
        <f t="shared" si="5"/>
        <v>1</v>
      </c>
    </row>
    <row r="29" spans="1:29" ht="15">
      <c r="A29" s="466" t="s">
        <v>2564</v>
      </c>
      <c r="B29" s="71" t="s">
        <v>2694</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97" t="s">
        <v>2566</v>
      </c>
      <c r="Q29" s="1809" t="str">
        <f t="shared" si="11"/>
        <v>建筑类型</v>
      </c>
      <c r="R29" s="774" t="s">
        <v>17</v>
      </c>
      <c r="S29" s="775">
        <f t="shared" si="12"/>
        <v>100</v>
      </c>
      <c r="T29" s="774" t="s">
        <v>17</v>
      </c>
      <c r="U29" s="775">
        <f t="shared" si="13"/>
        <v>100</v>
      </c>
      <c r="V29" s="774" t="s">
        <v>17</v>
      </c>
      <c r="W29" s="775">
        <f t="shared" si="14"/>
        <v>100</v>
      </c>
      <c r="X29" s="1812"/>
      <c r="Y29" s="3227"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27"/>
      <c r="Q31" s="1809" t="str">
        <f t="shared" si="11"/>
        <v>建筑结构</v>
      </c>
      <c r="R31" s="774" t="s">
        <v>17</v>
      </c>
      <c r="S31" s="775">
        <f t="shared" si="12"/>
        <v>100</v>
      </c>
      <c r="T31" s="774" t="s">
        <v>17</v>
      </c>
      <c r="U31" s="775">
        <f t="shared" si="13"/>
        <v>100</v>
      </c>
      <c r="V31" s="774" t="s">
        <v>17</v>
      </c>
      <c r="W31" s="775">
        <f t="shared" si="14"/>
        <v>100</v>
      </c>
      <c r="X31" s="1812"/>
      <c r="Y31" s="3227"/>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27"/>
      <c r="Q32" s="1809" t="str">
        <f t="shared" si="11"/>
        <v>公共部分装修</v>
      </c>
      <c r="R32" s="774" t="s">
        <v>17</v>
      </c>
      <c r="S32" s="775">
        <f t="shared" si="12"/>
        <v>100</v>
      </c>
      <c r="T32" s="774" t="s">
        <v>17</v>
      </c>
      <c r="U32" s="775">
        <f t="shared" si="13"/>
        <v>100</v>
      </c>
      <c r="V32" s="774" t="s">
        <v>17</v>
      </c>
      <c r="W32" s="775">
        <f t="shared" si="14"/>
        <v>100</v>
      </c>
      <c r="X32" s="1812"/>
      <c r="Y32" s="3227"/>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27"/>
      <c r="Q33" s="1809" t="str">
        <f t="shared" si="11"/>
        <v>成新度</v>
      </c>
      <c r="R33" s="774" t="s">
        <v>17</v>
      </c>
      <c r="S33" s="775" t="e">
        <f t="shared" si="12"/>
        <v>#N/A</v>
      </c>
      <c r="T33" s="774" t="s">
        <v>17</v>
      </c>
      <c r="U33" s="775" t="e">
        <f t="shared" si="13"/>
        <v>#N/A</v>
      </c>
      <c r="V33" s="774" t="s">
        <v>17</v>
      </c>
      <c r="W33" s="775" t="e">
        <f t="shared" si="14"/>
        <v>#N/A</v>
      </c>
      <c r="X33" s="1812"/>
      <c r="Y33" s="3227"/>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27"/>
      <c r="Q34" s="1794"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27" t="s">
        <v>2566</v>
      </c>
      <c r="Q35" s="1809" t="str">
        <f t="shared" si="11"/>
        <v>市政基础设施</v>
      </c>
      <c r="R35" s="774" t="s">
        <v>17</v>
      </c>
      <c r="S35" s="775">
        <f t="shared" si="12"/>
        <v>100</v>
      </c>
      <c r="T35" s="774" t="s">
        <v>17</v>
      </c>
      <c r="U35" s="775">
        <f t="shared" si="13"/>
        <v>100</v>
      </c>
      <c r="V35" s="774" t="s">
        <v>17</v>
      </c>
      <c r="W35" s="775">
        <f t="shared" si="14"/>
        <v>100</v>
      </c>
      <c r="X35" s="1812"/>
      <c r="Y35" s="3227"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27"/>
      <c r="Q36" s="1809" t="str">
        <f t="shared" si="11"/>
        <v>内部装修</v>
      </c>
      <c r="R36" s="774" t="s">
        <v>17</v>
      </c>
      <c r="S36" s="775">
        <f t="shared" si="12"/>
        <v>100</v>
      </c>
      <c r="T36" s="774" t="s">
        <v>17</v>
      </c>
      <c r="U36" s="775">
        <f t="shared" si="13"/>
        <v>100</v>
      </c>
      <c r="V36" s="774" t="s">
        <v>17</v>
      </c>
      <c r="W36" s="775">
        <f t="shared" si="14"/>
        <v>100</v>
      </c>
      <c r="X36" s="1812"/>
      <c r="Y36" s="3227"/>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27"/>
      <c r="Q37" s="1809" t="str">
        <f t="shared" si="11"/>
        <v>内部装修状况</v>
      </c>
      <c r="R37" s="774" t="s">
        <v>17</v>
      </c>
      <c r="S37" s="775">
        <f t="shared" si="12"/>
        <v>100</v>
      </c>
      <c r="T37" s="774" t="s">
        <v>17</v>
      </c>
      <c r="U37" s="775">
        <f t="shared" si="13"/>
        <v>100</v>
      </c>
      <c r="V37" s="774" t="s">
        <v>17</v>
      </c>
      <c r="W37" s="775">
        <f t="shared" si="14"/>
        <v>100</v>
      </c>
      <c r="X37" s="1812"/>
      <c r="Y37" s="3227"/>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27"/>
      <c r="Q39" s="1809">
        <f t="shared" si="11"/>
        <v>111</v>
      </c>
      <c r="R39" s="774" t="s">
        <v>17</v>
      </c>
      <c r="S39" s="775">
        <f t="shared" si="12"/>
        <v>100</v>
      </c>
      <c r="T39" s="774" t="s">
        <v>17</v>
      </c>
      <c r="U39" s="775">
        <f t="shared" si="13"/>
        <v>100</v>
      </c>
      <c r="V39" s="774" t="s">
        <v>17</v>
      </c>
      <c r="W39" s="775">
        <f t="shared" si="14"/>
        <v>100</v>
      </c>
      <c r="X39" s="1812"/>
      <c r="Y39" s="3227"/>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28"/>
      <c r="Q40" s="1809">
        <f t="shared" si="11"/>
        <v>111</v>
      </c>
      <c r="R40" s="774" t="s">
        <v>17</v>
      </c>
      <c r="S40" s="775">
        <f t="shared" si="12"/>
        <v>100</v>
      </c>
      <c r="T40" s="774" t="s">
        <v>17</v>
      </c>
      <c r="U40" s="775">
        <f t="shared" si="13"/>
        <v>100</v>
      </c>
      <c r="V40" s="774" t="s">
        <v>17</v>
      </c>
      <c r="W40" s="775">
        <f t="shared" si="14"/>
        <v>100</v>
      </c>
      <c r="X40" s="1812"/>
      <c r="Y40" s="3228"/>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229" t="str">
        <f>A41</f>
        <v>成交单价（元/平方米）</v>
      </c>
      <c r="Q41" s="3229"/>
      <c r="R41" s="3230">
        <f>E41</f>
        <v>0</v>
      </c>
      <c r="S41" s="3230"/>
      <c r="T41" s="3230">
        <f>G41</f>
        <v>0</v>
      </c>
      <c r="U41" s="3230"/>
      <c r="V41" s="3230">
        <f>I41</f>
        <v>0</v>
      </c>
      <c r="W41" s="323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229" t="str">
        <f>A42</f>
        <v>比较价值（元/平方米）</v>
      </c>
      <c r="Q42" s="3229"/>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294" t="str">
        <f>A43</f>
        <v>估价对象XX用房的比较价值（楼面单价，元/平方米）</v>
      </c>
      <c r="Q43" s="3295"/>
      <c r="R43" s="3296" t="e">
        <f>IF(F1="售价",ROUND(AVERAGE(R42:V42),0),ROUND(AVERAGE(R42:V42),1))</f>
        <v>#DIV/0!</v>
      </c>
      <c r="S43" s="3296"/>
      <c r="T43" s="3296"/>
      <c r="U43" s="3296"/>
      <c r="V43" s="3296"/>
      <c r="W43" s="329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E20" sqref="E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3"/>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5"/>
      <c r="D2" s="1123" t="e">
        <f ca="1">SUMIF(INDIRECT("'"&amp;F2&amp;"'"&amp;"!A:A"),"承租人权益价值",INDIRECT("'"&amp;F2&amp;"'"&amp;"!c:c"))</f>
        <v>#REF!</v>
      </c>
      <c r="E2" s="2586" t="s">
        <v>2329</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29"/>
      <c r="M4" s="1130"/>
      <c r="N4" s="1130"/>
      <c r="O4" s="1130"/>
      <c r="P4" s="3290" t="s">
        <v>2652</v>
      </c>
      <c r="Q4" s="3291"/>
      <c r="R4" s="3285" t="s">
        <v>2648</v>
      </c>
      <c r="S4" s="3286"/>
      <c r="T4" s="3285" t="s">
        <v>2649</v>
      </c>
      <c r="U4" s="3286"/>
      <c r="V4" s="3217" t="s">
        <v>2650</v>
      </c>
      <c r="W4" s="3217"/>
      <c r="X4" s="1812"/>
      <c r="Y4" s="3285" t="s">
        <v>2652</v>
      </c>
      <c r="Z4" s="3286"/>
      <c r="AA4" s="3284" t="s">
        <v>2648</v>
      </c>
      <c r="AB4" s="3186" t="s">
        <v>2649</v>
      </c>
      <c r="AC4" s="3284" t="s">
        <v>2650</v>
      </c>
    </row>
    <row r="5" spans="1:29" ht="15">
      <c r="A5" s="404"/>
      <c r="B5" s="405"/>
      <c r="C5" s="3196" t="s">
        <v>2543</v>
      </c>
      <c r="D5" s="3197"/>
      <c r="E5" s="3287" t="s">
        <v>2544</v>
      </c>
      <c r="F5" s="3195"/>
      <c r="G5" s="3196" t="s">
        <v>2545</v>
      </c>
      <c r="H5" s="3197"/>
      <c r="I5" s="3196" t="s">
        <v>2546</v>
      </c>
      <c r="J5" s="3197"/>
      <c r="K5" s="610"/>
      <c r="L5" s="1129"/>
      <c r="M5" s="1130"/>
      <c r="N5" s="1130"/>
      <c r="O5" s="1130"/>
      <c r="P5" s="3292"/>
      <c r="Q5" s="3211"/>
      <c r="R5" s="3192"/>
      <c r="S5" s="3193"/>
      <c r="T5" s="3192"/>
      <c r="U5" s="3193"/>
      <c r="V5" s="3217"/>
      <c r="W5" s="3217"/>
      <c r="X5" s="1812"/>
      <c r="Y5" s="3192"/>
      <c r="Z5" s="3193"/>
      <c r="AA5" s="3186"/>
      <c r="AB5" s="3186"/>
      <c r="AC5" s="3186"/>
    </row>
    <row r="6" spans="1:29" ht="15.75" thickBot="1">
      <c r="A6" s="406"/>
      <c r="B6" s="407"/>
      <c r="C6" s="3198" t="s">
        <v>2547</v>
      </c>
      <c r="D6" s="3199"/>
      <c r="E6" s="3288" t="s">
        <v>2547</v>
      </c>
      <c r="F6" s="3289"/>
      <c r="G6" s="3198" t="s">
        <v>2547</v>
      </c>
      <c r="H6" s="3199"/>
      <c r="I6" s="3198" t="s">
        <v>2547</v>
      </c>
      <c r="J6" s="3199"/>
      <c r="K6" s="610" t="s">
        <v>2548</v>
      </c>
      <c r="L6" s="1129"/>
      <c r="M6" s="1130"/>
      <c r="N6" s="1130"/>
      <c r="O6" s="1130"/>
      <c r="P6" s="3293"/>
      <c r="Q6" s="3213"/>
      <c r="R6" s="3192"/>
      <c r="S6" s="3193"/>
      <c r="T6" s="3214"/>
      <c r="U6" s="3215"/>
      <c r="V6" s="3217"/>
      <c r="W6" s="3217"/>
      <c r="X6" s="1812"/>
      <c r="Y6" s="3214"/>
      <c r="Z6" s="3215"/>
      <c r="AA6" s="3187"/>
      <c r="AB6" s="3187"/>
      <c r="AC6" s="3187"/>
    </row>
    <row r="7" spans="1:29" s="117" customFormat="1" ht="15.75" thickBot="1">
      <c r="A7" s="408" t="s">
        <v>2549</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88" t="s">
        <v>2550</v>
      </c>
      <c r="Q7" s="3219"/>
      <c r="R7" s="770" t="s">
        <v>17</v>
      </c>
      <c r="S7" s="771">
        <f t="shared" ref="S7:S14" si="0">F7</f>
        <v>0</v>
      </c>
      <c r="T7" s="770" t="s">
        <v>17</v>
      </c>
      <c r="U7" s="771">
        <f t="shared" ref="U7:U14" si="1">H7</f>
        <v>0</v>
      </c>
      <c r="V7" s="770" t="s">
        <v>17</v>
      </c>
      <c r="W7" s="771">
        <f t="shared" ref="W7:W14" si="2">J7</f>
        <v>0</v>
      </c>
      <c r="X7" s="772"/>
      <c r="Y7" s="3188" t="s">
        <v>2550</v>
      </c>
      <c r="Z7" s="3189"/>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88" t="s">
        <v>2553</v>
      </c>
      <c r="Q8" s="3189"/>
      <c r="R8" s="770" t="s">
        <v>17</v>
      </c>
      <c r="S8" s="771">
        <f t="shared" si="0"/>
        <v>0</v>
      </c>
      <c r="T8" s="770" t="s">
        <v>17</v>
      </c>
      <c r="U8" s="771">
        <f t="shared" si="1"/>
        <v>0</v>
      </c>
      <c r="V8" s="770" t="s">
        <v>17</v>
      </c>
      <c r="W8" s="771">
        <f t="shared" si="2"/>
        <v>0</v>
      </c>
      <c r="X8" s="772"/>
      <c r="Y8" s="3188" t="s">
        <v>2553</v>
      </c>
      <c r="Z8" s="3189"/>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29" t="s">
        <v>2556</v>
      </c>
      <c r="Q9" s="1794" t="str">
        <f t="shared" ref="Q9:Q14" si="6">B9</f>
        <v>用途</v>
      </c>
      <c r="R9" s="770" t="s">
        <v>17</v>
      </c>
      <c r="S9" s="771">
        <f t="shared" si="0"/>
        <v>100</v>
      </c>
      <c r="T9" s="770" t="s">
        <v>17</v>
      </c>
      <c r="U9" s="771">
        <f t="shared" si="1"/>
        <v>100</v>
      </c>
      <c r="V9" s="770" t="s">
        <v>17</v>
      </c>
      <c r="W9" s="771">
        <f t="shared" si="2"/>
        <v>100</v>
      </c>
      <c r="X9" s="772"/>
      <c r="Y9" s="306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29"/>
      <c r="Q10" s="1794"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29"/>
      <c r="Q11" s="1794">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29"/>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29"/>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71.25">
      <c r="A14" s="401" t="s">
        <v>2560</v>
      </c>
      <c r="B14" s="629" t="s">
        <v>2710</v>
      </c>
      <c r="C14" s="2691" t="str">
        <f>IF(B1="工业",估价对象房地状况!G4,估价对象房地状况!C6)</f>
        <v>估价对象周边道路通达、公共交通便捷、停车便捷，综合评价交通便捷度较好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2" t="s">
        <v>2561</v>
      </c>
      <c r="Q14" s="1809" t="str">
        <f t="shared" si="6"/>
        <v>交通便捷度</v>
      </c>
      <c r="R14" s="774" t="s">
        <v>17</v>
      </c>
      <c r="S14" s="775">
        <f t="shared" si="0"/>
        <v>100</v>
      </c>
      <c r="T14" s="774" t="s">
        <v>17</v>
      </c>
      <c r="U14" s="775">
        <f t="shared" si="1"/>
        <v>100</v>
      </c>
      <c r="V14" s="774" t="s">
        <v>17</v>
      </c>
      <c r="W14" s="775">
        <f t="shared" si="2"/>
        <v>100</v>
      </c>
      <c r="X14" s="1812"/>
      <c r="Y14" s="3222"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23"/>
      <c r="Q15" s="1809"/>
      <c r="R15" s="774"/>
      <c r="S15" s="775"/>
      <c r="T15" s="774"/>
      <c r="U15" s="775"/>
      <c r="V15" s="774"/>
      <c r="W15" s="775"/>
      <c r="X15" s="1812"/>
      <c r="Y15" s="3223"/>
      <c r="Z15" s="1813"/>
      <c r="AA15" s="1810">
        <v>1</v>
      </c>
      <c r="AB15" s="1810">
        <v>1</v>
      </c>
      <c r="AC15" s="1810">
        <v>1</v>
      </c>
    </row>
    <row r="16" spans="1:29" ht="42.75">
      <c r="A16" s="404"/>
      <c r="B16" s="631" t="s">
        <v>2689</v>
      </c>
      <c r="C16" s="2606"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23"/>
      <c r="Q16" s="1809" t="str">
        <f>B16</f>
        <v>公共配套设施</v>
      </c>
      <c r="R16" s="774" t="s">
        <v>17</v>
      </c>
      <c r="S16" s="775">
        <f>F16</f>
        <v>100</v>
      </c>
      <c r="T16" s="774" t="s">
        <v>17</v>
      </c>
      <c r="U16" s="775">
        <f>H16</f>
        <v>100</v>
      </c>
      <c r="V16" s="774" t="s">
        <v>17</v>
      </c>
      <c r="W16" s="775">
        <f>J16</f>
        <v>100</v>
      </c>
      <c r="X16" s="1812"/>
      <c r="Y16" s="3223"/>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39"/>
      <c r="M17" s="1130"/>
      <c r="N17" s="1130"/>
      <c r="O17" s="1130"/>
      <c r="P17" s="3223"/>
      <c r="Q17" s="1809"/>
      <c r="R17" s="774"/>
      <c r="S17" s="775"/>
      <c r="T17" s="774"/>
      <c r="U17" s="775"/>
      <c r="V17" s="774"/>
      <c r="W17" s="775"/>
      <c r="X17" s="1812"/>
      <c r="Y17" s="3223"/>
      <c r="Z17" s="1813"/>
      <c r="AA17" s="1810">
        <v>1</v>
      </c>
      <c r="AB17" s="1810">
        <v>1</v>
      </c>
      <c r="AC17" s="1810">
        <v>1</v>
      </c>
    </row>
    <row r="18" spans="1:29" ht="42.75">
      <c r="A18" s="404"/>
      <c r="B18" s="633" t="s">
        <v>2690</v>
      </c>
      <c r="C18" s="2606"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23"/>
      <c r="Q18" s="1809" t="str">
        <f>B18</f>
        <v>基础设施水平</v>
      </c>
      <c r="R18" s="774" t="s">
        <v>17</v>
      </c>
      <c r="S18" s="775">
        <f>F18</f>
        <v>100</v>
      </c>
      <c r="T18" s="774" t="s">
        <v>17</v>
      </c>
      <c r="U18" s="775">
        <f>H18</f>
        <v>100</v>
      </c>
      <c r="V18" s="774" t="s">
        <v>17</v>
      </c>
      <c r="W18" s="775">
        <f>J18</f>
        <v>100</v>
      </c>
      <c r="X18" s="1812"/>
      <c r="Y18" s="3223"/>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2"/>
      <c r="L19" s="1139"/>
      <c r="M19" s="1130"/>
      <c r="N19" s="1130"/>
      <c r="O19" s="1130"/>
      <c r="P19" s="3223"/>
      <c r="Q19" s="1809"/>
      <c r="R19" s="774"/>
      <c r="S19" s="775"/>
      <c r="T19" s="774"/>
      <c r="U19" s="775"/>
      <c r="V19" s="774"/>
      <c r="W19" s="775"/>
      <c r="X19" s="1812"/>
      <c r="Y19" s="3223"/>
      <c r="Z19" s="1813"/>
      <c r="AA19" s="1810">
        <v>1</v>
      </c>
      <c r="AB19" s="1810">
        <v>1</v>
      </c>
      <c r="AC19" s="1810">
        <v>1</v>
      </c>
    </row>
    <row r="20" spans="1:29" ht="57">
      <c r="A20" s="404"/>
      <c r="B20" s="631" t="s">
        <v>2711</v>
      </c>
      <c r="C20" s="2606" t="str">
        <f>IF(B1="工业",估价对象房地状况!G7,估价对象房地状况!C9)</f>
        <v>区域自然环境较好；人文环境一般；综合评价环境状况较好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23"/>
      <c r="Q20" s="1809" t="str">
        <f>B20</f>
        <v>自然及人文环境</v>
      </c>
      <c r="R20" s="774" t="s">
        <v>17</v>
      </c>
      <c r="S20" s="775">
        <f>F20</f>
        <v>100</v>
      </c>
      <c r="T20" s="774" t="s">
        <v>17</v>
      </c>
      <c r="U20" s="775">
        <f>H20</f>
        <v>100</v>
      </c>
      <c r="V20" s="774" t="s">
        <v>17</v>
      </c>
      <c r="W20" s="775">
        <f>J20</f>
        <v>100</v>
      </c>
      <c r="X20" s="1812"/>
      <c r="Y20" s="322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23"/>
      <c r="Q21" s="1809"/>
      <c r="R21" s="774"/>
      <c r="S21" s="775"/>
      <c r="T21" s="774"/>
      <c r="U21" s="775"/>
      <c r="V21" s="774"/>
      <c r="W21" s="775"/>
      <c r="X21" s="1812"/>
      <c r="Y21" s="3223"/>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3"/>
      <c r="Q22" s="1809" t="str">
        <f>B22</f>
        <v>楼层</v>
      </c>
      <c r="R22" s="774" t="s">
        <v>17</v>
      </c>
      <c r="S22" s="775">
        <f>F22</f>
        <v>100</v>
      </c>
      <c r="T22" s="774" t="s">
        <v>17</v>
      </c>
      <c r="U22" s="775">
        <f>H22</f>
        <v>100</v>
      </c>
      <c r="V22" s="774" t="s">
        <v>17</v>
      </c>
      <c r="W22" s="775">
        <f>J22</f>
        <v>100</v>
      </c>
      <c r="X22" s="1812"/>
      <c r="Y22" s="322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3"/>
      <c r="Q23" s="1809">
        <f>B23</f>
        <v>111</v>
      </c>
      <c r="R23" s="774" t="s">
        <v>17</v>
      </c>
      <c r="S23" s="775">
        <f>F23</f>
        <v>100</v>
      </c>
      <c r="T23" s="774" t="s">
        <v>17</v>
      </c>
      <c r="U23" s="775">
        <f>H23</f>
        <v>100</v>
      </c>
      <c r="V23" s="774" t="s">
        <v>17</v>
      </c>
      <c r="W23" s="775">
        <f>J23</f>
        <v>100</v>
      </c>
      <c r="X23" s="1812"/>
      <c r="Y23" s="322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3"/>
      <c r="Q24" s="1809">
        <f t="shared" ref="Q24:Q36" si="11">B24</f>
        <v>111</v>
      </c>
      <c r="R24" s="774" t="s">
        <v>17</v>
      </c>
      <c r="S24" s="775">
        <f>F24</f>
        <v>100</v>
      </c>
      <c r="T24" s="774" t="s">
        <v>17</v>
      </c>
      <c r="U24" s="775">
        <f>H24</f>
        <v>100</v>
      </c>
      <c r="V24" s="774" t="s">
        <v>17</v>
      </c>
      <c r="W24" s="775">
        <f>J24</f>
        <v>100</v>
      </c>
      <c r="X24" s="1812"/>
      <c r="Y24" s="322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23"/>
      <c r="Q25" s="1794">
        <f t="shared" si="11"/>
        <v>111</v>
      </c>
      <c r="R25" s="770" t="s">
        <v>17</v>
      </c>
      <c r="S25" s="771">
        <f>F25</f>
        <v>100</v>
      </c>
      <c r="T25" s="770" t="s">
        <v>17</v>
      </c>
      <c r="U25" s="771">
        <f>H25</f>
        <v>100</v>
      </c>
      <c r="V25" s="770" t="s">
        <v>17</v>
      </c>
      <c r="W25" s="771">
        <f>J25</f>
        <v>100</v>
      </c>
      <c r="X25" s="772"/>
      <c r="Y25" s="3223"/>
      <c r="Z25" s="55">
        <f>Q25</f>
        <v>111</v>
      </c>
      <c r="AA25" s="1810">
        <f>D25/F25</f>
        <v>1</v>
      </c>
      <c r="AB25" s="1810">
        <f>D25/H25</f>
        <v>1</v>
      </c>
      <c r="AC25" s="1810">
        <f>D25/J25</f>
        <v>1</v>
      </c>
    </row>
    <row r="26" spans="1:29" ht="15">
      <c r="A26" s="652" t="s">
        <v>2564</v>
      </c>
      <c r="B26" s="70" t="s">
        <v>2713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7"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7"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27"/>
      <c r="Q28" s="1809" t="str">
        <f t="shared" si="11"/>
        <v>公共部分装修</v>
      </c>
      <c r="R28" s="774" t="s">
        <v>17</v>
      </c>
      <c r="S28" s="775">
        <f t="shared" si="12"/>
        <v>100</v>
      </c>
      <c r="T28" s="774" t="s">
        <v>17</v>
      </c>
      <c r="U28" s="775">
        <f t="shared" si="13"/>
        <v>100</v>
      </c>
      <c r="V28" s="774" t="s">
        <v>17</v>
      </c>
      <c r="W28" s="775">
        <f t="shared" si="14"/>
        <v>100</v>
      </c>
      <c r="X28" s="1812"/>
      <c r="Y28" s="3227"/>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27"/>
      <c r="Q29" s="1809" t="str">
        <f t="shared" si="11"/>
        <v>成新率</v>
      </c>
      <c r="R29" s="774" t="s">
        <v>17</v>
      </c>
      <c r="S29" s="775" t="e">
        <f t="shared" si="12"/>
        <v>#N/A</v>
      </c>
      <c r="T29" s="774" t="s">
        <v>17</v>
      </c>
      <c r="U29" s="775" t="e">
        <f t="shared" si="13"/>
        <v>#N/A</v>
      </c>
      <c r="V29" s="774" t="s">
        <v>17</v>
      </c>
      <c r="W29" s="775" t="e">
        <f t="shared" si="14"/>
        <v>#N/A</v>
      </c>
      <c r="X29" s="1812"/>
      <c r="Y29" s="3227"/>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27"/>
      <c r="Q30" s="1809" t="str">
        <f t="shared" si="11"/>
        <v>物业等级</v>
      </c>
      <c r="R30" s="774" t="s">
        <v>17</v>
      </c>
      <c r="S30" s="775">
        <f t="shared" si="12"/>
        <v>100</v>
      </c>
      <c r="T30" s="774" t="s">
        <v>17</v>
      </c>
      <c r="U30" s="775">
        <f t="shared" si="13"/>
        <v>100</v>
      </c>
      <c r="V30" s="774" t="s">
        <v>17</v>
      </c>
      <c r="W30" s="775">
        <f t="shared" si="14"/>
        <v>100</v>
      </c>
      <c r="X30" s="1812"/>
      <c r="Y30" s="3227"/>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27"/>
      <c r="Q31" s="1794"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27" t="s">
        <v>2566</v>
      </c>
      <c r="Q32" s="1809" t="str">
        <f t="shared" si="11"/>
        <v>车位类型</v>
      </c>
      <c r="R32" s="774" t="s">
        <v>17</v>
      </c>
      <c r="S32" s="775">
        <f t="shared" si="12"/>
        <v>100</v>
      </c>
      <c r="T32" s="774" t="s">
        <v>17</v>
      </c>
      <c r="U32" s="775">
        <f t="shared" si="13"/>
        <v>100</v>
      </c>
      <c r="V32" s="774" t="s">
        <v>17</v>
      </c>
      <c r="W32" s="775">
        <f t="shared" si="14"/>
        <v>100</v>
      </c>
      <c r="X32" s="1812"/>
      <c r="Y32" s="3227"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27"/>
      <c r="Q33" s="1809" t="str">
        <f t="shared" si="11"/>
        <v>是否直接入户</v>
      </c>
      <c r="R33" s="774" t="s">
        <v>17</v>
      </c>
      <c r="S33" s="775">
        <f t="shared" si="12"/>
        <v>100</v>
      </c>
      <c r="T33" s="774" t="s">
        <v>17</v>
      </c>
      <c r="U33" s="775">
        <f t="shared" si="13"/>
        <v>100</v>
      </c>
      <c r="V33" s="774" t="s">
        <v>17</v>
      </c>
      <c r="W33" s="775">
        <f t="shared" si="14"/>
        <v>100</v>
      </c>
      <c r="X33" s="1812"/>
      <c r="Y33" s="322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27"/>
      <c r="Q34" s="1809">
        <f t="shared" si="11"/>
        <v>111</v>
      </c>
      <c r="R34" s="774" t="s">
        <v>17</v>
      </c>
      <c r="S34" s="775">
        <f t="shared" si="12"/>
        <v>100</v>
      </c>
      <c r="T34" s="774" t="s">
        <v>17</v>
      </c>
      <c r="U34" s="775">
        <f t="shared" si="13"/>
        <v>100</v>
      </c>
      <c r="V34" s="774" t="s">
        <v>17</v>
      </c>
      <c r="W34" s="775">
        <f t="shared" si="14"/>
        <v>100</v>
      </c>
      <c r="X34" s="1812"/>
      <c r="Y34" s="322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27"/>
      <c r="Q36" s="1809">
        <f t="shared" si="11"/>
        <v>111</v>
      </c>
      <c r="R36" s="774" t="s">
        <v>17</v>
      </c>
      <c r="S36" s="775">
        <f t="shared" si="12"/>
        <v>100</v>
      </c>
      <c r="T36" s="774" t="s">
        <v>17</v>
      </c>
      <c r="U36" s="775">
        <f t="shared" si="13"/>
        <v>100</v>
      </c>
      <c r="V36" s="774" t="s">
        <v>17</v>
      </c>
      <c r="W36" s="775">
        <f t="shared" si="14"/>
        <v>100</v>
      </c>
      <c r="X36" s="1812"/>
      <c r="Y36" s="3227"/>
      <c r="Z36" s="1813">
        <f t="shared" si="15"/>
        <v>111</v>
      </c>
      <c r="AA36" s="1810">
        <f t="shared" si="3"/>
        <v>1</v>
      </c>
      <c r="AB36" s="1810">
        <f t="shared" si="4"/>
        <v>1</v>
      </c>
      <c r="AC36" s="1810">
        <f t="shared" si="5"/>
        <v>1</v>
      </c>
    </row>
    <row r="37" spans="1:29" ht="15">
      <c r="A37" s="479" t="s">
        <v>2721</v>
      </c>
      <c r="B37" s="2693" t="s">
        <v>2722</v>
      </c>
      <c r="C37" s="1406" t="s">
        <v>1</v>
      </c>
      <c r="D37" s="1407"/>
      <c r="E37" s="1408"/>
      <c r="F37" s="1409"/>
      <c r="G37" s="1410"/>
      <c r="H37" s="1411"/>
      <c r="I37" s="1408"/>
      <c r="J37" s="1411"/>
      <c r="K37" s="619"/>
      <c r="L37" s="1142"/>
      <c r="M37" s="1143"/>
      <c r="N37" s="1130"/>
      <c r="O37" s="1143"/>
      <c r="P37" s="3229" t="str">
        <f>A37</f>
        <v>成交单价</v>
      </c>
      <c r="Q37" s="3229"/>
      <c r="R37" s="3230">
        <f>E37</f>
        <v>0</v>
      </c>
      <c r="S37" s="3230"/>
      <c r="T37" s="3230">
        <f>G37</f>
        <v>0</v>
      </c>
      <c r="U37" s="3230"/>
      <c r="V37" s="3230">
        <f>I37</f>
        <v>0</v>
      </c>
      <c r="W37" s="323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29" t="str">
        <f>A38</f>
        <v>比较价值（元/平方米）</v>
      </c>
      <c r="Q38" s="3229"/>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294" t="str">
        <f>A39</f>
        <v>估价对象XX用房的比较价值（楼面单价，元/平方米）</v>
      </c>
      <c r="Q39" s="3295"/>
      <c r="R39" s="3296" t="e">
        <f>IF(F1="售价",ROUND(AVERAGE(R38:V38),0),ROUND(AVERAGE(R38:V38),1))</f>
        <v>#DIV/0!</v>
      </c>
      <c r="S39" s="3296"/>
      <c r="T39" s="3296"/>
      <c r="U39" s="3296"/>
      <c r="V39" s="3296"/>
      <c r="W39" s="329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3"/>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5"/>
      <c r="D2" s="1123" t="e">
        <f ca="1">SUMIF(INDIRECT("'"&amp;F2&amp;"'"&amp;"!A:A"),"承租人权益价值",INDIRECT("'"&amp;F2&amp;"'"&amp;"!c:c"))</f>
        <v>#REF!</v>
      </c>
      <c r="E2" s="2586" t="s">
        <v>2329</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29"/>
      <c r="M4" s="1130"/>
      <c r="N4" s="1130"/>
      <c r="O4" s="1130"/>
      <c r="P4" s="3290" t="s">
        <v>2652</v>
      </c>
      <c r="Q4" s="3291"/>
      <c r="R4" s="3285" t="s">
        <v>2648</v>
      </c>
      <c r="S4" s="3286"/>
      <c r="T4" s="3285" t="s">
        <v>2649</v>
      </c>
      <c r="U4" s="3286"/>
      <c r="V4" s="3217" t="s">
        <v>2650</v>
      </c>
      <c r="W4" s="3217"/>
      <c r="X4" s="1812"/>
      <c r="Y4" s="3285" t="s">
        <v>2652</v>
      </c>
      <c r="Z4" s="3286"/>
      <c r="AA4" s="3284" t="s">
        <v>2648</v>
      </c>
      <c r="AB4" s="3186" t="s">
        <v>2649</v>
      </c>
      <c r="AC4" s="3284" t="s">
        <v>2650</v>
      </c>
    </row>
    <row r="5" spans="1:29" ht="15">
      <c r="A5" s="404"/>
      <c r="B5" s="405"/>
      <c r="C5" s="3196" t="s">
        <v>2543</v>
      </c>
      <c r="D5" s="3197"/>
      <c r="E5" s="3287" t="s">
        <v>2544</v>
      </c>
      <c r="F5" s="3195"/>
      <c r="G5" s="3196" t="s">
        <v>2545</v>
      </c>
      <c r="H5" s="3197"/>
      <c r="I5" s="3196" t="s">
        <v>2546</v>
      </c>
      <c r="J5" s="3197"/>
      <c r="K5" s="610"/>
      <c r="L5" s="1129"/>
      <c r="M5" s="1130"/>
      <c r="N5" s="1130"/>
      <c r="O5" s="1130"/>
      <c r="P5" s="3292"/>
      <c r="Q5" s="3211"/>
      <c r="R5" s="3192"/>
      <c r="S5" s="3193"/>
      <c r="T5" s="3192"/>
      <c r="U5" s="3193"/>
      <c r="V5" s="3217"/>
      <c r="W5" s="3217"/>
      <c r="X5" s="1812"/>
      <c r="Y5" s="3192"/>
      <c r="Z5" s="3193"/>
      <c r="AA5" s="3186"/>
      <c r="AB5" s="3186"/>
      <c r="AC5" s="3186"/>
    </row>
    <row r="6" spans="1:29" ht="15.75" thickBot="1">
      <c r="A6" s="406"/>
      <c r="B6" s="407"/>
      <c r="C6" s="3198" t="s">
        <v>2547</v>
      </c>
      <c r="D6" s="3199"/>
      <c r="E6" s="3288" t="s">
        <v>2547</v>
      </c>
      <c r="F6" s="3289"/>
      <c r="G6" s="3198" t="s">
        <v>2547</v>
      </c>
      <c r="H6" s="3199"/>
      <c r="I6" s="3198" t="s">
        <v>2547</v>
      </c>
      <c r="J6" s="3199"/>
      <c r="K6" s="610" t="s">
        <v>2548</v>
      </c>
      <c r="L6" s="1129"/>
      <c r="M6" s="1130"/>
      <c r="N6" s="1130"/>
      <c r="O6" s="1130"/>
      <c r="P6" s="3293"/>
      <c r="Q6" s="3213"/>
      <c r="R6" s="3192"/>
      <c r="S6" s="3193"/>
      <c r="T6" s="3214"/>
      <c r="U6" s="3215"/>
      <c r="V6" s="3217"/>
      <c r="W6" s="3217"/>
      <c r="X6" s="1812"/>
      <c r="Y6" s="3214"/>
      <c r="Z6" s="3215"/>
      <c r="AA6" s="3187"/>
      <c r="AB6" s="3187"/>
      <c r="AC6" s="3187"/>
    </row>
    <row r="7" spans="1:29" s="117" customFormat="1" ht="15.75" thickBot="1">
      <c r="A7" s="408" t="s">
        <v>2549</v>
      </c>
      <c r="B7" s="409"/>
      <c r="C7" s="410">
        <f>'数据-取费表'!B2</f>
        <v>43100</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188" t="s">
        <v>2550</v>
      </c>
      <c r="Q7" s="3219"/>
      <c r="R7" s="770" t="s">
        <v>17</v>
      </c>
      <c r="S7" s="771">
        <f t="shared" ref="S7:S14" si="0">F7</f>
        <v>0</v>
      </c>
      <c r="T7" s="770" t="s">
        <v>17</v>
      </c>
      <c r="U7" s="771">
        <f t="shared" ref="U7:U14" si="1">H7</f>
        <v>0</v>
      </c>
      <c r="V7" s="770" t="s">
        <v>17</v>
      </c>
      <c r="W7" s="771">
        <f t="shared" ref="W7:W14" si="2">J7</f>
        <v>0</v>
      </c>
      <c r="X7" s="772"/>
      <c r="Y7" s="3188" t="s">
        <v>2550</v>
      </c>
      <c r="Z7" s="318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88" t="s">
        <v>2553</v>
      </c>
      <c r="Q8" s="3189"/>
      <c r="R8" s="770" t="s">
        <v>17</v>
      </c>
      <c r="S8" s="771">
        <f t="shared" si="0"/>
        <v>0</v>
      </c>
      <c r="T8" s="770" t="s">
        <v>17</v>
      </c>
      <c r="U8" s="771">
        <f t="shared" si="1"/>
        <v>0</v>
      </c>
      <c r="V8" s="770" t="s">
        <v>17</v>
      </c>
      <c r="W8" s="771">
        <f t="shared" si="2"/>
        <v>0</v>
      </c>
      <c r="X8" s="772"/>
      <c r="Y8" s="3188" t="s">
        <v>2553</v>
      </c>
      <c r="Z8" s="318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29" t="s">
        <v>2556</v>
      </c>
      <c r="Q9" s="1794" t="str">
        <f t="shared" ref="Q9:Q14" si="6">B9</f>
        <v>用途</v>
      </c>
      <c r="R9" s="770" t="s">
        <v>17</v>
      </c>
      <c r="S9" s="771">
        <f t="shared" si="0"/>
        <v>100</v>
      </c>
      <c r="T9" s="770" t="s">
        <v>17</v>
      </c>
      <c r="U9" s="771">
        <f t="shared" si="1"/>
        <v>100</v>
      </c>
      <c r="V9" s="770" t="s">
        <v>17</v>
      </c>
      <c r="W9" s="771">
        <f t="shared" si="2"/>
        <v>100</v>
      </c>
      <c r="X9" s="772"/>
      <c r="Y9" s="3065"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29"/>
      <c r="Q10" s="1794"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29"/>
      <c r="Q11" s="1794">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29"/>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229"/>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71.25">
      <c r="A14" s="440" t="s">
        <v>2560</v>
      </c>
      <c r="B14" s="69" t="s">
        <v>2710</v>
      </c>
      <c r="C14" s="2691" t="str">
        <f>IF(B1="工业",估价对象房地状况!G4,估价对象房地状况!C6)</f>
        <v>估价对象周边道路通达、公共交通便捷、停车便捷，综合评价交通便捷度较好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2" t="s">
        <v>2561</v>
      </c>
      <c r="Q14" s="1809" t="str">
        <f t="shared" si="6"/>
        <v>交通便捷度</v>
      </c>
      <c r="R14" s="774" t="s">
        <v>17</v>
      </c>
      <c r="S14" s="775">
        <f t="shared" si="0"/>
        <v>100</v>
      </c>
      <c r="T14" s="774" t="s">
        <v>17</v>
      </c>
      <c r="U14" s="775">
        <f t="shared" si="1"/>
        <v>100</v>
      </c>
      <c r="V14" s="774" t="s">
        <v>17</v>
      </c>
      <c r="W14" s="775">
        <f t="shared" si="2"/>
        <v>100</v>
      </c>
      <c r="X14" s="1812"/>
      <c r="Y14" s="3222"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23"/>
      <c r="Q15" s="1809"/>
      <c r="R15" s="774"/>
      <c r="S15" s="775"/>
      <c r="T15" s="774"/>
      <c r="U15" s="775"/>
      <c r="V15" s="774"/>
      <c r="W15" s="775"/>
      <c r="X15" s="1812"/>
      <c r="Y15" s="3223"/>
      <c r="Z15" s="1813"/>
      <c r="AA15" s="1810">
        <v>1</v>
      </c>
      <c r="AB15" s="1810">
        <v>1</v>
      </c>
      <c r="AC15" s="1810">
        <v>1</v>
      </c>
    </row>
    <row r="16" spans="1:29" ht="42.75">
      <c r="A16" s="428"/>
      <c r="B16" s="451" t="s">
        <v>2689</v>
      </c>
      <c r="C16" s="2606"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3"/>
      <c r="Q16" s="1809" t="str">
        <f>B16</f>
        <v>公共配套设施</v>
      </c>
      <c r="R16" s="774" t="s">
        <v>17</v>
      </c>
      <c r="S16" s="775">
        <f>F16</f>
        <v>100</v>
      </c>
      <c r="T16" s="774" t="s">
        <v>17</v>
      </c>
      <c r="U16" s="775">
        <f>H16</f>
        <v>100</v>
      </c>
      <c r="V16" s="774" t="s">
        <v>17</v>
      </c>
      <c r="W16" s="775">
        <f>J16</f>
        <v>100</v>
      </c>
      <c r="X16" s="1812"/>
      <c r="Y16" s="3223"/>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39"/>
      <c r="M17" s="1130"/>
      <c r="N17" s="1130"/>
      <c r="O17" s="1138"/>
      <c r="P17" s="3223"/>
      <c r="Q17" s="1809"/>
      <c r="R17" s="774"/>
      <c r="S17" s="775"/>
      <c r="T17" s="774"/>
      <c r="U17" s="775"/>
      <c r="V17" s="774"/>
      <c r="W17" s="775"/>
      <c r="X17" s="1812"/>
      <c r="Y17" s="3223"/>
      <c r="Z17" s="1813"/>
      <c r="AA17" s="1810">
        <v>1</v>
      </c>
      <c r="AB17" s="1810">
        <v>1</v>
      </c>
      <c r="AC17" s="1810">
        <v>1</v>
      </c>
    </row>
    <row r="18" spans="1:29" ht="42.75">
      <c r="A18" s="428"/>
      <c r="B18" s="1383" t="s">
        <v>2690</v>
      </c>
      <c r="C18" s="2606"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3"/>
      <c r="Q18" s="1809" t="str">
        <f>B18</f>
        <v>基础设施水平</v>
      </c>
      <c r="R18" s="774" t="s">
        <v>17</v>
      </c>
      <c r="S18" s="775">
        <f>F18</f>
        <v>100</v>
      </c>
      <c r="T18" s="774" t="s">
        <v>17</v>
      </c>
      <c r="U18" s="775">
        <f>H18</f>
        <v>100</v>
      </c>
      <c r="V18" s="774" t="s">
        <v>17</v>
      </c>
      <c r="W18" s="775">
        <f>J18</f>
        <v>100</v>
      </c>
      <c r="X18" s="1812"/>
      <c r="Y18" s="3223"/>
      <c r="Z18" s="1813" t="str">
        <f>Q18</f>
        <v>基础设施水平</v>
      </c>
      <c r="AA18" s="1810">
        <f t="shared" ref="AA18" si="8">D18/F18</f>
        <v>1</v>
      </c>
      <c r="AB18" s="1810">
        <f t="shared" ref="AB18" si="9">D18/H18</f>
        <v>1</v>
      </c>
      <c r="AC18" s="1810">
        <f t="shared" ref="AC18" si="10">D18/J18</f>
        <v>1</v>
      </c>
    </row>
    <row r="19" spans="1:29" ht="15">
      <c r="A19" s="428"/>
      <c r="B19" s="1383"/>
      <c r="C19" s="2607"/>
      <c r="D19" s="450"/>
      <c r="E19" s="2607"/>
      <c r="F19" s="453"/>
      <c r="G19" s="2607"/>
      <c r="H19" s="448"/>
      <c r="I19" s="447"/>
      <c r="J19" s="448"/>
      <c r="K19" s="1382"/>
      <c r="L19" s="1139"/>
      <c r="M19" s="1130"/>
      <c r="N19" s="1130"/>
      <c r="O19" s="1138"/>
      <c r="P19" s="3223"/>
      <c r="Q19" s="1809"/>
      <c r="R19" s="774"/>
      <c r="S19" s="775"/>
      <c r="T19" s="774"/>
      <c r="U19" s="775"/>
      <c r="V19" s="774"/>
      <c r="W19" s="775"/>
      <c r="X19" s="1812"/>
      <c r="Y19" s="3223"/>
      <c r="Z19" s="1813"/>
      <c r="AA19" s="1810">
        <v>1</v>
      </c>
      <c r="AB19" s="1810">
        <v>1</v>
      </c>
      <c r="AC19" s="1810">
        <v>1</v>
      </c>
    </row>
    <row r="20" spans="1:29" ht="57">
      <c r="A20" s="428"/>
      <c r="B20" s="451" t="s">
        <v>2711</v>
      </c>
      <c r="C20" s="2606" t="str">
        <f>IF(B1="工业",估价对象房地状况!G7,估价对象房地状况!C9)</f>
        <v>区域自然环境较好；人文环境一般；综合评价环境状况较好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3"/>
      <c r="Q20" s="1809" t="str">
        <f>B20</f>
        <v>自然及人文环境</v>
      </c>
      <c r="R20" s="774" t="s">
        <v>17</v>
      </c>
      <c r="S20" s="775">
        <f>F20</f>
        <v>100</v>
      </c>
      <c r="T20" s="774" t="s">
        <v>17</v>
      </c>
      <c r="U20" s="775">
        <f>H20</f>
        <v>100</v>
      </c>
      <c r="V20" s="774" t="s">
        <v>17</v>
      </c>
      <c r="W20" s="775">
        <f>J20</f>
        <v>100</v>
      </c>
      <c r="X20" s="1812"/>
      <c r="Y20" s="322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23"/>
      <c r="Q21" s="1809"/>
      <c r="R21" s="774"/>
      <c r="S21" s="775"/>
      <c r="T21" s="774"/>
      <c r="U21" s="775"/>
      <c r="V21" s="774"/>
      <c r="W21" s="775"/>
      <c r="X21" s="1812"/>
      <c r="Y21" s="3223"/>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3"/>
      <c r="Q22" s="1809" t="str">
        <f>B22</f>
        <v>楼层</v>
      </c>
      <c r="R22" s="774" t="s">
        <v>17</v>
      </c>
      <c r="S22" s="775">
        <f>F22</f>
        <v>100</v>
      </c>
      <c r="T22" s="774" t="s">
        <v>17</v>
      </c>
      <c r="U22" s="775">
        <f>H22</f>
        <v>100</v>
      </c>
      <c r="V22" s="774" t="s">
        <v>17</v>
      </c>
      <c r="W22" s="775">
        <f>J22</f>
        <v>100</v>
      </c>
      <c r="X22" s="1812"/>
      <c r="Y22" s="3223"/>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3"/>
      <c r="Q23" s="1809">
        <f>B23</f>
        <v>111</v>
      </c>
      <c r="R23" s="774" t="s">
        <v>17</v>
      </c>
      <c r="S23" s="775">
        <f>F23</f>
        <v>100</v>
      </c>
      <c r="T23" s="774" t="s">
        <v>17</v>
      </c>
      <c r="U23" s="775">
        <f>H23</f>
        <v>100</v>
      </c>
      <c r="V23" s="774" t="s">
        <v>17</v>
      </c>
      <c r="W23" s="775">
        <f>J23</f>
        <v>100</v>
      </c>
      <c r="X23" s="1812"/>
      <c r="Y23" s="3223"/>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3"/>
      <c r="Q24" s="1809">
        <f t="shared" ref="Q24:Q34" si="11">B24</f>
        <v>111</v>
      </c>
      <c r="R24" s="774" t="s">
        <v>17</v>
      </c>
      <c r="S24" s="775">
        <f>F24</f>
        <v>100</v>
      </c>
      <c r="T24" s="774" t="s">
        <v>17</v>
      </c>
      <c r="U24" s="775">
        <f>H24</f>
        <v>100</v>
      </c>
      <c r="V24" s="774" t="s">
        <v>17</v>
      </c>
      <c r="W24" s="775">
        <f>J24</f>
        <v>100</v>
      </c>
      <c r="X24" s="1812"/>
      <c r="Y24" s="3223"/>
      <c r="Z24" s="1813">
        <f>Q24</f>
        <v>111</v>
      </c>
      <c r="AA24" s="1810">
        <f t="shared" si="3"/>
        <v>1</v>
      </c>
      <c r="AB24" s="1810">
        <f t="shared" si="4"/>
        <v>1</v>
      </c>
      <c r="AC24" s="1810">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223"/>
      <c r="Q25" s="1794">
        <f t="shared" si="11"/>
        <v>111</v>
      </c>
      <c r="R25" s="770" t="s">
        <v>17</v>
      </c>
      <c r="S25" s="771">
        <f>F25</f>
        <v>100</v>
      </c>
      <c r="T25" s="770" t="s">
        <v>17</v>
      </c>
      <c r="U25" s="771">
        <f>H25</f>
        <v>100</v>
      </c>
      <c r="V25" s="770" t="s">
        <v>17</v>
      </c>
      <c r="W25" s="771">
        <f>J25</f>
        <v>100</v>
      </c>
      <c r="X25" s="772"/>
      <c r="Y25" s="3223"/>
      <c r="Z25" s="55">
        <f>Q25</f>
        <v>111</v>
      </c>
      <c r="AA25" s="1810">
        <f>D25/F25</f>
        <v>1</v>
      </c>
      <c r="AB25" s="1810">
        <f>D25/H25</f>
        <v>1</v>
      </c>
      <c r="AC25" s="1810">
        <f>D25/J25</f>
        <v>1</v>
      </c>
    </row>
    <row r="26" spans="1:29" ht="15">
      <c r="A26" s="466" t="s">
        <v>2564</v>
      </c>
      <c r="B26" s="71" t="s">
        <v>2715</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97"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7"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27"/>
      <c r="Q28" s="1809" t="str">
        <f t="shared" si="11"/>
        <v>物业等级</v>
      </c>
      <c r="R28" s="774" t="s">
        <v>17</v>
      </c>
      <c r="S28" s="775">
        <f t="shared" si="12"/>
        <v>100</v>
      </c>
      <c r="T28" s="774" t="s">
        <v>17</v>
      </c>
      <c r="U28" s="775">
        <f t="shared" si="13"/>
        <v>100</v>
      </c>
      <c r="V28" s="774" t="s">
        <v>17</v>
      </c>
      <c r="W28" s="775">
        <f t="shared" si="14"/>
        <v>100</v>
      </c>
      <c r="X28" s="1812"/>
      <c r="Y28" s="3227"/>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27"/>
      <c r="Q29" s="1809" t="str">
        <f t="shared" si="11"/>
        <v>有无电梯</v>
      </c>
      <c r="R29" s="774" t="s">
        <v>17</v>
      </c>
      <c r="S29" s="775">
        <f t="shared" si="12"/>
        <v>100</v>
      </c>
      <c r="T29" s="774" t="s">
        <v>17</v>
      </c>
      <c r="U29" s="775">
        <f t="shared" si="13"/>
        <v>100</v>
      </c>
      <c r="V29" s="774" t="s">
        <v>17</v>
      </c>
      <c r="W29" s="775">
        <f t="shared" si="14"/>
        <v>100</v>
      </c>
      <c r="X29" s="1812"/>
      <c r="Y29" s="3227"/>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27"/>
      <c r="Q30" s="1809" t="str">
        <f t="shared" si="11"/>
        <v>建筑面积</v>
      </c>
      <c r="R30" s="774" t="s">
        <v>17</v>
      </c>
      <c r="S30" s="775" t="e">
        <f t="shared" si="12"/>
        <v>#N/A</v>
      </c>
      <c r="T30" s="774" t="s">
        <v>17</v>
      </c>
      <c r="U30" s="775" t="e">
        <f t="shared" si="13"/>
        <v>#N/A</v>
      </c>
      <c r="V30" s="774" t="s">
        <v>17</v>
      </c>
      <c r="W30" s="775" t="e">
        <f t="shared" si="14"/>
        <v>#N/A</v>
      </c>
      <c r="X30" s="1812"/>
      <c r="Y30" s="3227"/>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27"/>
      <c r="Q31" s="1794"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27" t="s">
        <v>2566</v>
      </c>
      <c r="Q32" s="1809">
        <f t="shared" si="11"/>
        <v>111</v>
      </c>
      <c r="R32" s="774" t="s">
        <v>17</v>
      </c>
      <c r="S32" s="775">
        <f t="shared" si="12"/>
        <v>100</v>
      </c>
      <c r="T32" s="774" t="s">
        <v>17</v>
      </c>
      <c r="U32" s="775">
        <f t="shared" si="13"/>
        <v>100</v>
      </c>
      <c r="V32" s="774" t="s">
        <v>17</v>
      </c>
      <c r="W32" s="775">
        <f t="shared" si="14"/>
        <v>100</v>
      </c>
      <c r="X32" s="1812"/>
      <c r="Y32" s="3227" t="s">
        <v>2566</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27"/>
      <c r="Q33" s="1809">
        <f t="shared" si="11"/>
        <v>111</v>
      </c>
      <c r="R33" s="774" t="s">
        <v>17</v>
      </c>
      <c r="S33" s="775">
        <f t="shared" si="12"/>
        <v>100</v>
      </c>
      <c r="T33" s="774" t="s">
        <v>17</v>
      </c>
      <c r="U33" s="775">
        <f t="shared" si="13"/>
        <v>100</v>
      </c>
      <c r="V33" s="774" t="s">
        <v>17</v>
      </c>
      <c r="W33" s="775">
        <f t="shared" si="14"/>
        <v>100</v>
      </c>
      <c r="X33" s="1812"/>
      <c r="Y33" s="3227"/>
      <c r="Z33" s="1813">
        <f t="shared" si="15"/>
        <v>111</v>
      </c>
      <c r="AA33" s="1810">
        <f t="shared" si="3"/>
        <v>1</v>
      </c>
      <c r="AB33" s="1810">
        <f t="shared" si="4"/>
        <v>1</v>
      </c>
      <c r="AC33" s="1810">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27"/>
      <c r="Q34" s="1809">
        <f t="shared" si="11"/>
        <v>111</v>
      </c>
      <c r="R34" s="774" t="s">
        <v>17</v>
      </c>
      <c r="S34" s="775">
        <f t="shared" si="12"/>
        <v>100</v>
      </c>
      <c r="T34" s="774" t="s">
        <v>17</v>
      </c>
      <c r="U34" s="775">
        <f t="shared" si="13"/>
        <v>100</v>
      </c>
      <c r="V34" s="774" t="s">
        <v>17</v>
      </c>
      <c r="W34" s="775">
        <f t="shared" si="14"/>
        <v>100</v>
      </c>
      <c r="X34" s="1812"/>
      <c r="Y34" s="3227"/>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229" t="str">
        <f>A35</f>
        <v>成交单价（元/平方米）</v>
      </c>
      <c r="Q35" s="3229"/>
      <c r="R35" s="3230">
        <f>E35</f>
        <v>0</v>
      </c>
      <c r="S35" s="3230"/>
      <c r="T35" s="3230">
        <f>G35</f>
        <v>0</v>
      </c>
      <c r="U35" s="3230"/>
      <c r="V35" s="3230">
        <f>I35</f>
        <v>0</v>
      </c>
      <c r="W35" s="323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229" t="str">
        <f>A36</f>
        <v>比较价值（元/平方米）</v>
      </c>
      <c r="Q36" s="3229"/>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294" t="str">
        <f>A37</f>
        <v>估价对象XX用房的比较价值（楼面单价，元/平方米）</v>
      </c>
      <c r="Q37" s="3295"/>
      <c r="R37" s="3296" t="e">
        <f>IF(F1="售价",ROUND(AVERAGE(R36:V36),0),ROUND(AVERAGE(R36:V36),1))</f>
        <v>#DIV/0!</v>
      </c>
      <c r="S37" s="3296"/>
      <c r="T37" s="3296"/>
      <c r="U37" s="3296"/>
      <c r="V37" s="3296"/>
      <c r="W37" s="329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204" t="s">
        <v>2647</v>
      </c>
      <c r="D4" s="3205"/>
      <c r="E4" s="3206" t="s">
        <v>2648</v>
      </c>
      <c r="F4" s="3207"/>
      <c r="G4" s="3204" t="s">
        <v>2649</v>
      </c>
      <c r="H4" s="3205"/>
      <c r="I4" s="3204" t="s">
        <v>2650</v>
      </c>
      <c r="J4" s="3205"/>
      <c r="K4" s="610" t="s">
        <v>2651</v>
      </c>
      <c r="L4" s="1129"/>
      <c r="M4" s="1130"/>
      <c r="N4" s="1130"/>
      <c r="O4" s="1130"/>
      <c r="P4" s="3290" t="s">
        <v>2652</v>
      </c>
      <c r="Q4" s="3291"/>
      <c r="R4" s="3285" t="s">
        <v>2648</v>
      </c>
      <c r="S4" s="3286"/>
      <c r="T4" s="3285" t="s">
        <v>2649</v>
      </c>
      <c r="U4" s="3286"/>
      <c r="V4" s="3217" t="s">
        <v>2650</v>
      </c>
      <c r="W4" s="3217"/>
      <c r="X4" s="1812"/>
      <c r="Y4" s="3285" t="s">
        <v>2652</v>
      </c>
      <c r="Z4" s="3286"/>
      <c r="AA4" s="3284" t="s">
        <v>2648</v>
      </c>
      <c r="AB4" s="3186" t="s">
        <v>2649</v>
      </c>
      <c r="AC4" s="3284" t="s">
        <v>2650</v>
      </c>
    </row>
    <row r="5" spans="1:30" ht="15">
      <c r="A5" s="404"/>
      <c r="B5" s="405"/>
      <c r="C5" s="3196" t="s">
        <v>2543</v>
      </c>
      <c r="D5" s="3197"/>
      <c r="E5" s="3287" t="s">
        <v>2544</v>
      </c>
      <c r="F5" s="3195"/>
      <c r="G5" s="3196" t="s">
        <v>2545</v>
      </c>
      <c r="H5" s="3197"/>
      <c r="I5" s="3196" t="s">
        <v>2546</v>
      </c>
      <c r="J5" s="3197"/>
      <c r="K5" s="610"/>
      <c r="L5" s="1129"/>
      <c r="M5" s="1130"/>
      <c r="N5" s="1130"/>
      <c r="O5" s="1130"/>
      <c r="P5" s="3292"/>
      <c r="Q5" s="3211"/>
      <c r="R5" s="3192"/>
      <c r="S5" s="3193"/>
      <c r="T5" s="3192"/>
      <c r="U5" s="3193"/>
      <c r="V5" s="3217"/>
      <c r="W5" s="3217"/>
      <c r="X5" s="1812"/>
      <c r="Y5" s="3192"/>
      <c r="Z5" s="3193"/>
      <c r="AA5" s="3186"/>
      <c r="AB5" s="3186"/>
      <c r="AC5" s="3186"/>
    </row>
    <row r="6" spans="1:30" ht="15.75" thickBot="1">
      <c r="A6" s="406"/>
      <c r="B6" s="407"/>
      <c r="C6" s="3198" t="s">
        <v>2547</v>
      </c>
      <c r="D6" s="3199"/>
      <c r="E6" s="3288" t="s">
        <v>2547</v>
      </c>
      <c r="F6" s="3289"/>
      <c r="G6" s="3198" t="s">
        <v>2547</v>
      </c>
      <c r="H6" s="3199"/>
      <c r="I6" s="3198" t="s">
        <v>2547</v>
      </c>
      <c r="J6" s="3199"/>
      <c r="K6" s="610" t="s">
        <v>2548</v>
      </c>
      <c r="L6" s="1129"/>
      <c r="M6" s="1130"/>
      <c r="N6" s="1130"/>
      <c r="O6" s="1130"/>
      <c r="P6" s="3293"/>
      <c r="Q6" s="3213"/>
      <c r="R6" s="3192"/>
      <c r="S6" s="3193"/>
      <c r="T6" s="3214"/>
      <c r="U6" s="3215"/>
      <c r="V6" s="3217"/>
      <c r="W6" s="3217"/>
      <c r="X6" s="1812"/>
      <c r="Y6" s="3214"/>
      <c r="Z6" s="3215"/>
      <c r="AA6" s="3187"/>
      <c r="AB6" s="3187"/>
      <c r="AC6" s="3187"/>
    </row>
    <row r="7" spans="1:30" s="117" customFormat="1" ht="15.75" thickBot="1">
      <c r="A7" s="408" t="s">
        <v>2549</v>
      </c>
      <c r="B7" s="409"/>
      <c r="C7" s="410">
        <f>'数据-取费表'!B2</f>
        <v>43100</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188" t="s">
        <v>2550</v>
      </c>
      <c r="Q7" s="3219"/>
      <c r="R7" s="770" t="s">
        <v>17</v>
      </c>
      <c r="S7" s="771">
        <f t="shared" ref="S7:S15" si="0">F7</f>
        <v>0</v>
      </c>
      <c r="T7" s="770" t="s">
        <v>17</v>
      </c>
      <c r="U7" s="771">
        <f t="shared" ref="U7:U15" si="1">H7</f>
        <v>0</v>
      </c>
      <c r="V7" s="770" t="s">
        <v>17</v>
      </c>
      <c r="W7" s="771">
        <f t="shared" ref="W7:W15" si="2">J7</f>
        <v>0</v>
      </c>
      <c r="X7" s="772"/>
      <c r="Y7" s="3188" t="s">
        <v>2550</v>
      </c>
      <c r="Z7" s="3189"/>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88" t="s">
        <v>2553</v>
      </c>
      <c r="Q8" s="3189"/>
      <c r="R8" s="770" t="s">
        <v>17</v>
      </c>
      <c r="S8" s="771">
        <f t="shared" si="0"/>
        <v>0</v>
      </c>
      <c r="T8" s="770" t="s">
        <v>17</v>
      </c>
      <c r="U8" s="771">
        <f t="shared" si="1"/>
        <v>0</v>
      </c>
      <c r="V8" s="770" t="s">
        <v>17</v>
      </c>
      <c r="W8" s="771">
        <f t="shared" si="2"/>
        <v>0</v>
      </c>
      <c r="X8" s="772"/>
      <c r="Y8" s="3188" t="s">
        <v>2553</v>
      </c>
      <c r="Z8" s="3189"/>
      <c r="AA8" s="773" t="e">
        <f t="shared" ref="AA8:AA45" si="3">D8/F8</f>
        <v>#DIV/0!</v>
      </c>
      <c r="AB8" s="773" t="e">
        <f t="shared" ref="AB8:AB45" si="4">D8/H8</f>
        <v>#DIV/0!</v>
      </c>
      <c r="AC8" s="773" t="e">
        <f t="shared" ref="AC8:AC45" si="5">D8/J8</f>
        <v>#DIV/0!</v>
      </c>
    </row>
    <row r="9" spans="1:30" s="117" customFormat="1">
      <c r="A9" s="415" t="s">
        <v>2554</v>
      </c>
      <c r="B9" s="71" t="s">
        <v>2555</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229" t="s">
        <v>2556</v>
      </c>
      <c r="Q9" s="1794" t="str">
        <f t="shared" ref="Q9:Q15" si="6">B9</f>
        <v>用途</v>
      </c>
      <c r="R9" s="770" t="s">
        <v>17</v>
      </c>
      <c r="S9" s="771">
        <f t="shared" si="0"/>
        <v>100</v>
      </c>
      <c r="T9" s="770" t="s">
        <v>17</v>
      </c>
      <c r="U9" s="771">
        <f t="shared" si="1"/>
        <v>100</v>
      </c>
      <c r="V9" s="770" t="s">
        <v>17</v>
      </c>
      <c r="W9" s="771">
        <f t="shared" si="2"/>
        <v>100</v>
      </c>
      <c r="X9" s="772"/>
      <c r="Y9" s="3065"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4"/>
      <c r="M10" s="1135"/>
      <c r="N10" s="1135"/>
      <c r="O10" s="1136"/>
      <c r="P10" s="3229"/>
      <c r="Q10" s="1794" t="str">
        <f t="shared" si="6"/>
        <v>土地使用年限（年）</v>
      </c>
      <c r="R10" s="770" t="s">
        <v>17</v>
      </c>
      <c r="S10" s="771">
        <f t="shared" si="0"/>
        <v>104</v>
      </c>
      <c r="T10" s="770" t="s">
        <v>17</v>
      </c>
      <c r="U10" s="771">
        <f t="shared" si="1"/>
        <v>104</v>
      </c>
      <c r="V10" s="770" t="s">
        <v>17</v>
      </c>
      <c r="W10" s="771">
        <f t="shared" si="2"/>
        <v>104</v>
      </c>
      <c r="X10" s="772"/>
      <c r="Y10" s="3065"/>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29"/>
      <c r="Q11" s="1794"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29"/>
      <c r="Q12" s="1794" t="str">
        <f t="shared" si="6"/>
        <v>配建</v>
      </c>
      <c r="R12" s="770" t="s">
        <v>17</v>
      </c>
      <c r="S12" s="771">
        <f t="shared" si="0"/>
        <v>100</v>
      </c>
      <c r="T12" s="770" t="s">
        <v>17</v>
      </c>
      <c r="U12" s="771">
        <f t="shared" si="1"/>
        <v>100</v>
      </c>
      <c r="V12" s="770" t="s">
        <v>17</v>
      </c>
      <c r="W12" s="771">
        <f t="shared" si="2"/>
        <v>100</v>
      </c>
      <c r="X12" s="772"/>
      <c r="Y12" s="3065"/>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29"/>
      <c r="Q13" s="1794">
        <f t="shared" si="6"/>
        <v>111</v>
      </c>
      <c r="R13" s="770" t="s">
        <v>17</v>
      </c>
      <c r="S13" s="771">
        <f t="shared" si="0"/>
        <v>100</v>
      </c>
      <c r="T13" s="770" t="s">
        <v>17</v>
      </c>
      <c r="U13" s="771">
        <f t="shared" si="1"/>
        <v>100</v>
      </c>
      <c r="V13" s="770" t="s">
        <v>17</v>
      </c>
      <c r="W13" s="771">
        <f t="shared" si="2"/>
        <v>100</v>
      </c>
      <c r="X13" s="772"/>
      <c r="Y13" s="3065"/>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29"/>
      <c r="Q14" s="1794">
        <f t="shared" si="6"/>
        <v>111</v>
      </c>
      <c r="R14" s="770" t="s">
        <v>17</v>
      </c>
      <c r="S14" s="771">
        <f t="shared" si="0"/>
        <v>100</v>
      </c>
      <c r="T14" s="770" t="s">
        <v>17</v>
      </c>
      <c r="U14" s="771">
        <f t="shared" si="1"/>
        <v>100</v>
      </c>
      <c r="V14" s="770" t="s">
        <v>17</v>
      </c>
      <c r="W14" s="771">
        <f t="shared" si="2"/>
        <v>100</v>
      </c>
      <c r="X14" s="772"/>
      <c r="Y14" s="3065"/>
      <c r="Z14" s="55">
        <f t="shared" si="7"/>
        <v>111</v>
      </c>
      <c r="AA14" s="773">
        <f>D14/F14</f>
        <v>1</v>
      </c>
      <c r="AB14" s="773">
        <f>D14/H14</f>
        <v>1</v>
      </c>
      <c r="AC14" s="773">
        <f>D14/J14</f>
        <v>1</v>
      </c>
    </row>
    <row r="15" spans="1:30" ht="99.75">
      <c r="A15" s="440" t="s">
        <v>2560</v>
      </c>
      <c r="B15" s="69" t="s">
        <v>2087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2" t="s">
        <v>2561</v>
      </c>
      <c r="Q15" s="1809" t="str">
        <f t="shared" si="6"/>
        <v>居住社区成熟度</v>
      </c>
      <c r="R15" s="774" t="s">
        <v>17</v>
      </c>
      <c r="S15" s="775">
        <f t="shared" si="0"/>
        <v>100</v>
      </c>
      <c r="T15" s="774" t="s">
        <v>17</v>
      </c>
      <c r="U15" s="775">
        <f t="shared" si="1"/>
        <v>100</v>
      </c>
      <c r="V15" s="774" t="s">
        <v>17</v>
      </c>
      <c r="W15" s="775">
        <f t="shared" si="2"/>
        <v>100</v>
      </c>
      <c r="X15" s="1812"/>
      <c r="Y15" s="3222" t="s">
        <v>2561</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39"/>
      <c r="M16" s="1130"/>
      <c r="N16" s="1130"/>
      <c r="O16" s="1138"/>
      <c r="P16" s="3223"/>
      <c r="Q16" s="1809"/>
      <c r="R16" s="774"/>
      <c r="S16" s="775"/>
      <c r="T16" s="774"/>
      <c r="U16" s="775"/>
      <c r="V16" s="774"/>
      <c r="W16" s="775"/>
      <c r="X16" s="1812"/>
      <c r="Y16" s="3223"/>
      <c r="Z16" s="1813"/>
      <c r="AA16" s="1810">
        <v>1</v>
      </c>
      <c r="AB16" s="1810">
        <v>1</v>
      </c>
      <c r="AC16" s="1810">
        <v>1</v>
      </c>
    </row>
    <row r="17" spans="1:29" ht="71.25">
      <c r="A17" s="428"/>
      <c r="B17" s="451" t="s">
        <v>2654</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23"/>
      <c r="Q17" s="1809" t="str">
        <f>B17</f>
        <v>商业繁华度</v>
      </c>
      <c r="R17" s="774" t="s">
        <v>17</v>
      </c>
      <c r="S17" s="775">
        <f>F17</f>
        <v>100</v>
      </c>
      <c r="T17" s="774" t="s">
        <v>17</v>
      </c>
      <c r="U17" s="775">
        <f>H17</f>
        <v>100</v>
      </c>
      <c r="V17" s="774" t="s">
        <v>17</v>
      </c>
      <c r="W17" s="775">
        <f>J17</f>
        <v>100</v>
      </c>
      <c r="X17" s="1812"/>
      <c r="Y17" s="3223"/>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39"/>
      <c r="M18" s="1130"/>
      <c r="N18" s="1130"/>
      <c r="O18" s="1138"/>
      <c r="P18" s="3223"/>
      <c r="Q18" s="1809"/>
      <c r="R18" s="774"/>
      <c r="S18" s="775"/>
      <c r="T18" s="774"/>
      <c r="U18" s="775"/>
      <c r="V18" s="774"/>
      <c r="W18" s="775"/>
      <c r="X18" s="1812"/>
      <c r="Y18" s="3223"/>
      <c r="Z18" s="1813"/>
      <c r="AA18" s="1810">
        <v>1</v>
      </c>
      <c r="AB18" s="1810">
        <v>1</v>
      </c>
      <c r="AC18" s="1810">
        <v>1</v>
      </c>
    </row>
    <row r="19" spans="1:29" ht="57">
      <c r="A19" s="428"/>
      <c r="B19" s="451" t="s">
        <v>2688</v>
      </c>
      <c r="C19" s="2663" t="str">
        <f>估价对象房地状况!C17</f>
        <v>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23"/>
      <c r="Q19" s="1809" t="str">
        <f>B19</f>
        <v>办公集聚程度</v>
      </c>
      <c r="R19" s="774" t="s">
        <v>17</v>
      </c>
      <c r="S19" s="775">
        <f>F19</f>
        <v>100</v>
      </c>
      <c r="T19" s="774" t="s">
        <v>17</v>
      </c>
      <c r="U19" s="775">
        <f>H19</f>
        <v>100</v>
      </c>
      <c r="V19" s="774" t="s">
        <v>17</v>
      </c>
      <c r="W19" s="775">
        <f>J19</f>
        <v>100</v>
      </c>
      <c r="X19" s="1812"/>
      <c r="Y19" s="3223"/>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39"/>
      <c r="M20" s="1130"/>
      <c r="N20" s="1130"/>
      <c r="O20" s="1138"/>
      <c r="P20" s="3223"/>
      <c r="Q20" s="1809"/>
      <c r="R20" s="774"/>
      <c r="S20" s="775"/>
      <c r="T20" s="774"/>
      <c r="U20" s="775"/>
      <c r="V20" s="774"/>
      <c r="W20" s="775"/>
      <c r="X20" s="1812"/>
      <c r="Y20" s="3223"/>
      <c r="Z20" s="1813"/>
      <c r="AA20" s="1810">
        <v>1</v>
      </c>
      <c r="AB20" s="1810">
        <v>1</v>
      </c>
      <c r="AC20" s="1810">
        <v>1</v>
      </c>
    </row>
    <row r="21" spans="1:29" ht="71.25">
      <c r="A21" s="428"/>
      <c r="B21" s="451" t="s">
        <v>2710</v>
      </c>
      <c r="C21" s="2606" t="str">
        <f>估价对象房地状况!C18</f>
        <v>估价对象周边道路通达、公共交通便捷、停车便捷，综合评价交通便捷度较好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23"/>
      <c r="Q21" s="1809" t="str">
        <f>B21</f>
        <v>交通便捷度</v>
      </c>
      <c r="R21" s="774" t="s">
        <v>17</v>
      </c>
      <c r="S21" s="775">
        <f>F21</f>
        <v>100</v>
      </c>
      <c r="T21" s="774" t="s">
        <v>17</v>
      </c>
      <c r="U21" s="775">
        <f>H21</f>
        <v>100</v>
      </c>
      <c r="V21" s="774" t="s">
        <v>17</v>
      </c>
      <c r="W21" s="775">
        <f>J21</f>
        <v>100</v>
      </c>
      <c r="X21" s="1812"/>
      <c r="Y21" s="3223"/>
      <c r="Z21" s="1813" t="str">
        <f>Q21</f>
        <v>交通便捷度</v>
      </c>
      <c r="AA21" s="1810">
        <f t="shared" si="3"/>
        <v>1</v>
      </c>
      <c r="AB21" s="1810">
        <f t="shared" si="4"/>
        <v>1</v>
      </c>
      <c r="AC21" s="1810">
        <f t="shared" si="5"/>
        <v>1</v>
      </c>
    </row>
    <row r="22" spans="1:29" ht="15">
      <c r="A22" s="428"/>
      <c r="B22" s="1383"/>
      <c r="C22" s="447"/>
      <c r="D22" s="450"/>
      <c r="E22" s="2604"/>
      <c r="F22" s="448"/>
      <c r="G22" s="2604"/>
      <c r="H22" s="448"/>
      <c r="I22" s="2603"/>
      <c r="J22" s="448"/>
      <c r="K22" s="672"/>
      <c r="L22" s="1139"/>
      <c r="M22" s="1130"/>
      <c r="N22" s="1130"/>
      <c r="O22" s="1138"/>
      <c r="P22" s="3223"/>
      <c r="Q22" s="1809"/>
      <c r="R22" s="774"/>
      <c r="S22" s="775"/>
      <c r="T22" s="774"/>
      <c r="U22" s="775"/>
      <c r="V22" s="774"/>
      <c r="W22" s="775"/>
      <c r="X22" s="1812"/>
      <c r="Y22" s="3223"/>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23"/>
      <c r="Q23" s="1809" t="str">
        <f t="shared" ref="Q23:Q37" si="8">B23</f>
        <v>区域土地利用方向</v>
      </c>
      <c r="R23" s="774" t="s">
        <v>17</v>
      </c>
      <c r="S23" s="775">
        <f>F23</f>
        <v>100</v>
      </c>
      <c r="T23" s="774" t="s">
        <v>17</v>
      </c>
      <c r="U23" s="775">
        <f>H23</f>
        <v>100</v>
      </c>
      <c r="V23" s="774" t="s">
        <v>17</v>
      </c>
      <c r="W23" s="775">
        <f>J23</f>
        <v>100</v>
      </c>
      <c r="X23" s="1812"/>
      <c r="Y23" s="3223"/>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08"/>
      <c r="L24" s="1139"/>
      <c r="M24" s="1130"/>
      <c r="N24" s="1130"/>
      <c r="O24" s="1138"/>
      <c r="P24" s="3223"/>
      <c r="Q24" s="1809"/>
      <c r="R24" s="774"/>
      <c r="S24" s="775"/>
      <c r="T24" s="774"/>
      <c r="U24" s="775"/>
      <c r="V24" s="774"/>
      <c r="W24" s="775"/>
      <c r="X24" s="1812"/>
      <c r="Y24" s="3223"/>
      <c r="Z24" s="1813"/>
      <c r="AA24" s="1810"/>
      <c r="AB24" s="1810"/>
      <c r="AC24" s="1810"/>
    </row>
    <row r="25" spans="1:29" ht="57">
      <c r="A25" s="404"/>
      <c r="B25" s="1383" t="s">
        <v>2750</v>
      </c>
      <c r="C25" s="2663" t="str">
        <f>估价对象房地状况!C20</f>
        <v>区域自然环境较好；人文环境一般；综合评价环境状况较好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23"/>
      <c r="Q25" s="1809" t="str">
        <f t="shared" si="8"/>
        <v>自然及人文环境状况</v>
      </c>
      <c r="R25" s="774" t="s">
        <v>17</v>
      </c>
      <c r="S25" s="775">
        <f>F25</f>
        <v>100</v>
      </c>
      <c r="T25" s="774" t="s">
        <v>17</v>
      </c>
      <c r="U25" s="775">
        <f>H25</f>
        <v>100</v>
      </c>
      <c r="V25" s="774" t="s">
        <v>17</v>
      </c>
      <c r="W25" s="775">
        <f>J25</f>
        <v>100</v>
      </c>
      <c r="X25" s="1812"/>
      <c r="Y25" s="3223"/>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39"/>
      <c r="M26" s="1130"/>
      <c r="N26" s="1130"/>
      <c r="O26" s="1138"/>
      <c r="P26" s="3223"/>
      <c r="Q26" s="1809"/>
      <c r="R26" s="774"/>
      <c r="S26" s="775"/>
      <c r="T26" s="774"/>
      <c r="U26" s="775"/>
      <c r="V26" s="774"/>
      <c r="W26" s="775"/>
      <c r="X26" s="1812"/>
      <c r="Y26" s="3223"/>
      <c r="Z26" s="1813"/>
      <c r="AA26" s="1810">
        <v>1</v>
      </c>
      <c r="AB26" s="1810">
        <v>1</v>
      </c>
      <c r="AC26" s="1810">
        <v>1</v>
      </c>
    </row>
    <row r="27" spans="1:29" s="117" customFormat="1" ht="42.75">
      <c r="A27" s="649"/>
      <c r="B27" s="1383" t="s">
        <v>2655</v>
      </c>
      <c r="C27" s="2606" t="str">
        <f>估价对象房地状况!C21</f>
        <v>估价对象所在区域公共配套设施较齐备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23"/>
      <c r="Q27" s="1794" t="str">
        <f t="shared" si="8"/>
        <v>公共配套设施</v>
      </c>
      <c r="R27" s="770" t="s">
        <v>17</v>
      </c>
      <c r="S27" s="771">
        <f>F27</f>
        <v>100</v>
      </c>
      <c r="T27" s="770" t="s">
        <v>17</v>
      </c>
      <c r="U27" s="771">
        <f>H27</f>
        <v>100</v>
      </c>
      <c r="V27" s="770" t="s">
        <v>17</v>
      </c>
      <c r="W27" s="771">
        <f>J27</f>
        <v>100</v>
      </c>
      <c r="X27" s="772"/>
      <c r="Y27" s="3223"/>
      <c r="Z27" s="55" t="str">
        <f>Q27</f>
        <v>公共配套设施</v>
      </c>
      <c r="AA27" s="1810">
        <f>D27/F27</f>
        <v>1</v>
      </c>
      <c r="AB27" s="1810">
        <f>D27/H27</f>
        <v>1</v>
      </c>
      <c r="AC27" s="1810">
        <f>D27/J27</f>
        <v>1</v>
      </c>
    </row>
    <row r="28" spans="1:29" s="117" customFormat="1" ht="15">
      <c r="A28" s="649"/>
      <c r="B28" s="456"/>
      <c r="C28" s="2698"/>
      <c r="D28" s="448"/>
      <c r="E28" s="2610"/>
      <c r="F28" s="448"/>
      <c r="G28" s="2610"/>
      <c r="H28" s="448"/>
      <c r="I28" s="447"/>
      <c r="J28" s="448"/>
      <c r="K28" s="672"/>
      <c r="L28" s="1131"/>
      <c r="M28" s="1132"/>
      <c r="N28" s="1132"/>
      <c r="O28" s="1133"/>
      <c r="P28" s="3223"/>
      <c r="Q28" s="1794"/>
      <c r="R28" s="770"/>
      <c r="S28" s="771"/>
      <c r="T28" s="770"/>
      <c r="U28" s="771"/>
      <c r="V28" s="770"/>
      <c r="W28" s="771"/>
      <c r="X28" s="772"/>
      <c r="Y28" s="3223"/>
      <c r="Z28" s="55"/>
      <c r="AA28" s="1810">
        <v>1</v>
      </c>
      <c r="AB28" s="1810">
        <v>1</v>
      </c>
      <c r="AC28" s="1810">
        <v>1</v>
      </c>
    </row>
    <row r="29" spans="1:29" s="117" customFormat="1" ht="42.75">
      <c r="A29" s="649"/>
      <c r="B29" s="1383" t="s">
        <v>2656</v>
      </c>
      <c r="C29" s="2606"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23"/>
      <c r="Q29" s="1794"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1"/>
      <c r="M30" s="1132"/>
      <c r="N30" s="1132"/>
      <c r="O30" s="1133"/>
      <c r="P30" s="3223"/>
      <c r="Q30" s="1794"/>
      <c r="R30" s="770"/>
      <c r="S30" s="771"/>
      <c r="T30" s="770"/>
      <c r="U30" s="771"/>
      <c r="V30" s="770"/>
      <c r="W30" s="771"/>
      <c r="X30" s="772"/>
      <c r="Y30" s="3223"/>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2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23"/>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23"/>
      <c r="Q32" s="1809" t="str">
        <f t="shared" si="8"/>
        <v>毗邻道路的类型与等级</v>
      </c>
      <c r="R32" s="774" t="s">
        <v>17</v>
      </c>
      <c r="S32" s="775">
        <f t="shared" si="10"/>
        <v>100</v>
      </c>
      <c r="T32" s="774" t="s">
        <v>17</v>
      </c>
      <c r="U32" s="775">
        <f t="shared" si="11"/>
        <v>100</v>
      </c>
      <c r="V32" s="774" t="s">
        <v>17</v>
      </c>
      <c r="W32" s="775">
        <f t="shared" si="12"/>
        <v>100</v>
      </c>
      <c r="X32" s="1812"/>
      <c r="Y32" s="3223"/>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39"/>
      <c r="M33" s="1130"/>
      <c r="N33" s="1130"/>
      <c r="O33" s="1138"/>
      <c r="P33" s="3223"/>
      <c r="Q33" s="1809"/>
      <c r="R33" s="774"/>
      <c r="S33" s="775"/>
      <c r="T33" s="774"/>
      <c r="U33" s="775"/>
      <c r="V33" s="774"/>
      <c r="W33" s="775"/>
      <c r="X33" s="1812"/>
      <c r="Y33" s="3223"/>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23"/>
      <c r="Q34" s="1809" t="str">
        <f t="shared" si="8"/>
        <v>土地级别</v>
      </c>
      <c r="R34" s="774" t="s">
        <v>17</v>
      </c>
      <c r="S34" s="775">
        <f t="shared" si="10"/>
        <v>100</v>
      </c>
      <c r="T34" s="774" t="s">
        <v>17</v>
      </c>
      <c r="U34" s="775">
        <f t="shared" si="11"/>
        <v>100</v>
      </c>
      <c r="V34" s="774" t="s">
        <v>17</v>
      </c>
      <c r="W34" s="775">
        <f t="shared" si="12"/>
        <v>100</v>
      </c>
      <c r="X34" s="1812"/>
      <c r="Y34" s="3223"/>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23"/>
      <c r="Q35" s="1809">
        <f t="shared" si="8"/>
        <v>111</v>
      </c>
      <c r="R35" s="774" t="s">
        <v>17</v>
      </c>
      <c r="S35" s="775">
        <f t="shared" si="10"/>
        <v>100</v>
      </c>
      <c r="T35" s="774" t="s">
        <v>17</v>
      </c>
      <c r="U35" s="775">
        <f t="shared" si="11"/>
        <v>100</v>
      </c>
      <c r="V35" s="774" t="s">
        <v>17</v>
      </c>
      <c r="W35" s="775">
        <f t="shared" si="12"/>
        <v>100</v>
      </c>
      <c r="X35" s="1812"/>
      <c r="Y35" s="3223"/>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7" t="s">
        <v>2566</v>
      </c>
      <c r="Q36" s="1809">
        <f t="shared" si="8"/>
        <v>111</v>
      </c>
      <c r="R36" s="774" t="s">
        <v>17</v>
      </c>
      <c r="S36" s="775">
        <f t="shared" si="10"/>
        <v>100</v>
      </c>
      <c r="T36" s="774" t="s">
        <v>17</v>
      </c>
      <c r="U36" s="775">
        <f t="shared" si="11"/>
        <v>100</v>
      </c>
      <c r="V36" s="774" t="s">
        <v>17</v>
      </c>
      <c r="W36" s="775">
        <f t="shared" si="12"/>
        <v>100</v>
      </c>
      <c r="X36" s="1812"/>
      <c r="Y36" s="3227"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27"/>
      <c r="Q37" s="1809">
        <f t="shared" si="8"/>
        <v>111</v>
      </c>
      <c r="R37" s="777" t="s">
        <v>17</v>
      </c>
      <c r="S37" s="778">
        <f t="shared" si="10"/>
        <v>100</v>
      </c>
      <c r="T37" s="777" t="s">
        <v>17</v>
      </c>
      <c r="U37" s="778">
        <f t="shared" si="11"/>
        <v>100</v>
      </c>
      <c r="V37" s="777" t="s">
        <v>17</v>
      </c>
      <c r="W37" s="778">
        <f t="shared" si="12"/>
        <v>100</v>
      </c>
      <c r="X37" s="779"/>
      <c r="Y37" s="3227"/>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27"/>
      <c r="Q38" s="1809" t="str">
        <f>B38</f>
        <v>宗地面积</v>
      </c>
      <c r="R38" s="774" t="s">
        <v>17</v>
      </c>
      <c r="S38" s="775" t="e">
        <f t="shared" si="10"/>
        <v>#N/A</v>
      </c>
      <c r="T38" s="774" t="s">
        <v>17</v>
      </c>
      <c r="U38" s="775" t="e">
        <f t="shared" si="11"/>
        <v>#N/A</v>
      </c>
      <c r="V38" s="774" t="s">
        <v>17</v>
      </c>
      <c r="W38" s="775" t="e">
        <f t="shared" si="12"/>
        <v>#N/A</v>
      </c>
      <c r="X38" s="1812"/>
      <c r="Y38" s="3227"/>
      <c r="Z38" s="1813" t="str">
        <f t="shared" si="13"/>
        <v>宗地面积</v>
      </c>
      <c r="AA38" s="1810" t="e">
        <f t="shared" si="3"/>
        <v>#N/A</v>
      </c>
      <c r="AB38" s="1810" t="e">
        <f t="shared" si="4"/>
        <v>#N/A</v>
      </c>
      <c r="AC38" s="1810"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227"/>
      <c r="Q39" s="1809" t="str">
        <f t="shared" ref="Q39:Q45" si="14">B39</f>
        <v>宗地形状</v>
      </c>
      <c r="R39" s="774" t="s">
        <v>17</v>
      </c>
      <c r="S39" s="775">
        <f t="shared" si="10"/>
        <v>100</v>
      </c>
      <c r="T39" s="774" t="s">
        <v>17</v>
      </c>
      <c r="U39" s="775">
        <f t="shared" si="11"/>
        <v>100</v>
      </c>
      <c r="V39" s="774" t="s">
        <v>17</v>
      </c>
      <c r="W39" s="775">
        <f t="shared" si="12"/>
        <v>100</v>
      </c>
      <c r="X39" s="1812"/>
      <c r="Y39" s="3227"/>
      <c r="Z39" s="1813" t="str">
        <f t="shared" si="13"/>
        <v>宗地形状</v>
      </c>
      <c r="AA39" s="1810">
        <f t="shared" si="3"/>
        <v>1</v>
      </c>
      <c r="AB39" s="1810">
        <f t="shared" si="4"/>
        <v>1</v>
      </c>
      <c r="AC39" s="1810">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227"/>
      <c r="Q40" s="1809" t="str">
        <f t="shared" si="14"/>
        <v>临街宽度及深度</v>
      </c>
      <c r="R40" s="774" t="s">
        <v>17</v>
      </c>
      <c r="S40" s="775">
        <f t="shared" si="10"/>
        <v>100</v>
      </c>
      <c r="T40" s="774" t="s">
        <v>17</v>
      </c>
      <c r="U40" s="775">
        <f t="shared" si="11"/>
        <v>100</v>
      </c>
      <c r="V40" s="774" t="s">
        <v>17</v>
      </c>
      <c r="W40" s="775">
        <f t="shared" si="12"/>
        <v>100</v>
      </c>
      <c r="X40" s="1812"/>
      <c r="Y40" s="3227"/>
      <c r="Z40" s="1813" t="str">
        <f t="shared" si="13"/>
        <v>临街宽度及深度</v>
      </c>
      <c r="AA40" s="1810">
        <f t="shared" si="3"/>
        <v>1</v>
      </c>
      <c r="AB40" s="1810">
        <f t="shared" si="4"/>
        <v>1</v>
      </c>
      <c r="AC40" s="1810">
        <f t="shared" si="5"/>
        <v>1</v>
      </c>
    </row>
    <row r="41" spans="1:29" s="117" customFormat="1" ht="15">
      <c r="A41" s="473"/>
      <c r="B41" s="422" t="s">
        <v>2755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227"/>
      <c r="Q41" s="1809" t="str">
        <f t="shared" si="14"/>
        <v>宗地开发程度</v>
      </c>
      <c r="R41" s="770" t="s">
        <v>17</v>
      </c>
      <c r="S41" s="771">
        <f t="shared" si="10"/>
        <v>100</v>
      </c>
      <c r="T41" s="770" t="s">
        <v>17</v>
      </c>
      <c r="U41" s="771">
        <f t="shared" si="11"/>
        <v>100</v>
      </c>
      <c r="V41" s="770" t="s">
        <v>17</v>
      </c>
      <c r="W41" s="771">
        <f t="shared" si="12"/>
        <v>100</v>
      </c>
      <c r="X41" s="772"/>
      <c r="Y41" s="3227"/>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227" t="s">
        <v>2566</v>
      </c>
      <c r="Q42" s="1809" t="str">
        <f t="shared" si="14"/>
        <v>工程地质条件</v>
      </c>
      <c r="R42" s="774" t="s">
        <v>17</v>
      </c>
      <c r="S42" s="775">
        <f t="shared" si="10"/>
        <v>100</v>
      </c>
      <c r="T42" s="774" t="s">
        <v>17</v>
      </c>
      <c r="U42" s="775">
        <f t="shared" si="11"/>
        <v>100</v>
      </c>
      <c r="V42" s="774" t="s">
        <v>17</v>
      </c>
      <c r="W42" s="775">
        <f t="shared" si="12"/>
        <v>100</v>
      </c>
      <c r="X42" s="1812"/>
      <c r="Y42" s="3227"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27"/>
      <c r="Q43" s="1809">
        <f t="shared" si="14"/>
        <v>111</v>
      </c>
      <c r="R43" s="774" t="s">
        <v>17</v>
      </c>
      <c r="S43" s="775">
        <f t="shared" si="10"/>
        <v>100</v>
      </c>
      <c r="T43" s="774" t="s">
        <v>17</v>
      </c>
      <c r="U43" s="775">
        <f t="shared" si="11"/>
        <v>100</v>
      </c>
      <c r="V43" s="774" t="s">
        <v>17</v>
      </c>
      <c r="W43" s="775">
        <f t="shared" si="12"/>
        <v>100</v>
      </c>
      <c r="X43" s="1812"/>
      <c r="Y43" s="3227"/>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27"/>
      <c r="Q44" s="1809">
        <f t="shared" si="14"/>
        <v>111</v>
      </c>
      <c r="R44" s="774" t="s">
        <v>17</v>
      </c>
      <c r="S44" s="775">
        <f t="shared" si="10"/>
        <v>100</v>
      </c>
      <c r="T44" s="774" t="s">
        <v>17</v>
      </c>
      <c r="U44" s="775">
        <f t="shared" si="11"/>
        <v>100</v>
      </c>
      <c r="V44" s="774" t="s">
        <v>17</v>
      </c>
      <c r="W44" s="775">
        <f t="shared" si="12"/>
        <v>100</v>
      </c>
      <c r="X44" s="1812"/>
      <c r="Y44" s="3227"/>
      <c r="Z44" s="1813">
        <f t="shared" si="13"/>
        <v>111</v>
      </c>
      <c r="AA44" s="1810">
        <f t="shared" si="3"/>
        <v>1</v>
      </c>
      <c r="AB44" s="1810">
        <f t="shared" si="4"/>
        <v>1</v>
      </c>
      <c r="AC44" s="1810">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27"/>
      <c r="Q45" s="1809">
        <f t="shared" si="14"/>
        <v>111</v>
      </c>
      <c r="R45" s="777" t="s">
        <v>17</v>
      </c>
      <c r="S45" s="778">
        <f t="shared" si="10"/>
        <v>100</v>
      </c>
      <c r="T45" s="777" t="s">
        <v>17</v>
      </c>
      <c r="U45" s="778">
        <f t="shared" si="11"/>
        <v>100</v>
      </c>
      <c r="V45" s="777" t="s">
        <v>17</v>
      </c>
      <c r="W45" s="778">
        <f t="shared" si="12"/>
        <v>100</v>
      </c>
      <c r="X45" s="779"/>
      <c r="Y45" s="3227"/>
      <c r="Z45" s="780">
        <f t="shared" si="13"/>
        <v>111</v>
      </c>
      <c r="AA45" s="1810">
        <f t="shared" si="3"/>
        <v>1</v>
      </c>
      <c r="AB45" s="1810">
        <f t="shared" si="4"/>
        <v>1</v>
      </c>
      <c r="AC45" s="1810">
        <f t="shared" si="5"/>
        <v>1</v>
      </c>
    </row>
    <row r="46" spans="1:29" ht="15">
      <c r="A46" s="479" t="s">
        <v>2721</v>
      </c>
      <c r="B46" s="2702" t="s">
        <v>2757</v>
      </c>
      <c r="C46" s="682" t="s">
        <v>1</v>
      </c>
      <c r="D46" s="481"/>
      <c r="E46" s="482"/>
      <c r="F46" s="483"/>
      <c r="G46" s="484"/>
      <c r="H46" s="485"/>
      <c r="I46" s="482"/>
      <c r="J46" s="485"/>
      <c r="K46" s="783"/>
      <c r="L46" s="1142"/>
      <c r="M46" s="1143"/>
      <c r="N46" s="1130"/>
      <c r="O46" s="1143"/>
      <c r="P46" s="3229" t="str">
        <f>A46</f>
        <v>成交单价</v>
      </c>
      <c r="Q46" s="3229"/>
      <c r="R46" s="3217">
        <f>E46</f>
        <v>0</v>
      </c>
      <c r="S46" s="3217"/>
      <c r="T46" s="3217">
        <f>G46</f>
        <v>0</v>
      </c>
      <c r="U46" s="3217"/>
      <c r="V46" s="3217">
        <f>I46</f>
        <v>0</v>
      </c>
      <c r="W46" s="321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229" t="str">
        <f>A47</f>
        <v>比较价值（元/平方米）</v>
      </c>
      <c r="Q47" s="3229"/>
      <c r="R47" s="3298" t="e">
        <f>ROUND(PRODUCT(R46,AA7:AA45),0)</f>
        <v>#DIV/0!</v>
      </c>
      <c r="S47" s="3298"/>
      <c r="T47" s="3298" t="e">
        <f>ROUND(PRODUCT(T46,AB7:AB45),0)</f>
        <v>#DIV/0!</v>
      </c>
      <c r="U47" s="3298"/>
      <c r="V47" s="3298" t="e">
        <f>ROUND(PRODUCT(V46,AC7:AC45),0)</f>
        <v>#DIV/0!</v>
      </c>
      <c r="W47" s="329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294" t="str">
        <f>A48</f>
        <v>估价对象XX用房的比较价值（楼面单价，元/平方米）</v>
      </c>
      <c r="Q48" s="3295"/>
      <c r="R48" s="3299" t="e">
        <f>ROUND(AVERAGE(R47:V47),0)</f>
        <v>#DIV/0!</v>
      </c>
      <c r="S48" s="3299"/>
      <c r="T48" s="3299"/>
      <c r="U48" s="3299"/>
      <c r="V48" s="3299"/>
      <c r="W48" s="329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3" t="s">
        <v>2761</v>
      </c>
      <c r="D55" s="2704" t="s">
        <v>2762</v>
      </c>
      <c r="E55" s="686" t="s">
        <v>2763</v>
      </c>
      <c r="F55" s="1106" t="s">
        <v>2764</v>
      </c>
      <c r="G55" s="3204" t="s">
        <v>2765</v>
      </c>
      <c r="H55" s="3300"/>
      <c r="I55" s="144" t="s">
        <v>2766</v>
      </c>
      <c r="J55" s="2705">
        <f>项目基本情况!F35</f>
        <v>0</v>
      </c>
      <c r="K55" s="2706" t="s">
        <v>2767</v>
      </c>
      <c r="L55" s="1105"/>
      <c r="M55" s="1143"/>
      <c r="N55" s="1143"/>
      <c r="O55" s="1143"/>
    </row>
    <row r="56" spans="1:15" s="692" customFormat="1">
      <c r="A56" s="688" t="s">
        <v>2768</v>
      </c>
      <c r="B56" s="689" t="e">
        <f>C48</f>
        <v>#DIV/0!</v>
      </c>
      <c r="C56" s="690">
        <v>1</v>
      </c>
      <c r="D56" s="1162">
        <v>1</v>
      </c>
      <c r="E56" s="690">
        <f>'数据-汇总表'!E8+'数据-汇总表'!E9</f>
        <v>25919.38</v>
      </c>
      <c r="F56" s="1102" t="e">
        <f t="shared" ref="F56:F65" si="15">ROUND(B56*E56/10000,0)</f>
        <v>#DIV/0!</v>
      </c>
      <c r="G56" s="3200"/>
      <c r="H56" s="3229"/>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301"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301"/>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301"/>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301"/>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7"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8246.2800000000007</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7128.3</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07"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8" t="s">
        <v>2775</v>
      </c>
      <c r="H65" s="1113" t="str">
        <f>项目基本情况!C37</f>
        <v>五级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41293.960000000006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09" t="s">
        <v>2783</v>
      </c>
      <c r="B70" s="1358"/>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7" customFormat="1" ht="30" customHeight="1">
      <c r="A71" s="2710" t="s">
        <v>2784</v>
      </c>
      <c r="B71" s="332" t="str">
        <f>"北京市平均增长率"&amp;TEXT(SUMIF(基准地价修正!N21:N25,A71,基准地价修正!P21:P25),"0.00%")</f>
        <v>北京市平均增长率2.71%</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估价结果一览表（市场价值不需“结果表-1”）</v>
      </c>
      <c r="B3" s="3005"/>
      <c r="C3" s="3005"/>
      <c r="D3" s="3005"/>
      <c r="E3" s="3005"/>
    </row>
    <row r="4" spans="1:5" ht="19.5" thickBot="1">
      <c r="A4" s="1960"/>
      <c r="B4" s="3003" t="s">
        <v>1630</v>
      </c>
      <c r="C4" s="3003"/>
      <c r="D4" s="3003"/>
      <c r="E4" s="1960"/>
    </row>
    <row r="5" spans="1:5" ht="16.5" thickTop="1">
      <c r="A5" s="1958"/>
      <c r="B5" s="3001" t="s">
        <v>1622</v>
      </c>
      <c r="C5" s="1961" t="s">
        <v>1623</v>
      </c>
      <c r="D5" s="1039">
        <f ca="1">结果表仓储!H101</f>
        <v>25728</v>
      </c>
      <c r="E5" s="1958"/>
    </row>
    <row r="6" spans="1:5" ht="15.75">
      <c r="A6" s="1958"/>
      <c r="B6" s="3001"/>
      <c r="C6" s="1961" t="s">
        <v>1624</v>
      </c>
      <c r="D6" s="1039" t="str">
        <f ca="1">NUMBERSTRING(INT(D5*10000),2)&amp;"元整"</f>
        <v>贰亿伍仟柒佰贰拾捌万元整</v>
      </c>
      <c r="E6" s="1958"/>
    </row>
    <row r="7" spans="1:5" ht="15.75">
      <c r="A7" s="1958"/>
      <c r="B7" s="3006"/>
      <c r="C7" s="1962" t="s">
        <v>1625</v>
      </c>
      <c r="D7" s="1040">
        <f ca="1">结果表仓储!H102</f>
        <v>31200</v>
      </c>
      <c r="E7" s="1958"/>
    </row>
    <row r="8" spans="1:5" ht="15.75">
      <c r="A8" s="1958"/>
      <c r="B8" s="3007" t="str">
        <f>结果表仓储!E103</f>
        <v>2.估价师知悉的法定优先受偿款</v>
      </c>
      <c r="C8" s="1963" t="s">
        <v>1626</v>
      </c>
      <c r="D8" s="1040">
        <f>结果表仓储!H103</f>
        <v>0</v>
      </c>
      <c r="E8" s="1958"/>
    </row>
    <row r="9" spans="1:5" ht="15.75">
      <c r="A9" s="1958"/>
      <c r="B9" s="3009"/>
      <c r="C9" s="1961" t="s">
        <v>1624</v>
      </c>
      <c r="D9" s="1039" t="str">
        <f>NUMBERSTRING(INT(D8*10000),2)&amp;"元整"</f>
        <v>零元整</v>
      </c>
      <c r="E9" s="1958"/>
    </row>
    <row r="10" spans="1:5" ht="15">
      <c r="A10" s="1958"/>
      <c r="B10" s="1964" t="s">
        <v>1629</v>
      </c>
      <c r="C10" s="1965" t="s">
        <v>1627</v>
      </c>
      <c r="D10" s="1041">
        <f>结果表仓储!H104</f>
        <v>0</v>
      </c>
      <c r="E10" s="1958"/>
    </row>
    <row r="11" spans="1:5" ht="15">
      <c r="A11" s="1958"/>
      <c r="B11" s="1964" t="s">
        <v>1631</v>
      </c>
      <c r="C11" s="1965" t="s">
        <v>1632</v>
      </c>
      <c r="D11" s="1041">
        <f>结果表仓储!H105</f>
        <v>0</v>
      </c>
      <c r="E11" s="1958"/>
    </row>
    <row r="12" spans="1:5" ht="15">
      <c r="A12" s="1958"/>
      <c r="B12" s="1964" t="s">
        <v>1633</v>
      </c>
      <c r="C12" s="1965" t="s">
        <v>1632</v>
      </c>
      <c r="D12" s="1041">
        <f>结果表仓储!H106</f>
        <v>0</v>
      </c>
      <c r="E12" s="1958"/>
    </row>
    <row r="13" spans="1:5" ht="15.75">
      <c r="A13" s="1958"/>
      <c r="B13" s="3000" t="str">
        <f>结果表仓储!E107</f>
        <v>3.房地产抵押价值</v>
      </c>
      <c r="C13" s="1966" t="s">
        <v>1623</v>
      </c>
      <c r="D13" s="1042">
        <f ca="1">结果表仓储!H107</f>
        <v>25728</v>
      </c>
      <c r="E13" s="1958"/>
    </row>
    <row r="14" spans="1:5" ht="15.75">
      <c r="A14" s="1958"/>
      <c r="B14" s="3001"/>
      <c r="C14" s="1961" t="s">
        <v>1624</v>
      </c>
      <c r="D14" s="1039" t="str">
        <f ca="1">NUMBERSTRING(INT(D13*10000),2)&amp;"元整"</f>
        <v>贰亿伍仟柒佰贰拾捌万元整</v>
      </c>
      <c r="E14" s="1958"/>
    </row>
    <row r="15" spans="1:5" ht="15">
      <c r="A15" s="1958"/>
      <c r="B15" s="3006"/>
      <c r="C15" s="1962" t="s">
        <v>1634</v>
      </c>
      <c r="D15" s="1051">
        <f ca="1">结果表仓储!H108</f>
        <v>6230</v>
      </c>
      <c r="E15" s="1958"/>
    </row>
    <row r="16" spans="1:5" ht="15">
      <c r="A16" s="1958"/>
      <c r="B16" s="3007" t="str">
        <f>结果表仓储!E109</f>
        <v>——</v>
      </c>
      <c r="C16" s="1966" t="s">
        <v>1635</v>
      </c>
      <c r="D16" s="1967" t="str">
        <f>结果表仓储!H109</f>
        <v>——</v>
      </c>
      <c r="E16" s="1958"/>
    </row>
    <row r="17" spans="1:5" ht="15.75">
      <c r="A17" s="1958"/>
      <c r="B17" s="3008"/>
      <c r="C17" s="1961" t="s">
        <v>1636</v>
      </c>
      <c r="D17" s="1039" t="e">
        <f>NUMBERSTRING(INT(D16*10000),2)&amp;"元整"</f>
        <v>#VALUE!</v>
      </c>
      <c r="E17" s="1958"/>
    </row>
    <row r="18" spans="1:5" ht="15">
      <c r="A18" s="1958"/>
      <c r="B18" s="3009"/>
      <c r="C18" s="1962" t="s">
        <v>1625</v>
      </c>
      <c r="D18" s="1051" t="str">
        <f>结果表仓储!H110</f>
        <v>——</v>
      </c>
      <c r="E18" s="1958"/>
    </row>
    <row r="19" spans="1:5" ht="15.75">
      <c r="A19" s="1958"/>
      <c r="B19" s="3000" t="str">
        <f>结果表仓储!E111</f>
        <v>——</v>
      </c>
      <c r="C19" s="1966" t="s">
        <v>1623</v>
      </c>
      <c r="D19" s="1040" t="str">
        <f>结果表仓储!H111</f>
        <v>——</v>
      </c>
      <c r="E19" s="1958"/>
    </row>
    <row r="20" spans="1:5" ht="15.75">
      <c r="A20" s="1958"/>
      <c r="B20" s="3001"/>
      <c r="C20" s="1961" t="s">
        <v>1636</v>
      </c>
      <c r="D20" s="1039" t="e">
        <f>NUMBERSTRING(INT(D19*10000),2)&amp;"元整"</f>
        <v>#VALUE!</v>
      </c>
      <c r="E20" s="1958"/>
    </row>
    <row r="21" spans="1:5" ht="15.75" thickBot="1">
      <c r="A21" s="1958"/>
      <c r="B21" s="3002"/>
      <c r="C21" s="1968" t="s">
        <v>1634</v>
      </c>
      <c r="D21" s="1052" t="str">
        <f>结果表仓储!H112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29"/>
      <c r="M4" s="1130"/>
      <c r="N4" s="1130"/>
      <c r="O4" s="1130"/>
      <c r="P4" s="3290" t="s">
        <v>2652</v>
      </c>
      <c r="Q4" s="3291"/>
      <c r="R4" s="3285" t="s">
        <v>2648</v>
      </c>
      <c r="S4" s="3286"/>
      <c r="T4" s="3285" t="s">
        <v>2649</v>
      </c>
      <c r="U4" s="3286"/>
      <c r="V4" s="3217" t="s">
        <v>2650</v>
      </c>
      <c r="W4" s="3217"/>
      <c r="X4" s="1812"/>
      <c r="Y4" s="3285" t="s">
        <v>2652</v>
      </c>
      <c r="Z4" s="3286"/>
      <c r="AA4" s="3284" t="s">
        <v>2648</v>
      </c>
      <c r="AB4" s="3186" t="s">
        <v>2649</v>
      </c>
      <c r="AC4" s="3284" t="s">
        <v>2650</v>
      </c>
    </row>
    <row r="5" spans="1:29" ht="15">
      <c r="A5" s="404"/>
      <c r="B5" s="405"/>
      <c r="C5" s="3196" t="s">
        <v>2543</v>
      </c>
      <c r="D5" s="3197"/>
      <c r="E5" s="3287" t="s">
        <v>2544</v>
      </c>
      <c r="F5" s="3195"/>
      <c r="G5" s="3196" t="s">
        <v>2545</v>
      </c>
      <c r="H5" s="3197"/>
      <c r="I5" s="3196" t="s">
        <v>2546</v>
      </c>
      <c r="J5" s="3197"/>
      <c r="K5" s="610"/>
      <c r="L5" s="1129"/>
      <c r="M5" s="1130"/>
      <c r="N5" s="1130"/>
      <c r="O5" s="1130"/>
      <c r="P5" s="3292"/>
      <c r="Q5" s="3211"/>
      <c r="R5" s="3192"/>
      <c r="S5" s="3193"/>
      <c r="T5" s="3192"/>
      <c r="U5" s="3193"/>
      <c r="V5" s="3217"/>
      <c r="W5" s="3217"/>
      <c r="X5" s="1812"/>
      <c r="Y5" s="3192"/>
      <c r="Z5" s="3193"/>
      <c r="AA5" s="3186"/>
      <c r="AB5" s="3186"/>
      <c r="AC5" s="3186"/>
    </row>
    <row r="6" spans="1:29" ht="15.75" thickBot="1">
      <c r="A6" s="406"/>
      <c r="B6" s="407"/>
      <c r="C6" s="3302" t="s">
        <v>2798</v>
      </c>
      <c r="D6" s="3303"/>
      <c r="E6" s="3304" t="s">
        <v>2798</v>
      </c>
      <c r="F6" s="3305"/>
      <c r="G6" s="3302" t="s">
        <v>2798</v>
      </c>
      <c r="H6" s="3303"/>
      <c r="I6" s="3302" t="s">
        <v>2798</v>
      </c>
      <c r="J6" s="3303"/>
      <c r="K6" s="610" t="s">
        <v>2548</v>
      </c>
      <c r="L6" s="1129"/>
      <c r="M6" s="1130"/>
      <c r="N6" s="1130"/>
      <c r="O6" s="1130"/>
      <c r="P6" s="3293"/>
      <c r="Q6" s="3213"/>
      <c r="R6" s="3192"/>
      <c r="S6" s="3193"/>
      <c r="T6" s="3214"/>
      <c r="U6" s="3215"/>
      <c r="V6" s="3217"/>
      <c r="W6" s="3217"/>
      <c r="X6" s="1812"/>
      <c r="Y6" s="3214"/>
      <c r="Z6" s="3215"/>
      <c r="AA6" s="3187"/>
      <c r="AB6" s="3187"/>
      <c r="AC6" s="3187"/>
    </row>
    <row r="7" spans="1:29" s="117" customFormat="1" ht="15.75" thickBot="1">
      <c r="A7" s="408" t="s">
        <v>2549</v>
      </c>
      <c r="B7" s="409"/>
      <c r="C7" s="410">
        <f>'数据-取费表'!B2</f>
        <v>43100</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188" t="s">
        <v>2550</v>
      </c>
      <c r="Q7" s="3219"/>
      <c r="R7" s="770" t="s">
        <v>17</v>
      </c>
      <c r="S7" s="771">
        <f t="shared" ref="S7:S15" si="0">F7</f>
        <v>0</v>
      </c>
      <c r="T7" s="770" t="s">
        <v>17</v>
      </c>
      <c r="U7" s="771">
        <f t="shared" ref="U7:U15" si="1">H7</f>
        <v>0</v>
      </c>
      <c r="V7" s="770" t="s">
        <v>17</v>
      </c>
      <c r="W7" s="771">
        <f t="shared" ref="W7:W15" si="2">J7</f>
        <v>0</v>
      </c>
      <c r="X7" s="772"/>
      <c r="Y7" s="3188" t="s">
        <v>2550</v>
      </c>
      <c r="Z7" s="3189"/>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88" t="s">
        <v>2553</v>
      </c>
      <c r="Q8" s="3189"/>
      <c r="R8" s="770" t="s">
        <v>17</v>
      </c>
      <c r="S8" s="771">
        <f t="shared" si="0"/>
        <v>0</v>
      </c>
      <c r="T8" s="770" t="s">
        <v>17</v>
      </c>
      <c r="U8" s="771">
        <f t="shared" si="1"/>
        <v>0</v>
      </c>
      <c r="V8" s="770" t="s">
        <v>17</v>
      </c>
      <c r="W8" s="771">
        <f t="shared" si="2"/>
        <v>0</v>
      </c>
      <c r="X8" s="772"/>
      <c r="Y8" s="3188" t="s">
        <v>2553</v>
      </c>
      <c r="Z8" s="3189"/>
      <c r="AA8" s="773" t="e">
        <f t="shared" ref="AA8:AA40" si="3">D8/F8</f>
        <v>#DIV/0!</v>
      </c>
      <c r="AB8" s="773" t="e">
        <f t="shared" ref="AB8:AB40" si="4">D8/H8</f>
        <v>#DIV/0!</v>
      </c>
      <c r="AC8" s="773" t="e">
        <f t="shared" ref="AC8:AC40" si="5">D8/J8</f>
        <v>#DIV/0!</v>
      </c>
    </row>
    <row r="9" spans="1:29" s="117" customFormat="1">
      <c r="A9" s="415" t="s">
        <v>2554</v>
      </c>
      <c r="B9" s="71" t="s">
        <v>2555</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229" t="s">
        <v>2556</v>
      </c>
      <c r="Q9" s="1794" t="str">
        <f t="shared" ref="Q9:Q15" si="6">B9</f>
        <v>用途</v>
      </c>
      <c r="R9" s="770" t="s">
        <v>17</v>
      </c>
      <c r="S9" s="771">
        <f t="shared" si="0"/>
        <v>100</v>
      </c>
      <c r="T9" s="770" t="s">
        <v>17</v>
      </c>
      <c r="U9" s="771">
        <f t="shared" si="1"/>
        <v>100</v>
      </c>
      <c r="V9" s="770" t="s">
        <v>17</v>
      </c>
      <c r="W9" s="771">
        <f t="shared" si="2"/>
        <v>100</v>
      </c>
      <c r="X9" s="772"/>
      <c r="Y9" s="306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4"/>
      <c r="M10" s="1135"/>
      <c r="N10" s="1135"/>
      <c r="O10" s="1136"/>
      <c r="P10" s="3229"/>
      <c r="Q10" s="1794" t="str">
        <f t="shared" si="6"/>
        <v>土地使用年限（年）</v>
      </c>
      <c r="R10" s="770" t="s">
        <v>17</v>
      </c>
      <c r="S10" s="771">
        <f t="shared" si="0"/>
        <v>104</v>
      </c>
      <c r="T10" s="770" t="s">
        <v>17</v>
      </c>
      <c r="U10" s="771">
        <f t="shared" si="1"/>
        <v>104</v>
      </c>
      <c r="V10" s="770" t="s">
        <v>17</v>
      </c>
      <c r="W10" s="771">
        <f t="shared" si="2"/>
        <v>104</v>
      </c>
      <c r="X10" s="772"/>
      <c r="Y10" s="3065"/>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29"/>
      <c r="Q11" s="1794"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29"/>
      <c r="Q12" s="1794">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29"/>
      <c r="Q13" s="1794">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29"/>
      <c r="Q14" s="1794">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2560</v>
      </c>
      <c r="B15" s="629" t="s">
        <v>2799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2" t="s">
        <v>2561</v>
      </c>
      <c r="Q15" s="1809" t="str">
        <f t="shared" si="6"/>
        <v>产业集聚程度</v>
      </c>
      <c r="R15" s="774" t="s">
        <v>17</v>
      </c>
      <c r="S15" s="775">
        <f t="shared" si="0"/>
        <v>100</v>
      </c>
      <c r="T15" s="774" t="s">
        <v>17</v>
      </c>
      <c r="U15" s="775">
        <f t="shared" si="1"/>
        <v>100</v>
      </c>
      <c r="V15" s="774" t="s">
        <v>17</v>
      </c>
      <c r="W15" s="775">
        <f t="shared" si="2"/>
        <v>100</v>
      </c>
      <c r="X15" s="1812"/>
      <c r="Y15" s="3222" t="s">
        <v>2561</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39"/>
      <c r="M16" s="1130"/>
      <c r="N16" s="1130"/>
      <c r="O16" s="1138"/>
      <c r="P16" s="3223"/>
      <c r="Q16" s="1809"/>
      <c r="R16" s="774"/>
      <c r="S16" s="775"/>
      <c r="T16" s="774"/>
      <c r="U16" s="775"/>
      <c r="V16" s="774"/>
      <c r="W16" s="775"/>
      <c r="X16" s="1812"/>
      <c r="Y16" s="3223"/>
      <c r="Z16" s="1813"/>
      <c r="AA16" s="1810">
        <v>1</v>
      </c>
      <c r="AB16" s="1810">
        <v>1</v>
      </c>
      <c r="AC16" s="1810">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23"/>
      <c r="Q17" s="1809" t="str">
        <f>B17</f>
        <v>交通便捷度</v>
      </c>
      <c r="R17" s="774" t="s">
        <v>17</v>
      </c>
      <c r="S17" s="775">
        <f>F17</f>
        <v>100</v>
      </c>
      <c r="T17" s="774" t="s">
        <v>17</v>
      </c>
      <c r="U17" s="775">
        <f>H17</f>
        <v>100</v>
      </c>
      <c r="V17" s="774" t="s">
        <v>17</v>
      </c>
      <c r="W17" s="775">
        <f>J17</f>
        <v>100</v>
      </c>
      <c r="X17" s="1812"/>
      <c r="Y17" s="3223"/>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39"/>
      <c r="M18" s="1130"/>
      <c r="N18" s="1130"/>
      <c r="O18" s="1138"/>
      <c r="P18" s="3223"/>
      <c r="Q18" s="1809"/>
      <c r="R18" s="774"/>
      <c r="S18" s="775"/>
      <c r="T18" s="774"/>
      <c r="U18" s="775"/>
      <c r="V18" s="774"/>
      <c r="W18" s="775"/>
      <c r="X18" s="1812"/>
      <c r="Y18" s="3223"/>
      <c r="Z18" s="1813"/>
      <c r="AA18" s="1810">
        <v>1</v>
      </c>
      <c r="AB18" s="1810">
        <v>1</v>
      </c>
      <c r="AC18" s="1810">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23"/>
      <c r="Q19" s="1809" t="str">
        <f t="shared" ref="Q19:Q33" si="8">B19</f>
        <v>区域土地利用方向</v>
      </c>
      <c r="R19" s="774" t="s">
        <v>17</v>
      </c>
      <c r="S19" s="775">
        <f>F19</f>
        <v>100</v>
      </c>
      <c r="T19" s="774" t="s">
        <v>17</v>
      </c>
      <c r="U19" s="775">
        <f>H19</f>
        <v>100</v>
      </c>
      <c r="V19" s="774" t="s">
        <v>17</v>
      </c>
      <c r="W19" s="775">
        <f>J19</f>
        <v>100</v>
      </c>
      <c r="X19" s="1812"/>
      <c r="Y19" s="3223"/>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8"/>
      <c r="L20" s="1139"/>
      <c r="M20" s="1130"/>
      <c r="N20" s="1130"/>
      <c r="O20" s="1138"/>
      <c r="P20" s="3223"/>
      <c r="Q20" s="1809"/>
      <c r="R20" s="774"/>
      <c r="S20" s="775"/>
      <c r="T20" s="774"/>
      <c r="U20" s="775"/>
      <c r="V20" s="774"/>
      <c r="W20" s="775"/>
      <c r="X20" s="1812"/>
      <c r="Y20" s="3223"/>
      <c r="Z20" s="1813"/>
      <c r="AA20" s="1810"/>
      <c r="AB20" s="1810"/>
      <c r="AC20" s="1810"/>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23"/>
      <c r="Q21" s="1809" t="str">
        <f t="shared" si="8"/>
        <v>环境状况</v>
      </c>
      <c r="R21" s="774" t="s">
        <v>17</v>
      </c>
      <c r="S21" s="775">
        <f>F21</f>
        <v>100</v>
      </c>
      <c r="T21" s="774" t="s">
        <v>17</v>
      </c>
      <c r="U21" s="775">
        <f>H21</f>
        <v>100</v>
      </c>
      <c r="V21" s="774" t="s">
        <v>17</v>
      </c>
      <c r="W21" s="775">
        <f>J21</f>
        <v>100</v>
      </c>
      <c r="X21" s="1812"/>
      <c r="Y21" s="3223"/>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39"/>
      <c r="M22" s="1130"/>
      <c r="N22" s="1130"/>
      <c r="O22" s="1138"/>
      <c r="P22" s="3223"/>
      <c r="Q22" s="1809"/>
      <c r="R22" s="774"/>
      <c r="S22" s="775"/>
      <c r="T22" s="774"/>
      <c r="U22" s="775"/>
      <c r="V22" s="774"/>
      <c r="W22" s="775"/>
      <c r="X22" s="1812"/>
      <c r="Y22" s="3223"/>
      <c r="Z22" s="1813"/>
      <c r="AA22" s="1810">
        <v>1</v>
      </c>
      <c r="AB22" s="1810">
        <v>1</v>
      </c>
      <c r="AC22" s="1810">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23"/>
      <c r="Q23" s="1794" t="str">
        <f t="shared" si="8"/>
        <v>公共配套设施</v>
      </c>
      <c r="R23" s="770" t="s">
        <v>17</v>
      </c>
      <c r="S23" s="771">
        <f>F23</f>
        <v>100</v>
      </c>
      <c r="T23" s="770" t="s">
        <v>17</v>
      </c>
      <c r="U23" s="771">
        <f>H23</f>
        <v>100</v>
      </c>
      <c r="V23" s="770" t="s">
        <v>17</v>
      </c>
      <c r="W23" s="771">
        <f>J23</f>
        <v>100</v>
      </c>
      <c r="X23" s="772"/>
      <c r="Y23" s="3223"/>
      <c r="Z23" s="55" t="str">
        <f>Q23</f>
        <v>公共配套设施</v>
      </c>
      <c r="AA23" s="1810">
        <f>D23/F23</f>
        <v>1</v>
      </c>
      <c r="AB23" s="1810">
        <f>D23/H23</f>
        <v>1</v>
      </c>
      <c r="AC23" s="1810">
        <f>D23/J23</f>
        <v>1</v>
      </c>
    </row>
    <row r="24" spans="1:29" s="117" customFormat="1" ht="15">
      <c r="A24" s="649"/>
      <c r="B24" s="632"/>
      <c r="C24" s="2698"/>
      <c r="D24" s="448"/>
      <c r="E24" s="2610"/>
      <c r="F24" s="448"/>
      <c r="G24" s="2610"/>
      <c r="H24" s="448"/>
      <c r="I24" s="447"/>
      <c r="J24" s="448"/>
      <c r="K24" s="672"/>
      <c r="L24" s="1131"/>
      <c r="M24" s="1132"/>
      <c r="N24" s="1132"/>
      <c r="O24" s="1133"/>
      <c r="P24" s="3223"/>
      <c r="Q24" s="1794"/>
      <c r="R24" s="770"/>
      <c r="S24" s="771"/>
      <c r="T24" s="770"/>
      <c r="U24" s="771"/>
      <c r="V24" s="770"/>
      <c r="W24" s="771"/>
      <c r="X24" s="772"/>
      <c r="Y24" s="3223"/>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23"/>
      <c r="Q25" s="1794"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1"/>
      <c r="M26" s="1132"/>
      <c r="N26" s="1132"/>
      <c r="O26" s="1133"/>
      <c r="P26" s="3223"/>
      <c r="Q26" s="1794"/>
      <c r="R26" s="770"/>
      <c r="S26" s="771"/>
      <c r="T26" s="770"/>
      <c r="U26" s="771"/>
      <c r="V26" s="770"/>
      <c r="W26" s="771"/>
      <c r="X26" s="772"/>
      <c r="Y26" s="322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2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23"/>
      <c r="Z27" s="1813" t="str">
        <f t="shared" ref="Z27:Z40" si="13">Q27</f>
        <v>临街状况</v>
      </c>
      <c r="AA27" s="1810">
        <f t="shared" si="3"/>
        <v>1</v>
      </c>
      <c r="AB27" s="1810">
        <f t="shared" si="4"/>
        <v>1</v>
      </c>
      <c r="AC27" s="1810">
        <f t="shared" si="5"/>
        <v>1</v>
      </c>
    </row>
    <row r="28" spans="1:29" ht="27">
      <c r="A28" s="428"/>
      <c r="B28" s="633" t="s">
        <v>2692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23"/>
      <c r="Q28" s="1809" t="str">
        <f t="shared" si="8"/>
        <v>毗邻道路的类型与等级</v>
      </c>
      <c r="R28" s="774" t="s">
        <v>17</v>
      </c>
      <c r="S28" s="775">
        <f t="shared" si="10"/>
        <v>100</v>
      </c>
      <c r="T28" s="774" t="s">
        <v>17</v>
      </c>
      <c r="U28" s="775">
        <f t="shared" si="11"/>
        <v>100</v>
      </c>
      <c r="V28" s="774" t="s">
        <v>17</v>
      </c>
      <c r="W28" s="775">
        <f t="shared" si="12"/>
        <v>100</v>
      </c>
      <c r="X28" s="1812"/>
      <c r="Y28" s="3223"/>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39"/>
      <c r="M29" s="1130"/>
      <c r="N29" s="1130"/>
      <c r="O29" s="1138"/>
      <c r="P29" s="3223"/>
      <c r="Q29" s="1809"/>
      <c r="R29" s="774"/>
      <c r="S29" s="775"/>
      <c r="T29" s="774"/>
      <c r="U29" s="775"/>
      <c r="V29" s="774"/>
      <c r="W29" s="775"/>
      <c r="X29" s="1812"/>
      <c r="Y29" s="3223"/>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23"/>
      <c r="Q30" s="1809" t="str">
        <f t="shared" si="8"/>
        <v>土地级别</v>
      </c>
      <c r="R30" s="774" t="s">
        <v>17</v>
      </c>
      <c r="S30" s="775">
        <f t="shared" si="10"/>
        <v>100</v>
      </c>
      <c r="T30" s="774" t="s">
        <v>17</v>
      </c>
      <c r="U30" s="775">
        <f t="shared" si="11"/>
        <v>100</v>
      </c>
      <c r="V30" s="774" t="s">
        <v>17</v>
      </c>
      <c r="W30" s="775">
        <f t="shared" si="12"/>
        <v>100</v>
      </c>
      <c r="X30" s="1812"/>
      <c r="Y30" s="3223"/>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3"/>
      <c r="Q31" s="1809">
        <f t="shared" si="8"/>
        <v>111</v>
      </c>
      <c r="R31" s="774" t="s">
        <v>17</v>
      </c>
      <c r="S31" s="775">
        <f t="shared" si="10"/>
        <v>100</v>
      </c>
      <c r="T31" s="774" t="s">
        <v>17</v>
      </c>
      <c r="U31" s="775">
        <f t="shared" si="11"/>
        <v>100</v>
      </c>
      <c r="V31" s="774" t="s">
        <v>17</v>
      </c>
      <c r="W31" s="775">
        <f t="shared" si="12"/>
        <v>100</v>
      </c>
      <c r="X31" s="1812"/>
      <c r="Y31" s="3223"/>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7" t="s">
        <v>2566</v>
      </c>
      <c r="Q32" s="1809">
        <f t="shared" si="8"/>
        <v>111</v>
      </c>
      <c r="R32" s="774" t="s">
        <v>17</v>
      </c>
      <c r="S32" s="775">
        <f t="shared" si="10"/>
        <v>100</v>
      </c>
      <c r="T32" s="774" t="s">
        <v>17</v>
      </c>
      <c r="U32" s="775">
        <f t="shared" si="11"/>
        <v>100</v>
      </c>
      <c r="V32" s="774" t="s">
        <v>17</v>
      </c>
      <c r="W32" s="775">
        <f t="shared" si="12"/>
        <v>100</v>
      </c>
      <c r="X32" s="1812"/>
      <c r="Y32" s="3227" t="s">
        <v>2566</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27"/>
      <c r="Q33" s="1809">
        <f t="shared" si="8"/>
        <v>111</v>
      </c>
      <c r="R33" s="777" t="s">
        <v>17</v>
      </c>
      <c r="S33" s="778">
        <f t="shared" si="10"/>
        <v>100</v>
      </c>
      <c r="T33" s="777" t="s">
        <v>17</v>
      </c>
      <c r="U33" s="778">
        <f t="shared" si="11"/>
        <v>100</v>
      </c>
      <c r="V33" s="777" t="s">
        <v>17</v>
      </c>
      <c r="W33" s="778">
        <f t="shared" si="12"/>
        <v>100</v>
      </c>
      <c r="X33" s="779"/>
      <c r="Y33" s="3227"/>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27"/>
      <c r="Q34" s="1809" t="str">
        <f>B34</f>
        <v>宗地面积</v>
      </c>
      <c r="R34" s="774" t="s">
        <v>17</v>
      </c>
      <c r="S34" s="775" t="e">
        <f t="shared" si="10"/>
        <v>#N/A</v>
      </c>
      <c r="T34" s="774" t="s">
        <v>17</v>
      </c>
      <c r="U34" s="775" t="e">
        <f t="shared" si="11"/>
        <v>#N/A</v>
      </c>
      <c r="V34" s="774" t="s">
        <v>17</v>
      </c>
      <c r="W34" s="775" t="e">
        <f t="shared" si="12"/>
        <v>#N/A</v>
      </c>
      <c r="X34" s="1812"/>
      <c r="Y34" s="3227"/>
      <c r="Z34" s="1813" t="str">
        <f t="shared" si="13"/>
        <v>宗地面积</v>
      </c>
      <c r="AA34" s="1810" t="e">
        <f t="shared" si="3"/>
        <v>#N/A</v>
      </c>
      <c r="AB34" s="1810" t="e">
        <f t="shared" si="4"/>
        <v>#N/A</v>
      </c>
      <c r="AC34" s="1810"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227"/>
      <c r="Q35" s="1809" t="str">
        <f t="shared" ref="Q35:Q40" si="14">B35</f>
        <v>宗地形状</v>
      </c>
      <c r="R35" s="774" t="s">
        <v>17</v>
      </c>
      <c r="S35" s="775">
        <f t="shared" si="10"/>
        <v>100</v>
      </c>
      <c r="T35" s="774" t="s">
        <v>17</v>
      </c>
      <c r="U35" s="775">
        <f t="shared" si="11"/>
        <v>100</v>
      </c>
      <c r="V35" s="774" t="s">
        <v>17</v>
      </c>
      <c r="W35" s="775">
        <f t="shared" si="12"/>
        <v>100</v>
      </c>
      <c r="X35" s="1812"/>
      <c r="Y35" s="3227"/>
      <c r="Z35" s="1813" t="str">
        <f t="shared" si="13"/>
        <v>宗地形状</v>
      </c>
      <c r="AA35" s="1810">
        <f t="shared" si="3"/>
        <v>1</v>
      </c>
      <c r="AB35" s="1810">
        <f t="shared" si="4"/>
        <v>1</v>
      </c>
      <c r="AC35" s="1810">
        <f t="shared" si="5"/>
        <v>1</v>
      </c>
    </row>
    <row r="36" spans="1:29" s="117" customFormat="1" ht="15">
      <c r="A36" s="473"/>
      <c r="B36" s="422" t="s">
        <v>2755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27"/>
      <c r="Q36" s="1809"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227" t="s">
        <v>2566</v>
      </c>
      <c r="Q37" s="1809" t="str">
        <f t="shared" si="14"/>
        <v>工程地质条件</v>
      </c>
      <c r="R37" s="774" t="s">
        <v>17</v>
      </c>
      <c r="S37" s="775">
        <f t="shared" si="10"/>
        <v>100</v>
      </c>
      <c r="T37" s="774" t="s">
        <v>17</v>
      </c>
      <c r="U37" s="775">
        <f t="shared" si="11"/>
        <v>100</v>
      </c>
      <c r="V37" s="774" t="s">
        <v>17</v>
      </c>
      <c r="W37" s="775">
        <f t="shared" si="12"/>
        <v>100</v>
      </c>
      <c r="X37" s="1812"/>
      <c r="Y37" s="3227"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27"/>
      <c r="Q38" s="1809">
        <f t="shared" si="14"/>
        <v>111</v>
      </c>
      <c r="R38" s="774" t="s">
        <v>17</v>
      </c>
      <c r="S38" s="775">
        <f t="shared" si="10"/>
        <v>100</v>
      </c>
      <c r="T38" s="774" t="s">
        <v>17</v>
      </c>
      <c r="U38" s="775">
        <f t="shared" si="11"/>
        <v>100</v>
      </c>
      <c r="V38" s="774" t="s">
        <v>17</v>
      </c>
      <c r="W38" s="775">
        <f t="shared" si="12"/>
        <v>100</v>
      </c>
      <c r="X38" s="1812"/>
      <c r="Y38" s="3227"/>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27"/>
      <c r="Q39" s="1809">
        <f t="shared" si="14"/>
        <v>111</v>
      </c>
      <c r="R39" s="774" t="s">
        <v>17</v>
      </c>
      <c r="S39" s="775">
        <f t="shared" si="10"/>
        <v>100</v>
      </c>
      <c r="T39" s="774" t="s">
        <v>17</v>
      </c>
      <c r="U39" s="775">
        <f t="shared" si="11"/>
        <v>100</v>
      </c>
      <c r="V39" s="774" t="s">
        <v>17</v>
      </c>
      <c r="W39" s="775">
        <f t="shared" si="12"/>
        <v>100</v>
      </c>
      <c r="X39" s="1812"/>
      <c r="Y39" s="3227"/>
      <c r="Z39" s="1813">
        <f t="shared" si="13"/>
        <v>111</v>
      </c>
      <c r="AA39" s="1810">
        <f t="shared" si="3"/>
        <v>1</v>
      </c>
      <c r="AB39" s="1810">
        <f t="shared" si="4"/>
        <v>1</v>
      </c>
      <c r="AC39" s="1810">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27"/>
      <c r="Q40" s="1809">
        <f t="shared" si="14"/>
        <v>111</v>
      </c>
      <c r="R40" s="777" t="s">
        <v>17</v>
      </c>
      <c r="S40" s="778">
        <f t="shared" si="10"/>
        <v>100</v>
      </c>
      <c r="T40" s="777" t="s">
        <v>17</v>
      </c>
      <c r="U40" s="778">
        <f t="shared" si="11"/>
        <v>100</v>
      </c>
      <c r="V40" s="777" t="s">
        <v>17</v>
      </c>
      <c r="W40" s="778">
        <f t="shared" si="12"/>
        <v>100</v>
      </c>
      <c r="X40" s="779"/>
      <c r="Y40" s="3227"/>
      <c r="Z40" s="780">
        <f t="shared" si="13"/>
        <v>111</v>
      </c>
      <c r="AA40" s="1810">
        <f t="shared" si="3"/>
        <v>1</v>
      </c>
      <c r="AB40" s="1810">
        <f t="shared" si="4"/>
        <v>1</v>
      </c>
      <c r="AC40" s="1810">
        <f t="shared" si="5"/>
        <v>1</v>
      </c>
    </row>
    <row r="41" spans="1:29" ht="15">
      <c r="A41" s="479" t="s">
        <v>2721</v>
      </c>
      <c r="B41" s="2702" t="s">
        <v>2801</v>
      </c>
      <c r="C41" s="682" t="s">
        <v>1</v>
      </c>
      <c r="D41" s="481"/>
      <c r="E41" s="482"/>
      <c r="F41" s="483"/>
      <c r="G41" s="484"/>
      <c r="H41" s="485"/>
      <c r="I41" s="482"/>
      <c r="J41" s="485"/>
      <c r="K41" s="783"/>
      <c r="L41" s="1142"/>
      <c r="M41" s="1130"/>
      <c r="N41" s="1130"/>
      <c r="O41" s="1143"/>
      <c r="P41" s="3229" t="str">
        <f>A41</f>
        <v>成交单价</v>
      </c>
      <c r="Q41" s="3229"/>
      <c r="R41" s="3217">
        <f>E41</f>
        <v>0</v>
      </c>
      <c r="S41" s="3217"/>
      <c r="T41" s="3217">
        <f>G41</f>
        <v>0</v>
      </c>
      <c r="U41" s="3217"/>
      <c r="V41" s="3217">
        <f>I41</f>
        <v>0</v>
      </c>
      <c r="W41" s="321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229" t="str">
        <f>A42</f>
        <v>比较价值（元/平方米）</v>
      </c>
      <c r="Q42" s="3229"/>
      <c r="R42" s="3298" t="e">
        <f>ROUND(PRODUCT(R41,AA7:AA40),0)</f>
        <v>#DIV/0!</v>
      </c>
      <c r="S42" s="3298"/>
      <c r="T42" s="3298" t="e">
        <f>ROUND(PRODUCT(T41,AB7:AB40),0)</f>
        <v>#DIV/0!</v>
      </c>
      <c r="U42" s="3298"/>
      <c r="V42" s="3298" t="e">
        <f>ROUND(PRODUCT(V41,AC7:AC40),0)</f>
        <v>#DIV/0!</v>
      </c>
      <c r="W42" s="329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294" t="str">
        <f>A43</f>
        <v>估价对象XX用房的比较价值（楼面单价，元/平方米）</v>
      </c>
      <c r="Q43" s="3295"/>
      <c r="R43" s="3299" t="e">
        <f>ROUND(AVERAGE(R42:V42),0)</f>
        <v>#DIV/0!</v>
      </c>
      <c r="S43" s="3299"/>
      <c r="T43" s="3299"/>
      <c r="U43" s="3299"/>
      <c r="V43" s="3299"/>
      <c r="W43" s="329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3" t="s">
        <v>2761</v>
      </c>
      <c r="D50" s="2704" t="s">
        <v>2762</v>
      </c>
      <c r="E50" s="686" t="s">
        <v>2763</v>
      </c>
      <c r="F50" s="687" t="s">
        <v>2764</v>
      </c>
      <c r="G50" s="3204" t="s">
        <v>2765</v>
      </c>
      <c r="H50" s="3300"/>
      <c r="I50" s="1813" t="s">
        <v>2802</v>
      </c>
      <c r="J50" s="1813">
        <f>项目基本情况!F35</f>
        <v>0</v>
      </c>
      <c r="K50" s="2706" t="s">
        <v>2767</v>
      </c>
      <c r="L50" s="1105"/>
      <c r="M50" s="1143"/>
      <c r="N50" s="1143"/>
      <c r="O50" s="1143"/>
    </row>
    <row r="51" spans="1:17" s="692" customFormat="1">
      <c r="A51" s="688" t="s">
        <v>2768</v>
      </c>
      <c r="B51" s="689" t="e">
        <f>C43</f>
        <v>#DIV/0!</v>
      </c>
      <c r="C51" s="690">
        <v>1</v>
      </c>
      <c r="D51" s="1162">
        <v>1</v>
      </c>
      <c r="E51" s="690">
        <f>'数据-汇总表'!E8+'数据-汇总表'!E9</f>
        <v>25919.38</v>
      </c>
      <c r="F51" s="691" t="e">
        <f t="shared" ref="F51:F60" si="15">ROUND(B51*E51/10000,0)</f>
        <v>#DIV/0!</v>
      </c>
      <c r="G51" s="3200"/>
      <c r="H51" s="3229"/>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301"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301"/>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301"/>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301"/>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7"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8246.2800000000007</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7128.3</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07"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8" t="s">
        <v>2775</v>
      </c>
      <c r="H60" s="1113" t="str">
        <f>项目基本情况!C37</f>
        <v>五级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13315.65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09" t="s">
        <v>2783</v>
      </c>
      <c r="B65" s="1358"/>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7" customFormat="1" ht="30.75" customHeight="1">
      <c r="A66" s="2714" t="s">
        <v>2803</v>
      </c>
      <c r="B66" s="332" t="str">
        <f>"北京市平均增长率"&amp;TEXT(基准地价修正!P24,"0.00%")</f>
        <v>北京市平均增长率1.39%</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06" t="s">
        <v>183</v>
      </c>
      <c r="B18" s="878" t="s">
        <v>560</v>
      </c>
      <c r="C18" s="879" t="s">
        <v>561</v>
      </c>
      <c r="D18" s="880"/>
      <c r="E18" s="878">
        <v>1</v>
      </c>
      <c r="F18" s="881" t="s">
        <v>562</v>
      </c>
      <c r="G18" s="882"/>
      <c r="H18" s="874"/>
      <c r="I18" s="874"/>
    </row>
    <row r="19" spans="1:9" s="883" customFormat="1" ht="19.5" customHeight="1">
      <c r="A19" s="3306"/>
      <c r="B19" s="3306" t="s">
        <v>563</v>
      </c>
      <c r="C19" s="879" t="s">
        <v>564</v>
      </c>
      <c r="D19" s="880"/>
      <c r="E19" s="878">
        <v>0.9</v>
      </c>
      <c r="F19" s="881" t="s">
        <v>565</v>
      </c>
      <c r="G19" s="882"/>
      <c r="H19" s="874"/>
      <c r="I19" s="874"/>
    </row>
    <row r="20" spans="1:9" s="883" customFormat="1" ht="19.5" customHeight="1">
      <c r="A20" s="3306"/>
      <c r="B20" s="3306"/>
      <c r="C20" s="879" t="s">
        <v>566</v>
      </c>
      <c r="D20" s="880"/>
      <c r="E20" s="878">
        <v>1.1000000000000001</v>
      </c>
      <c r="F20" s="881" t="s">
        <v>567</v>
      </c>
      <c r="G20" s="882"/>
      <c r="H20" s="874"/>
      <c r="I20" s="874"/>
    </row>
    <row r="21" spans="1:9" s="883" customFormat="1" ht="19.5" customHeight="1">
      <c r="A21" s="3306"/>
      <c r="B21" s="3306"/>
      <c r="C21" s="879" t="s">
        <v>568</v>
      </c>
      <c r="D21" s="880"/>
      <c r="E21" s="878">
        <v>0.8</v>
      </c>
      <c r="F21" s="881" t="s">
        <v>569</v>
      </c>
      <c r="G21" s="882"/>
      <c r="H21" s="874"/>
      <c r="I21" s="874"/>
    </row>
    <row r="22" spans="1:9" s="883" customFormat="1" ht="19.5" customHeight="1">
      <c r="A22" s="3306"/>
      <c r="B22" s="3306"/>
      <c r="C22" s="879" t="s">
        <v>570</v>
      </c>
      <c r="D22" s="880"/>
      <c r="E22" s="878">
        <v>0.5</v>
      </c>
      <c r="F22" s="881"/>
      <c r="G22" s="882"/>
      <c r="H22" s="874"/>
      <c r="I22" s="874"/>
    </row>
    <row r="23" spans="1:9" s="883" customFormat="1" ht="19.5" customHeight="1">
      <c r="A23" s="3306" t="s">
        <v>184</v>
      </c>
      <c r="B23" s="878" t="s">
        <v>560</v>
      </c>
      <c r="C23" s="879" t="s">
        <v>571</v>
      </c>
      <c r="D23" s="880"/>
      <c r="E23" s="878">
        <v>1</v>
      </c>
      <c r="F23" s="881" t="s">
        <v>572</v>
      </c>
      <c r="G23" s="882"/>
      <c r="H23" s="874"/>
      <c r="I23" s="874"/>
    </row>
    <row r="24" spans="1:9" s="883" customFormat="1" ht="19.5" customHeight="1">
      <c r="A24" s="3306"/>
      <c r="B24" s="3306" t="s">
        <v>563</v>
      </c>
      <c r="C24" s="879" t="s">
        <v>573</v>
      </c>
      <c r="D24" s="880"/>
      <c r="E24" s="878">
        <v>0.5</v>
      </c>
      <c r="F24" s="881"/>
      <c r="G24" s="882"/>
      <c r="H24" s="874"/>
      <c r="I24" s="874"/>
    </row>
    <row r="25" spans="1:9" s="883" customFormat="1" ht="19.5" customHeight="1">
      <c r="A25" s="3306"/>
      <c r="B25" s="3306"/>
      <c r="C25" s="879" t="s">
        <v>574</v>
      </c>
      <c r="D25" s="880"/>
      <c r="E25" s="878">
        <v>1.1000000000000001</v>
      </c>
      <c r="F25" s="881"/>
      <c r="G25" s="882"/>
      <c r="H25" s="874"/>
      <c r="I25" s="874"/>
    </row>
    <row r="26" spans="1:9" s="883" customFormat="1" ht="19.5" customHeight="1">
      <c r="A26" s="3306"/>
      <c r="B26" s="3306"/>
      <c r="C26" s="879" t="s">
        <v>575</v>
      </c>
      <c r="D26" s="880"/>
      <c r="E26" s="878">
        <v>1.1000000000000001</v>
      </c>
      <c r="F26" s="881"/>
      <c r="G26" s="882"/>
      <c r="H26" s="874"/>
      <c r="I26" s="874"/>
    </row>
    <row r="27" spans="1:9" s="883" customFormat="1" ht="19.5" customHeight="1">
      <c r="A27" s="3306"/>
      <c r="B27" s="3306"/>
      <c r="C27" s="879" t="s">
        <v>576</v>
      </c>
      <c r="D27" s="880"/>
      <c r="E27" s="878">
        <v>0.9</v>
      </c>
      <c r="F27" s="881" t="s">
        <v>577</v>
      </c>
      <c r="G27" s="882"/>
      <c r="H27" s="874"/>
      <c r="I27" s="874"/>
    </row>
    <row r="28" spans="1:9" s="883" customFormat="1" ht="19.5" customHeight="1">
      <c r="A28" s="3306"/>
      <c r="B28" s="3306"/>
      <c r="C28" s="879" t="s">
        <v>578</v>
      </c>
      <c r="D28" s="880"/>
      <c r="E28" s="878">
        <v>0.9</v>
      </c>
      <c r="F28" s="881" t="s">
        <v>579</v>
      </c>
      <c r="G28" s="882"/>
      <c r="H28" s="874"/>
      <c r="I28" s="874"/>
    </row>
    <row r="29" spans="1:9" s="883" customFormat="1" ht="19.5" customHeight="1">
      <c r="A29" s="3306"/>
      <c r="B29" s="3306"/>
      <c r="C29" s="879" t="s">
        <v>580</v>
      </c>
      <c r="D29" s="880"/>
      <c r="E29" s="878">
        <v>0.9</v>
      </c>
      <c r="F29" s="881" t="s">
        <v>581</v>
      </c>
      <c r="G29" s="882"/>
      <c r="H29" s="874"/>
      <c r="I29" s="874"/>
    </row>
    <row r="30" spans="1:9" s="883" customFormat="1" ht="19.5" customHeight="1">
      <c r="A30" s="3306"/>
      <c r="B30" s="3306"/>
      <c r="C30" s="879" t="s">
        <v>582</v>
      </c>
      <c r="D30" s="880"/>
      <c r="E30" s="878">
        <v>0.9</v>
      </c>
      <c r="F30" s="881" t="s">
        <v>583</v>
      </c>
      <c r="G30" s="882"/>
      <c r="H30" s="874"/>
      <c r="I30" s="874"/>
    </row>
    <row r="31" spans="1:9" s="883" customFormat="1" ht="19.5" customHeight="1">
      <c r="A31" s="3306"/>
      <c r="B31" s="3306"/>
      <c r="C31" s="879" t="s">
        <v>584</v>
      </c>
      <c r="D31" s="880"/>
      <c r="E31" s="878">
        <v>0.8</v>
      </c>
      <c r="F31" s="881" t="s">
        <v>585</v>
      </c>
      <c r="G31" s="882"/>
      <c r="H31" s="874"/>
      <c r="I31" s="874"/>
    </row>
    <row r="32" spans="1:9" s="883" customFormat="1" ht="19.5" customHeight="1">
      <c r="A32" s="3306"/>
      <c r="B32" s="3306"/>
      <c r="C32" s="879" t="s">
        <v>586</v>
      </c>
      <c r="D32" s="880"/>
      <c r="E32" s="878">
        <v>0.8</v>
      </c>
      <c r="F32" s="881" t="s">
        <v>587</v>
      </c>
      <c r="G32" s="882"/>
      <c r="H32" s="874"/>
      <c r="I32" s="874"/>
    </row>
    <row r="33" spans="1:9" s="883" customFormat="1" ht="19.5" customHeight="1">
      <c r="A33" s="3306" t="s">
        <v>185</v>
      </c>
      <c r="B33" s="878" t="s">
        <v>560</v>
      </c>
      <c r="C33" s="879" t="s">
        <v>588</v>
      </c>
      <c r="D33" s="880"/>
      <c r="E33" s="878">
        <v>1</v>
      </c>
      <c r="F33" s="881" t="s">
        <v>589</v>
      </c>
      <c r="G33" s="882"/>
      <c r="H33" s="874"/>
      <c r="I33" s="874"/>
    </row>
    <row r="34" spans="1:9" s="883" customFormat="1" ht="19.5" customHeight="1">
      <c r="A34" s="3306"/>
      <c r="B34" s="878" t="s">
        <v>563</v>
      </c>
      <c r="C34" s="879" t="s">
        <v>590</v>
      </c>
      <c r="D34" s="880"/>
      <c r="E34" s="878">
        <v>1.5</v>
      </c>
      <c r="F34" s="881" t="s">
        <v>591</v>
      </c>
      <c r="G34" s="882"/>
      <c r="H34" s="874"/>
      <c r="I34" s="874"/>
    </row>
    <row r="35" spans="1:9" s="883" customFormat="1" ht="19.5" customHeight="1">
      <c r="A35" s="3306" t="s">
        <v>186</v>
      </c>
      <c r="B35" s="878" t="s">
        <v>560</v>
      </c>
      <c r="C35" s="879" t="s">
        <v>592</v>
      </c>
      <c r="D35" s="880"/>
      <c r="E35" s="878">
        <v>1</v>
      </c>
      <c r="F35" s="881" t="s">
        <v>593</v>
      </c>
      <c r="G35" s="882"/>
      <c r="H35" s="874"/>
      <c r="I35" s="874"/>
    </row>
    <row r="36" spans="1:9" s="883" customFormat="1" ht="19.5" customHeight="1">
      <c r="A36" s="3306"/>
      <c r="B36" s="3306" t="s">
        <v>563</v>
      </c>
      <c r="C36" s="879" t="s">
        <v>594</v>
      </c>
      <c r="D36" s="880"/>
      <c r="E36" s="878">
        <v>1</v>
      </c>
      <c r="F36" s="881" t="s">
        <v>595</v>
      </c>
      <c r="G36" s="882"/>
      <c r="H36" s="874"/>
      <c r="I36" s="874"/>
    </row>
    <row r="37" spans="1:9" s="883" customFormat="1" ht="19.5" customHeight="1">
      <c r="A37" s="3306"/>
      <c r="B37" s="3306"/>
      <c r="C37" s="879" t="s">
        <v>596</v>
      </c>
      <c r="D37" s="880"/>
      <c r="E37" s="878">
        <v>1.5</v>
      </c>
      <c r="F37" s="881" t="s">
        <v>597</v>
      </c>
      <c r="G37" s="882"/>
      <c r="H37" s="874"/>
      <c r="I37" s="874"/>
    </row>
    <row r="38" spans="1:9" s="883" customFormat="1" ht="19.5" customHeight="1">
      <c r="A38" s="3306"/>
      <c r="B38" s="3306"/>
      <c r="C38" s="879" t="s">
        <v>598</v>
      </c>
      <c r="D38" s="880"/>
      <c r="E38" s="878">
        <v>1</v>
      </c>
      <c r="F38" s="881" t="s">
        <v>599</v>
      </c>
      <c r="G38" s="882"/>
      <c r="H38" s="874"/>
      <c r="I38" s="874"/>
    </row>
    <row r="39" spans="1:9" s="883" customFormat="1" ht="19.5" customHeight="1">
      <c r="A39" s="3306"/>
      <c r="B39" s="330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06" t="s">
        <v>614</v>
      </c>
      <c r="C61" s="814" t="s">
        <v>615</v>
      </c>
      <c r="D61" s="814" t="s">
        <v>616</v>
      </c>
      <c r="E61" s="891">
        <v>0.5</v>
      </c>
      <c r="F61" s="878">
        <v>80</v>
      </c>
    </row>
    <row r="62" spans="1:8" s="874" customFormat="1" ht="24">
      <c r="A62" s="878">
        <v>2</v>
      </c>
      <c r="B62" s="3306"/>
      <c r="C62" s="814" t="s">
        <v>617</v>
      </c>
      <c r="D62" s="814" t="s">
        <v>618</v>
      </c>
      <c r="E62" s="891">
        <v>0.5</v>
      </c>
      <c r="F62" s="878">
        <v>80</v>
      </c>
    </row>
    <row r="63" spans="1:8" s="874" customFormat="1" ht="36">
      <c r="A63" s="878">
        <v>3</v>
      </c>
      <c r="B63" s="3306"/>
      <c r="C63" s="814" t="s">
        <v>619</v>
      </c>
      <c r="D63" s="814" t="s">
        <v>620</v>
      </c>
      <c r="E63" s="891">
        <v>0.5</v>
      </c>
      <c r="F63" s="878">
        <v>80</v>
      </c>
    </row>
    <row r="64" spans="1:8" s="874" customFormat="1" ht="36">
      <c r="A64" s="878">
        <v>4</v>
      </c>
      <c r="B64" s="3306"/>
      <c r="C64" s="814" t="s">
        <v>621</v>
      </c>
      <c r="D64" s="814" t="s">
        <v>622</v>
      </c>
      <c r="E64" s="891">
        <v>0.4</v>
      </c>
      <c r="F64" s="878">
        <v>60</v>
      </c>
    </row>
    <row r="65" spans="1:6" s="874" customFormat="1" ht="36">
      <c r="A65" s="878">
        <v>5</v>
      </c>
      <c r="B65" s="3306"/>
      <c r="C65" s="814" t="s">
        <v>623</v>
      </c>
      <c r="D65" s="814" t="s">
        <v>624</v>
      </c>
      <c r="E65" s="891">
        <v>0.2</v>
      </c>
      <c r="F65" s="878">
        <v>30</v>
      </c>
    </row>
    <row r="66" spans="1:6" s="874" customFormat="1" ht="36">
      <c r="A66" s="878">
        <v>6</v>
      </c>
      <c r="B66" s="3306"/>
      <c r="C66" s="814" t="s">
        <v>625</v>
      </c>
      <c r="D66" s="814" t="s">
        <v>626</v>
      </c>
      <c r="E66" s="891">
        <v>0.3</v>
      </c>
      <c r="F66" s="878">
        <v>50</v>
      </c>
    </row>
    <row r="67" spans="1:6" s="874" customFormat="1" ht="36">
      <c r="A67" s="878">
        <v>7</v>
      </c>
      <c r="B67" s="3306"/>
      <c r="C67" s="814" t="s">
        <v>627</v>
      </c>
      <c r="D67" s="814" t="s">
        <v>628</v>
      </c>
      <c r="E67" s="891">
        <v>0.2</v>
      </c>
      <c r="F67" s="878">
        <v>30</v>
      </c>
    </row>
    <row r="68" spans="1:6" s="874" customFormat="1" ht="36">
      <c r="A68" s="878">
        <v>8</v>
      </c>
      <c r="B68" s="3306"/>
      <c r="C68" s="814" t="s">
        <v>629</v>
      </c>
      <c r="D68" s="814" t="s">
        <v>630</v>
      </c>
      <c r="E68" s="891">
        <v>0.2</v>
      </c>
      <c r="F68" s="878">
        <v>30</v>
      </c>
    </row>
    <row r="69" spans="1:6" s="874" customFormat="1" ht="36">
      <c r="A69" s="878">
        <v>9</v>
      </c>
      <c r="B69" s="3306"/>
      <c r="C69" s="814" t="s">
        <v>631</v>
      </c>
      <c r="D69" s="814" t="s">
        <v>632</v>
      </c>
      <c r="E69" s="891">
        <v>0.2</v>
      </c>
      <c r="F69" s="878">
        <v>30</v>
      </c>
    </row>
    <row r="70" spans="1:6" s="874" customFormat="1" ht="48">
      <c r="A70" s="878">
        <v>10</v>
      </c>
      <c r="B70" s="3306"/>
      <c r="C70" s="814" t="s">
        <v>633</v>
      </c>
      <c r="D70" s="814" t="s">
        <v>634</v>
      </c>
      <c r="E70" s="891">
        <v>0.2</v>
      </c>
      <c r="F70" s="878">
        <v>30</v>
      </c>
    </row>
    <row r="71" spans="1:6" s="874" customFormat="1" ht="48">
      <c r="A71" s="878">
        <v>11</v>
      </c>
      <c r="B71" s="3306"/>
      <c r="C71" s="814" t="s">
        <v>635</v>
      </c>
      <c r="D71" s="814" t="s">
        <v>636</v>
      </c>
      <c r="E71" s="891">
        <v>0.2</v>
      </c>
      <c r="F71" s="878">
        <v>30</v>
      </c>
    </row>
    <row r="72" spans="1:6" s="874" customFormat="1" ht="36">
      <c r="A72" s="878">
        <v>12</v>
      </c>
      <c r="B72" s="3306"/>
      <c r="C72" s="814" t="s">
        <v>637</v>
      </c>
      <c r="D72" s="814" t="s">
        <v>638</v>
      </c>
      <c r="E72" s="891">
        <v>0.5</v>
      </c>
      <c r="F72" s="878">
        <v>80</v>
      </c>
    </row>
    <row r="73" spans="1:6" s="874" customFormat="1" ht="24">
      <c r="A73" s="878">
        <v>13</v>
      </c>
      <c r="B73" s="3306"/>
      <c r="C73" s="814" t="s">
        <v>639</v>
      </c>
      <c r="D73" s="814" t="s">
        <v>640</v>
      </c>
      <c r="E73" s="891">
        <v>0.4</v>
      </c>
      <c r="F73" s="878">
        <v>60</v>
      </c>
    </row>
    <row r="74" spans="1:6" s="874" customFormat="1" ht="24">
      <c r="A74" s="878">
        <v>14</v>
      </c>
      <c r="B74" s="3306"/>
      <c r="C74" s="814" t="s">
        <v>641</v>
      </c>
      <c r="D74" s="814" t="s">
        <v>642</v>
      </c>
      <c r="E74" s="891">
        <v>0.2</v>
      </c>
      <c r="F74" s="878">
        <v>30</v>
      </c>
    </row>
    <row r="75" spans="1:6" s="874" customFormat="1" ht="24">
      <c r="A75" s="878">
        <v>15</v>
      </c>
      <c r="B75" s="3306"/>
      <c r="C75" s="814" t="s">
        <v>643</v>
      </c>
      <c r="D75" s="814" t="s">
        <v>644</v>
      </c>
      <c r="E75" s="891">
        <v>0.2</v>
      </c>
      <c r="F75" s="878">
        <v>30</v>
      </c>
    </row>
    <row r="76" spans="1:6" s="874" customFormat="1" ht="24">
      <c r="A76" s="878">
        <v>16</v>
      </c>
      <c r="B76" s="3306" t="s">
        <v>645</v>
      </c>
      <c r="C76" s="814" t="s">
        <v>646</v>
      </c>
      <c r="D76" s="814" t="s">
        <v>647</v>
      </c>
      <c r="E76" s="891">
        <v>0.5</v>
      </c>
      <c r="F76" s="878">
        <v>80</v>
      </c>
    </row>
    <row r="77" spans="1:6" s="874" customFormat="1" ht="24">
      <c r="A77" s="878">
        <v>17</v>
      </c>
      <c r="B77" s="3306"/>
      <c r="C77" s="814" t="s">
        <v>648</v>
      </c>
      <c r="D77" s="814" t="s">
        <v>649</v>
      </c>
      <c r="E77" s="891">
        <v>0.5</v>
      </c>
      <c r="F77" s="878">
        <v>80</v>
      </c>
    </row>
    <row r="78" spans="1:6" s="874" customFormat="1" ht="24">
      <c r="A78" s="878">
        <v>18</v>
      </c>
      <c r="B78" s="3306"/>
      <c r="C78" s="814" t="s">
        <v>650</v>
      </c>
      <c r="D78" s="814" t="s">
        <v>651</v>
      </c>
      <c r="E78" s="891">
        <v>0.2</v>
      </c>
      <c r="F78" s="878">
        <v>30</v>
      </c>
    </row>
    <row r="79" spans="1:6" s="874" customFormat="1" ht="24">
      <c r="A79" s="878">
        <v>19</v>
      </c>
      <c r="B79" s="3306"/>
      <c r="C79" s="814" t="s">
        <v>652</v>
      </c>
      <c r="D79" s="814" t="s">
        <v>653</v>
      </c>
      <c r="E79" s="891">
        <v>0.5</v>
      </c>
      <c r="F79" s="878">
        <v>80</v>
      </c>
    </row>
    <row r="80" spans="1:6" s="874" customFormat="1" ht="36">
      <c r="A80" s="878">
        <v>20</v>
      </c>
      <c r="B80" s="3306"/>
      <c r="C80" s="814" t="s">
        <v>654</v>
      </c>
      <c r="D80" s="814" t="s">
        <v>655</v>
      </c>
      <c r="E80" s="891">
        <v>0.2</v>
      </c>
      <c r="F80" s="878">
        <v>30</v>
      </c>
    </row>
    <row r="81" spans="1:6" s="874" customFormat="1" ht="36">
      <c r="A81" s="878">
        <v>21</v>
      </c>
      <c r="B81" s="3306"/>
      <c r="C81" s="814" t="s">
        <v>656</v>
      </c>
      <c r="D81" s="814" t="s">
        <v>657</v>
      </c>
      <c r="E81" s="891">
        <v>0.2</v>
      </c>
      <c r="F81" s="878">
        <v>30</v>
      </c>
    </row>
    <row r="82" spans="1:6" s="874" customFormat="1" ht="48">
      <c r="A82" s="878">
        <v>22</v>
      </c>
      <c r="B82" s="3306"/>
      <c r="C82" s="814" t="s">
        <v>658</v>
      </c>
      <c r="D82" s="814" t="s">
        <v>659</v>
      </c>
      <c r="E82" s="891">
        <v>0.2</v>
      </c>
      <c r="F82" s="878">
        <v>30</v>
      </c>
    </row>
    <row r="83" spans="1:6" s="874" customFormat="1" ht="48">
      <c r="A83" s="878">
        <v>23</v>
      </c>
      <c r="B83" s="3306"/>
      <c r="C83" s="814" t="s">
        <v>660</v>
      </c>
      <c r="D83" s="814" t="s">
        <v>661</v>
      </c>
      <c r="E83" s="891">
        <v>0.2</v>
      </c>
      <c r="F83" s="878">
        <v>30</v>
      </c>
    </row>
    <row r="84" spans="1:6" s="874" customFormat="1" ht="36">
      <c r="A84" s="878">
        <v>24</v>
      </c>
      <c r="B84" s="3306"/>
      <c r="C84" s="814" t="s">
        <v>662</v>
      </c>
      <c r="D84" s="814" t="s">
        <v>663</v>
      </c>
      <c r="E84" s="891">
        <v>0.2</v>
      </c>
      <c r="F84" s="878">
        <v>30</v>
      </c>
    </row>
    <row r="85" spans="1:6" s="874" customFormat="1" ht="36">
      <c r="A85" s="878">
        <v>25</v>
      </c>
      <c r="B85" s="3306"/>
      <c r="C85" s="814" t="s">
        <v>664</v>
      </c>
      <c r="D85" s="814" t="s">
        <v>665</v>
      </c>
      <c r="E85" s="891">
        <v>0.5</v>
      </c>
      <c r="F85" s="878">
        <v>80</v>
      </c>
    </row>
    <row r="86" spans="1:6" s="874" customFormat="1" ht="36">
      <c r="A86" s="878">
        <v>26</v>
      </c>
      <c r="B86" s="3306"/>
      <c r="C86" s="814" t="s">
        <v>666</v>
      </c>
      <c r="D86" s="814" t="s">
        <v>667</v>
      </c>
      <c r="E86" s="891">
        <v>0.2</v>
      </c>
      <c r="F86" s="878">
        <v>30</v>
      </c>
    </row>
    <row r="87" spans="1:6" s="874" customFormat="1" ht="36">
      <c r="A87" s="878">
        <v>27</v>
      </c>
      <c r="B87" s="3306"/>
      <c r="C87" s="814" t="s">
        <v>668</v>
      </c>
      <c r="D87" s="814" t="s">
        <v>669</v>
      </c>
      <c r="E87" s="891">
        <v>0.2</v>
      </c>
      <c r="F87" s="878">
        <v>30</v>
      </c>
    </row>
    <row r="88" spans="1:6" s="874" customFormat="1" ht="36">
      <c r="A88" s="878">
        <v>28</v>
      </c>
      <c r="B88" s="3306"/>
      <c r="C88" s="814" t="s">
        <v>670</v>
      </c>
      <c r="D88" s="814" t="s">
        <v>671</v>
      </c>
      <c r="E88" s="891">
        <v>0.2</v>
      </c>
      <c r="F88" s="878">
        <v>30</v>
      </c>
    </row>
    <row r="89" spans="1:6" s="874" customFormat="1" ht="24">
      <c r="A89" s="878">
        <v>29</v>
      </c>
      <c r="B89" s="3306"/>
      <c r="C89" s="814" t="s">
        <v>672</v>
      </c>
      <c r="D89" s="814" t="s">
        <v>673</v>
      </c>
      <c r="E89" s="891">
        <v>0.2</v>
      </c>
      <c r="F89" s="878">
        <v>30</v>
      </c>
    </row>
    <row r="90" spans="1:6" s="874" customFormat="1" ht="24">
      <c r="A90" s="878">
        <v>30</v>
      </c>
      <c r="B90" s="3306"/>
      <c r="C90" s="814" t="s">
        <v>674</v>
      </c>
      <c r="D90" s="814" t="s">
        <v>675</v>
      </c>
      <c r="E90" s="891">
        <v>0.2</v>
      </c>
      <c r="F90" s="878">
        <v>30</v>
      </c>
    </row>
    <row r="91" spans="1:6" s="874" customFormat="1" ht="36">
      <c r="A91" s="878">
        <v>31</v>
      </c>
      <c r="B91" s="3306"/>
      <c r="C91" s="814" t="s">
        <v>676</v>
      </c>
      <c r="D91" s="814" t="s">
        <v>677</v>
      </c>
      <c r="E91" s="891">
        <v>0.2</v>
      </c>
      <c r="F91" s="878">
        <v>30</v>
      </c>
    </row>
    <row r="92" spans="1:6" s="874" customFormat="1" ht="24">
      <c r="A92" s="878">
        <v>32</v>
      </c>
      <c r="B92" s="3306" t="s">
        <v>678</v>
      </c>
      <c r="C92" s="878" t="s">
        <v>679</v>
      </c>
      <c r="D92" s="814" t="s">
        <v>680</v>
      </c>
      <c r="E92" s="891">
        <v>0.2</v>
      </c>
      <c r="F92" s="878">
        <v>30</v>
      </c>
    </row>
    <row r="93" spans="1:6" s="874" customFormat="1" ht="36">
      <c r="A93" s="878">
        <v>33</v>
      </c>
      <c r="B93" s="3306"/>
      <c r="C93" s="878" t="s">
        <v>681</v>
      </c>
      <c r="D93" s="814" t="s">
        <v>682</v>
      </c>
      <c r="E93" s="891">
        <v>0.2</v>
      </c>
      <c r="F93" s="878">
        <v>30</v>
      </c>
    </row>
    <row r="94" spans="1:6" s="874" customFormat="1" ht="48">
      <c r="A94" s="878">
        <v>34</v>
      </c>
      <c r="B94" s="3306"/>
      <c r="C94" s="878" t="s">
        <v>683</v>
      </c>
      <c r="D94" s="814" t="s">
        <v>684</v>
      </c>
      <c r="E94" s="891">
        <v>0.2</v>
      </c>
      <c r="F94" s="878">
        <v>30</v>
      </c>
    </row>
    <row r="95" spans="1:6" s="874" customFormat="1" ht="36">
      <c r="A95" s="878">
        <v>35</v>
      </c>
      <c r="B95" s="3306"/>
      <c r="C95" s="878" t="s">
        <v>685</v>
      </c>
      <c r="D95" s="814" t="s">
        <v>686</v>
      </c>
      <c r="E95" s="891">
        <v>0.2</v>
      </c>
      <c r="F95" s="878">
        <v>30</v>
      </c>
    </row>
    <row r="96" spans="1:6" s="874" customFormat="1" ht="48">
      <c r="A96" s="878">
        <v>36</v>
      </c>
      <c r="B96" s="3306"/>
      <c r="C96" s="814" t="s">
        <v>687</v>
      </c>
      <c r="D96" s="814" t="s">
        <v>688</v>
      </c>
      <c r="E96" s="891">
        <v>0.2</v>
      </c>
      <c r="F96" s="878">
        <v>30</v>
      </c>
    </row>
    <row r="97" spans="1:6" s="874" customFormat="1" ht="36">
      <c r="A97" s="878">
        <v>37</v>
      </c>
      <c r="B97" s="3306"/>
      <c r="C97" s="878" t="s">
        <v>689</v>
      </c>
      <c r="D97" s="814" t="s">
        <v>690</v>
      </c>
      <c r="E97" s="891">
        <v>0.2</v>
      </c>
      <c r="F97" s="878">
        <v>30</v>
      </c>
    </row>
    <row r="98" spans="1:6" s="874" customFormat="1" ht="36">
      <c r="A98" s="878">
        <v>38</v>
      </c>
      <c r="B98" s="3306"/>
      <c r="C98" s="878" t="s">
        <v>691</v>
      </c>
      <c r="D98" s="814" t="s">
        <v>692</v>
      </c>
      <c r="E98" s="891">
        <v>0.2</v>
      </c>
      <c r="F98" s="878">
        <v>30</v>
      </c>
    </row>
    <row r="99" spans="1:6" s="874" customFormat="1" ht="36">
      <c r="A99" s="878">
        <v>39</v>
      </c>
      <c r="B99" s="3306" t="s">
        <v>693</v>
      </c>
      <c r="C99" s="878" t="s">
        <v>694</v>
      </c>
      <c r="D99" s="814" t="s">
        <v>695</v>
      </c>
      <c r="E99" s="891">
        <v>0.3</v>
      </c>
      <c r="F99" s="878">
        <v>50</v>
      </c>
    </row>
    <row r="100" spans="1:6" s="874" customFormat="1" ht="24">
      <c r="A100" s="878">
        <v>40</v>
      </c>
      <c r="B100" s="3306"/>
      <c r="C100" s="878" t="s">
        <v>696</v>
      </c>
      <c r="D100" s="814" t="s">
        <v>697</v>
      </c>
      <c r="E100" s="891">
        <v>0.2</v>
      </c>
      <c r="F100" s="878">
        <v>30</v>
      </c>
    </row>
    <row r="101" spans="1:6" s="874" customFormat="1" ht="36">
      <c r="A101" s="878">
        <v>41</v>
      </c>
      <c r="B101" s="330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06" t="s">
        <v>708</v>
      </c>
      <c r="C105" s="878" t="s">
        <v>709</v>
      </c>
      <c r="D105" s="814" t="s">
        <v>710</v>
      </c>
      <c r="E105" s="891">
        <v>0.2</v>
      </c>
      <c r="F105" s="878">
        <v>30</v>
      </c>
    </row>
    <row r="106" spans="1:6" s="874" customFormat="1" ht="36">
      <c r="A106" s="878">
        <v>46</v>
      </c>
      <c r="B106" s="3306"/>
      <c r="C106" s="878" t="s">
        <v>711</v>
      </c>
      <c r="D106" s="814" t="s">
        <v>712</v>
      </c>
      <c r="E106" s="891">
        <v>0.2</v>
      </c>
      <c r="F106" s="878">
        <v>30</v>
      </c>
    </row>
    <row r="107" spans="1:6" s="874" customFormat="1" ht="36">
      <c r="A107" s="878">
        <v>47</v>
      </c>
      <c r="B107" s="3306" t="s">
        <v>713</v>
      </c>
      <c r="C107" s="878" t="s">
        <v>714</v>
      </c>
      <c r="D107" s="814" t="s">
        <v>715</v>
      </c>
      <c r="E107" s="891">
        <v>0.3</v>
      </c>
      <c r="F107" s="878">
        <v>50</v>
      </c>
    </row>
    <row r="108" spans="1:6" s="874" customFormat="1" ht="36">
      <c r="A108" s="878">
        <v>48</v>
      </c>
      <c r="B108" s="330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06" t="s">
        <v>724</v>
      </c>
      <c r="C111" s="878" t="s">
        <v>725</v>
      </c>
      <c r="D111" s="814" t="s">
        <v>726</v>
      </c>
      <c r="E111" s="891">
        <v>0.2</v>
      </c>
      <c r="F111" s="878">
        <v>30</v>
      </c>
    </row>
    <row r="112" spans="1:6" s="874" customFormat="1" ht="24">
      <c r="A112" s="878">
        <v>52</v>
      </c>
      <c r="B112" s="3306"/>
      <c r="C112" s="878" t="s">
        <v>727</v>
      </c>
      <c r="D112" s="814" t="s">
        <v>728</v>
      </c>
      <c r="E112" s="891">
        <v>0.2</v>
      </c>
      <c r="F112" s="878">
        <v>30</v>
      </c>
    </row>
    <row r="113" spans="1:6" s="874" customFormat="1" ht="24">
      <c r="A113" s="878">
        <v>53</v>
      </c>
      <c r="B113" s="330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06" t="s">
        <v>737</v>
      </c>
      <c r="C116" s="878" t="s">
        <v>738</v>
      </c>
      <c r="D116" s="814" t="s">
        <v>739</v>
      </c>
      <c r="E116" s="891">
        <v>0.2</v>
      </c>
      <c r="F116" s="878">
        <v>30</v>
      </c>
    </row>
    <row r="117" spans="1:6" ht="36">
      <c r="A117" s="878">
        <v>57</v>
      </c>
      <c r="B117" s="330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1.0901000000000001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3004</v>
      </c>
    </row>
    <row r="2" spans="1:5" ht="15.75">
      <c r="A2" s="2908" t="s">
        <v>2996</v>
      </c>
      <c r="B2" s="2909">
        <f ca="1">SUMIF(B6:B13,"&lt;&gt;#ref!",B6:B13)</f>
        <v>5520</v>
      </c>
      <c r="C2" s="2908" t="s">
        <v>2997</v>
      </c>
      <c r="D2" s="2908" t="s">
        <v>2998</v>
      </c>
      <c r="E2" s="2909">
        <f ca="1">SUMIF(E6:E13,"&lt;&gt;#ref!",E6:E13)</f>
        <v>15374.580000000002</v>
      </c>
    </row>
    <row r="3" spans="1:5" ht="15.75">
      <c r="A3" s="2908" t="s">
        <v>2999</v>
      </c>
      <c r="B3" s="2909">
        <f ca="1">ROUND(B2*10000/E2,0)</f>
        <v>3590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f ca="1">SUMIF(INDIRECT("'"&amp;A6&amp;"'"&amp;"!A:A"),"总价",INDIRECT("'"&amp;A6&amp;"'"&amp;"!B:B"))</f>
        <v>5520</v>
      </c>
      <c r="C6" s="2908" t="s">
        <v>2997</v>
      </c>
      <c r="D6" s="2910"/>
      <c r="E6" s="2574">
        <f ca="1">SUMIF(INDIRECT("'"&amp;A6&amp;"'"&amp;"!C:C"),"建筑面积",INDIRECT("'"&amp;A6&amp;"'"&amp;"!D:D"))</f>
        <v>15374.580000000002</v>
      </c>
    </row>
    <row r="7" spans="1:5" ht="15.75">
      <c r="A7" s="2913"/>
      <c r="B7" s="2909" t="e">
        <f ca="1">SUMIF(INDIRECT("'"&amp;A7&amp;"'"&amp;"!A:A"),"总价",INDIRECT("'"&amp;A7&amp;"'"&amp;"!B:B"))</f>
        <v>#REF!</v>
      </c>
      <c r="C7" s="2908" t="s">
        <v>2997</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4" t="e">
        <f t="shared" ca="1" si="0"/>
        <v>#REF!</v>
      </c>
    </row>
    <row r="9" spans="1:5" ht="15.75">
      <c r="A9" s="2913"/>
      <c r="B9" s="2909" t="e">
        <f t="shared" ca="1" si="1"/>
        <v>#REF!</v>
      </c>
      <c r="C9" s="2908" t="s">
        <v>2997</v>
      </c>
      <c r="D9" s="2910"/>
      <c r="E9" s="2574" t="e">
        <f t="shared" ca="1" si="0"/>
        <v>#REF!</v>
      </c>
    </row>
    <row r="10" spans="1:5" ht="15.75">
      <c r="A10" s="2913"/>
      <c r="B10" s="2909" t="e">
        <f t="shared" ca="1" si="1"/>
        <v>#REF!</v>
      </c>
      <c r="C10" s="2908" t="s">
        <v>2997</v>
      </c>
      <c r="D10" s="2910"/>
      <c r="E10" s="2574" t="e">
        <f t="shared" ca="1" si="0"/>
        <v>#REF!</v>
      </c>
    </row>
    <row r="11" spans="1:5" ht="15.75">
      <c r="A11" s="2913"/>
      <c r="B11" s="2909" t="e">
        <f t="shared" ca="1" si="1"/>
        <v>#REF!</v>
      </c>
      <c r="C11" s="2908" t="s">
        <v>2997</v>
      </c>
      <c r="D11" s="2910"/>
      <c r="E11" s="2574" t="e">
        <f t="shared" ca="1" si="0"/>
        <v>#REF!</v>
      </c>
    </row>
    <row r="12" spans="1:5" ht="15.75">
      <c r="A12" s="2913"/>
      <c r="B12" s="2909" t="e">
        <f t="shared" ca="1" si="1"/>
        <v>#REF!</v>
      </c>
      <c r="C12" s="2908" t="s">
        <v>2997</v>
      </c>
      <c r="D12" s="2910"/>
      <c r="E12" s="2574" t="e">
        <f t="shared" ca="1" si="0"/>
        <v>#REF!</v>
      </c>
    </row>
    <row r="13" spans="1:5" ht="15.75">
      <c r="A13" s="2913"/>
      <c r="B13" s="2909" t="e">
        <f t="shared" ca="1" si="1"/>
        <v>#REF!</v>
      </c>
      <c r="C13" s="2908" t="s">
        <v>2997</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I21" sqref="I21"/>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2" t="s">
        <v>1150</v>
      </c>
      <c r="C1" s="3312"/>
      <c r="D1" s="3312"/>
      <c r="E1" s="3312"/>
      <c r="F1" s="3312"/>
      <c r="G1" s="3308" t="s">
        <v>1151</v>
      </c>
      <c r="H1" s="3308"/>
      <c r="I1" s="3308"/>
      <c r="J1" s="3308"/>
      <c r="K1" s="3308"/>
      <c r="L1" s="3308"/>
      <c r="N1" s="3308" t="s">
        <v>1152</v>
      </c>
      <c r="O1" s="3308"/>
      <c r="P1" s="3308"/>
      <c r="Q1" s="3308"/>
      <c r="R1" s="1445"/>
      <c r="S1" s="3308" t="s">
        <v>1153</v>
      </c>
      <c r="T1" s="3308"/>
      <c r="U1" s="3308"/>
      <c r="V1" s="3308"/>
      <c r="X1" s="3307" t="s">
        <v>1154</v>
      </c>
      <c r="Y1" s="3308"/>
      <c r="Z1" s="3308"/>
      <c r="AA1" s="3308"/>
      <c r="AB1" s="3308"/>
      <c r="AD1" s="3307" t="s">
        <v>1155</v>
      </c>
      <c r="AE1" s="3308"/>
      <c r="AF1" s="3308"/>
      <c r="AG1" s="3308"/>
      <c r="AH1" s="3308"/>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3039</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3045</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7">
        <v>2018</v>
      </c>
      <c r="H5" s="1729">
        <v>2</v>
      </c>
      <c r="I5" s="2922">
        <v>0</v>
      </c>
      <c r="J5" s="2922">
        <v>0</v>
      </c>
      <c r="K5" s="2922">
        <v>0</v>
      </c>
      <c r="L5" s="2922">
        <v>0</v>
      </c>
      <c r="N5" s="1466">
        <f t="shared" ref="N5" si="7">I5/100</f>
        <v>0</v>
      </c>
      <c r="O5" s="1466">
        <f t="shared" ref="O5" si="8">J5/100</f>
        <v>0</v>
      </c>
      <c r="P5" s="1466">
        <f t="shared" ref="P5" si="9">K5/100</f>
        <v>0</v>
      </c>
      <c r="Q5" s="1466">
        <f t="shared" ref="Q5" si="10">L5/100</f>
        <v>0</v>
      </c>
      <c r="R5" s="1731"/>
      <c r="S5" s="1732"/>
      <c r="T5" s="1731"/>
      <c r="U5" s="1731"/>
      <c r="V5" s="1731"/>
      <c r="W5" s="2926" t="s">
        <v>3040</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3038</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8">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3035</v>
      </c>
      <c r="B7" s="1468">
        <v>439</v>
      </c>
      <c r="C7" s="1468">
        <v>327</v>
      </c>
      <c r="D7" s="1468">
        <f>C7</f>
        <v>327</v>
      </c>
      <c r="E7" s="1468">
        <v>627</v>
      </c>
      <c r="F7" s="1469">
        <v>283</v>
      </c>
      <c r="G7" s="2924">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3036</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0"/>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9"/>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20"/>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313">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310"/>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310"/>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311"/>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309">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310"/>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310"/>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311"/>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309">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310"/>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310"/>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311"/>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1163</v>
      </c>
      <c r="B23" s="1468">
        <v>299</v>
      </c>
      <c r="C23" s="1468">
        <v>252</v>
      </c>
      <c r="D23" s="1468">
        <f t="shared" si="44"/>
        <v>252</v>
      </c>
      <c r="E23" s="1468">
        <v>409</v>
      </c>
      <c r="F23" s="1469">
        <v>227</v>
      </c>
      <c r="G23" s="3314">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15"/>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15"/>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16"/>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309">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310"/>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310"/>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311"/>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309">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310">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310">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311">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309">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310">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310">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311">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309">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310">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310">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311">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309">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310">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310">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311">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309">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310">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310">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311">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309">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310">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310">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311">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309">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310">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310">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311">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309">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310">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310">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311">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309">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310">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310">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311">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309">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310">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310">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311">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318" t="s">
        <v>3007</v>
      </c>
      <c r="D1" s="3319"/>
      <c r="E1" s="3319"/>
      <c r="F1" s="3319"/>
      <c r="G1" s="3319"/>
      <c r="H1" s="3319"/>
      <c r="I1" s="3319"/>
      <c r="J1" s="3319"/>
      <c r="K1" s="3319"/>
      <c r="L1" s="3319"/>
      <c r="M1" s="3319"/>
      <c r="N1" s="3319"/>
      <c r="O1" s="3319"/>
      <c r="P1" s="3319"/>
      <c r="Q1" s="3319"/>
      <c r="R1" s="3319"/>
      <c r="S1" s="3320"/>
      <c r="T1" s="1203" t="s">
        <v>3008</v>
      </c>
    </row>
    <row r="2" spans="1:45" s="707" customFormat="1">
      <c r="A2" s="1204"/>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3016</v>
      </c>
      <c r="B17" s="2915"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6" t="s">
        <v>3018</v>
      </c>
      <c r="E19" s="1791"/>
      <c r="F19" s="1791"/>
      <c r="G19" s="1791"/>
      <c r="H19" s="1279"/>
      <c r="I19" s="168"/>
      <c r="J19" s="168"/>
      <c r="K19" s="168"/>
      <c r="L19" s="168"/>
      <c r="M19" s="168"/>
      <c r="N19" s="168"/>
      <c r="O19" s="168"/>
      <c r="P19" s="168"/>
      <c r="Q19" s="168"/>
      <c r="R19" s="788"/>
      <c r="S19" s="138"/>
    </row>
    <row r="20" spans="1:45" ht="16.5" thickBot="1">
      <c r="A20" s="715" t="s">
        <v>3019</v>
      </c>
      <c r="B20" s="338" t="e">
        <f ca="1">IF(D20="——",S22,S22-F20)</f>
        <v>#REF!</v>
      </c>
      <c r="C20" s="168"/>
      <c r="D20" s="2917" t="s">
        <v>3020</v>
      </c>
      <c r="E20" s="1792"/>
      <c r="F20" s="1203" t="e">
        <f ca="1">SUMIF(INDIRECT("'"&amp;H20&amp;"'"&amp;"!A:A"),"承租人权益价值",INDIRECT("'"&amp;H20&amp;"'"&amp;"!c:c"))</f>
        <v>#REF!</v>
      </c>
      <c r="G20" s="1203" t="s">
        <v>3021</v>
      </c>
      <c r="H20" s="2918"/>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30" t="s">
        <v>33</v>
      </c>
      <c r="D22" s="3131"/>
      <c r="E22" s="3131"/>
      <c r="F22" s="3131"/>
      <c r="G22" s="3131"/>
      <c r="H22" s="3131"/>
      <c r="I22" s="3131"/>
      <c r="J22" s="3131"/>
      <c r="K22" s="3131"/>
      <c r="L22" s="3131"/>
      <c r="M22" s="3131"/>
      <c r="N22" s="3131"/>
      <c r="O22" s="3131"/>
      <c r="P22" s="3131"/>
      <c r="Q22" s="3317"/>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51005</v>
      </c>
      <c r="C2" s="2" t="s">
        <v>133</v>
      </c>
      <c r="D2" s="243"/>
      <c r="E2" s="243"/>
      <c r="F2" s="243"/>
      <c r="G2" s="243"/>
    </row>
    <row r="3" spans="1:7" s="244" customFormat="1" ht="18" customHeight="1" thickBot="1">
      <c r="A3" s="247" t="s">
        <v>85</v>
      </c>
      <c r="B3" s="248">
        <f ca="1">ROUND(B2*10000/'数据-汇总表'!E3,0)</f>
        <v>12352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826</v>
      </c>
      <c r="D10" s="1031">
        <f>'数据-汇总表'!E6</f>
        <v>41293.960000000006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826</v>
      </c>
      <c r="D19" s="1035">
        <f>'数据-汇总表'!E3</f>
        <v>41293.960000000006</v>
      </c>
      <c r="E19" s="255">
        <f>'数据-取费表'!B31</f>
        <v>200</v>
      </c>
      <c r="F19" s="275"/>
      <c r="G19" s="1" t="s">
        <v>1074</v>
      </c>
    </row>
    <row r="20" spans="1:7" s="258" customFormat="1" ht="13.5" customHeight="1">
      <c r="A20" s="947" t="s">
        <v>1057</v>
      </c>
      <c r="B20" s="254" t="s">
        <v>104</v>
      </c>
      <c r="C20" s="276">
        <f>ROUND((C5+C19)*F20,0)</f>
        <v>643</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2115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80</v>
      </c>
      <c r="D24" s="282"/>
      <c r="E24" s="282"/>
      <c r="F24" s="283"/>
      <c r="G24" s="284" t="s">
        <v>109</v>
      </c>
    </row>
    <row r="25" spans="1:7" s="258" customFormat="1" ht="24">
      <c r="A25" s="950" t="s">
        <v>793</v>
      </c>
      <c r="B25" s="259" t="s">
        <v>1058</v>
      </c>
      <c r="C25" s="1354">
        <f ca="1">ROUND(IF('数据-取费表'!B22&lt;=1,C20*F22*'数据-取费表'!B23/2,C20*(POWER((1+F22),'数据-取费表'!B23/2)-1)),0)</f>
        <v>31</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5078</v>
      </c>
      <c r="D27" s="279">
        <f>C29</f>
        <v>6.8999999999999999E-3</v>
      </c>
      <c r="E27" s="280" t="s">
        <v>126</v>
      </c>
      <c r="F27" s="290">
        <f>'数据-取费表'!Q16</f>
        <v>0.23</v>
      </c>
      <c r="G27" s="291" t="s">
        <v>1069</v>
      </c>
    </row>
    <row r="28" spans="1:7" s="258" customFormat="1" ht="13.5" customHeight="1">
      <c r="A28" s="950" t="s">
        <v>794</v>
      </c>
      <c r="B28" s="292" t="s">
        <v>1062</v>
      </c>
      <c r="C28" s="293">
        <f>ROUND((C5+C19+C20)*F27*'数据-取费表'!B21/'数据-取费表'!B20,0)</f>
        <v>5078</v>
      </c>
      <c r="D28" s="279"/>
      <c r="E28" s="280"/>
      <c r="F28" s="290"/>
      <c r="G28" s="291"/>
    </row>
    <row r="29" spans="1:7" s="258" customFormat="1" ht="13.5" customHeight="1">
      <c r="A29" s="950" t="s">
        <v>792</v>
      </c>
      <c r="B29" s="292" t="s">
        <v>1063</v>
      </c>
      <c r="C29" s="282">
        <f>ROUND(C21*F27*'数据-取费表'!B21/'数据-取费表'!B20,4)</f>
        <v>6.8999999999999999E-3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32225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13941</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12550</v>
      </c>
      <c r="D34" s="261"/>
      <c r="E34" s="264"/>
      <c r="F34" s="301">
        <f>IF('数据-取费表'!B24=0,1,'数据-取费表'!N16)</f>
        <v>1</v>
      </c>
      <c r="G34" s="263" t="s">
        <v>116</v>
      </c>
    </row>
    <row r="35" spans="1:7" ht="13.5" customHeight="1">
      <c r="A35" s="950" t="s">
        <v>796</v>
      </c>
      <c r="B35" s="259" t="s">
        <v>60</v>
      </c>
      <c r="C35" s="264">
        <f>ROUND(C34*F35,0)</f>
        <v>377</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826</v>
      </c>
      <c r="D37" s="261">
        <f>'数据-汇总表'!E3</f>
        <v>41293.960000000006</v>
      </c>
      <c r="E37" s="293">
        <f>'数据-取费表'!B35</f>
        <v>200</v>
      </c>
      <c r="F37" s="303"/>
      <c r="G37" s="305" t="s">
        <v>119</v>
      </c>
    </row>
    <row r="38" spans="1:7" ht="13.5" customHeight="1">
      <c r="A38" s="950" t="s">
        <v>799</v>
      </c>
      <c r="B38" s="259" t="s">
        <v>63</v>
      </c>
      <c r="C38" s="264">
        <f>ROUND(C34*F38,0)</f>
        <v>188</v>
      </c>
      <c r="D38" s="264"/>
      <c r="E38" s="264"/>
      <c r="F38" s="303">
        <f>'数据-取费表'!B36</f>
        <v>1.4999999999999999E-2</v>
      </c>
      <c r="G38" s="263" t="s">
        <v>117</v>
      </c>
    </row>
    <row r="39" spans="1:7" s="258" customFormat="1" ht="13.5" customHeight="1">
      <c r="A39" s="947" t="s">
        <v>783</v>
      </c>
      <c r="B39" s="254" t="s">
        <v>104</v>
      </c>
      <c r="C39" s="276">
        <f>ROUND(C33*F20,0)</f>
        <v>418</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682</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662</v>
      </c>
      <c r="D42" s="282"/>
      <c r="E42" s="282"/>
      <c r="F42" s="283"/>
      <c r="G42" s="3239" t="s">
        <v>121</v>
      </c>
    </row>
    <row r="43" spans="1:7" ht="13.5" customHeight="1">
      <c r="A43" s="950" t="s">
        <v>792</v>
      </c>
      <c r="B43" s="259" t="s">
        <v>1064</v>
      </c>
      <c r="C43" s="282">
        <f ca="1">ROUND(IF('数据-取费表'!B22&lt;=1,C39*F22*'数据-取费表'!B21/2,C39*(POWER((1+F22),'数据-取费表'!B21/2)-1)),0)</f>
        <v>20</v>
      </c>
      <c r="D43" s="282"/>
      <c r="E43" s="282"/>
      <c r="F43" s="283"/>
      <c r="G43" s="3240"/>
    </row>
    <row r="44" spans="1:7" ht="13.5" customHeight="1">
      <c r="A44" s="950" t="s">
        <v>793</v>
      </c>
      <c r="B44" s="259" t="s">
        <v>1066</v>
      </c>
      <c r="C44" s="282">
        <f ca="1">ROUND(IF('数据-取费表'!B22&lt;=1,C40*F22*'数据-取费表'!B21/2,C40*(POWER((1+F22),'数据-取费表'!B21/2)-1)),4)</f>
        <v>1.4E-3</v>
      </c>
      <c r="D44" s="282"/>
      <c r="E44" s="282"/>
      <c r="F44" s="283"/>
      <c r="G44" s="3241"/>
    </row>
    <row r="45" spans="1:7" s="258" customFormat="1" ht="13.5" customHeight="1">
      <c r="A45" s="947" t="s">
        <v>786</v>
      </c>
      <c r="B45" s="288" t="s">
        <v>112</v>
      </c>
      <c r="C45" s="289">
        <f>C46</f>
        <v>3303</v>
      </c>
      <c r="D45" s="279">
        <f>C47</f>
        <v>6.8999999999999999E-3</v>
      </c>
      <c r="E45" s="280" t="s">
        <v>129</v>
      </c>
      <c r="F45" s="290"/>
      <c r="G45" s="291" t="s">
        <v>1072</v>
      </c>
    </row>
    <row r="46" spans="1:7" s="258" customFormat="1" ht="13.5" customHeight="1">
      <c r="A46" s="950" t="s">
        <v>794</v>
      </c>
      <c r="B46" s="292" t="s">
        <v>1065</v>
      </c>
      <c r="C46" s="293">
        <f>ROUND((C33+C39)*F27,0)</f>
        <v>3303</v>
      </c>
      <c r="D46" s="307"/>
      <c r="E46" s="280"/>
      <c r="F46" s="290"/>
      <c r="G46" s="291"/>
    </row>
    <row r="47" spans="1:7" s="258" customFormat="1" ht="13.5" customHeight="1">
      <c r="A47" s="950" t="s">
        <v>792</v>
      </c>
      <c r="B47" s="292" t="s">
        <v>1067</v>
      </c>
      <c r="C47" s="282">
        <f>ROUND(C40*F27,4)</f>
        <v>6.8999999999999999E-3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20194</v>
      </c>
      <c r="D49" s="276"/>
      <c r="E49" s="276"/>
      <c r="F49" s="308"/>
      <c r="G49" s="278" t="s">
        <v>1073</v>
      </c>
    </row>
    <row r="50" spans="1:7" s="302" customFormat="1" ht="24">
      <c r="A50" s="947" t="s">
        <v>789</v>
      </c>
      <c r="B50" s="254" t="s">
        <v>124</v>
      </c>
      <c r="C50" s="276"/>
      <c r="D50" s="276"/>
      <c r="E50" s="276"/>
      <c r="F50" s="308">
        <f>IF('数据-取费表'!B24=0,'数据-取费表'!N16,1)</f>
        <v>0.93</v>
      </c>
      <c r="G50" s="291" t="s">
        <v>125</v>
      </c>
    </row>
    <row r="51" spans="1:7" ht="16.5" customHeight="1">
      <c r="A51" s="947" t="s">
        <v>790</v>
      </c>
      <c r="B51" s="254" t="s">
        <v>132</v>
      </c>
      <c r="C51" s="276">
        <f ca="1">ROUND(C49*F50,0)</f>
        <v>18780</v>
      </c>
      <c r="D51" s="276"/>
      <c r="E51" s="276"/>
      <c r="F51" s="308"/>
      <c r="G51" s="278" t="s">
        <v>64</v>
      </c>
    </row>
    <row r="52" spans="1:7" s="252" customFormat="1" ht="16.5" thickBot="1">
      <c r="A52" s="309" t="s">
        <v>65</v>
      </c>
      <c r="B52" s="310"/>
      <c r="C52" s="311">
        <f ca="1">C31+C51</f>
        <v>51005</v>
      </c>
      <c r="D52" s="310"/>
      <c r="E52" s="310"/>
      <c r="F52" s="310"/>
      <c r="G52" s="312"/>
    </row>
    <row r="55" spans="1:7" ht="15">
      <c r="B55" s="314" t="s">
        <v>66</v>
      </c>
      <c r="C55" s="315"/>
    </row>
    <row r="56" spans="1:7">
      <c r="B56" s="317" t="s">
        <v>67</v>
      </c>
      <c r="C56" s="318">
        <f ca="1">ROUND(C51/C52,3)</f>
        <v>0.36799999999999999</v>
      </c>
    </row>
    <row r="57" spans="1:7">
      <c r="B57" s="317" t="s">
        <v>68</v>
      </c>
      <c r="C57" s="319">
        <f ca="1">1-C56</f>
        <v>0.63200000000000001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21" t="s">
        <v>156</v>
      </c>
      <c r="B1" s="3321"/>
      <c r="C1" s="3321"/>
      <c r="D1" s="3321"/>
      <c r="E1" s="3321"/>
      <c r="F1" s="332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22" t="s">
        <v>169</v>
      </c>
      <c r="B2" s="3322"/>
      <c r="C2" s="3322"/>
      <c r="D2" s="3322"/>
      <c r="E2" s="3322"/>
      <c r="F2" s="332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21" t="s">
        <v>871</v>
      </c>
      <c r="B1" s="332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43100</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0" t="str">
        <f>IF(项目基本情况!B9="房地产市场价值","估价结果一览表","结果表-2")</f>
        <v>估价结果一览表</v>
      </c>
      <c r="B1" s="3010"/>
      <c r="C1" s="3010"/>
      <c r="D1" s="3010"/>
      <c r="E1" s="3010"/>
      <c r="F1" s="3010"/>
      <c r="G1" s="3010"/>
      <c r="H1" s="3010"/>
      <c r="I1" s="3010"/>
    </row>
    <row r="2" spans="1:9" ht="30" customHeight="1" thickTop="1">
      <c r="A2" s="3011" t="s">
        <v>1641</v>
      </c>
      <c r="B2" s="3011" t="s">
        <v>1642</v>
      </c>
      <c r="C2" s="3011" t="s">
        <v>1643</v>
      </c>
      <c r="D2" s="3011" t="str">
        <f>结果表仓储!D116</f>
        <v>出让国有建设用地使用权价值</v>
      </c>
      <c r="E2" s="3011"/>
      <c r="F2" s="3011" t="str">
        <f>结果表仓储!F116</f>
        <v>在建建筑物价值</v>
      </c>
      <c r="G2" s="3011"/>
      <c r="H2" s="3011" t="str">
        <f>IF(项目基本情况!B9="房地产市场价值","房地产市场价值","房地产价值")</f>
        <v>房地产市场价值</v>
      </c>
      <c r="I2" s="3011"/>
    </row>
    <row r="3" spans="1:9" ht="15">
      <c r="A3" s="3012"/>
      <c r="B3" s="3012"/>
      <c r="C3" s="3012"/>
      <c r="D3" s="1043" t="s">
        <v>1638</v>
      </c>
      <c r="E3" s="1043" t="s">
        <v>1644</v>
      </c>
      <c r="F3" s="1043" t="s">
        <v>1638</v>
      </c>
      <c r="G3" s="1043" t="s">
        <v>1639</v>
      </c>
      <c r="H3" s="1043" t="s">
        <v>1638</v>
      </c>
      <c r="I3" s="1043" t="s">
        <v>1639</v>
      </c>
    </row>
    <row r="4" spans="1:9" ht="15">
      <c r="A4" s="1972" t="str">
        <f>项目基本情况!S2</f>
        <v>北京市房地产</v>
      </c>
      <c r="B4" s="1043">
        <f>项目基本情况!C17</f>
        <v>41293.960000000006</v>
      </c>
      <c r="C4" s="1043">
        <f>项目基本情况!C18</f>
        <v>13315.65</v>
      </c>
      <c r="D4" s="1043" t="e">
        <f ca="1">结果表仓储!D118</f>
        <v>#REF!</v>
      </c>
      <c r="E4" s="1043" t="e">
        <f ca="1">结果表仓储!E118</f>
        <v>#REF!</v>
      </c>
      <c r="F4" s="1043" t="e">
        <f ca="1">结果表仓储!F118</f>
        <v>#REF!</v>
      </c>
      <c r="G4" s="1043" t="e">
        <f ca="1">结果表仓储!G118</f>
        <v>#REF!</v>
      </c>
      <c r="H4" s="1043">
        <f ca="1">结果表仓储!H118</f>
        <v>25728</v>
      </c>
      <c r="I4" s="1043">
        <f ca="1">结果表仓储!I118</f>
        <v>31200</v>
      </c>
    </row>
    <row r="5" spans="1:9" ht="30" customHeight="1">
      <c r="A5" s="3012" t="s">
        <v>1640</v>
      </c>
      <c r="B5" s="3012"/>
      <c r="C5" s="3012"/>
      <c r="D5" s="3013" t="e">
        <f ca="1">结果表仓储!D119</f>
        <v>#REF!</v>
      </c>
      <c r="E5" s="3013"/>
      <c r="F5" s="3013" t="e">
        <f ca="1">结果表仓储!F119</f>
        <v>#REF!</v>
      </c>
      <c r="G5" s="3013"/>
      <c r="H5" s="3013" t="str">
        <f ca="1">结果表仓储!H119</f>
        <v>贰亿伍仟柒佰贰拾捌万元整</v>
      </c>
      <c r="I5" s="3013"/>
    </row>
    <row r="6" spans="1:9" ht="15.75">
      <c r="A6" s="3014" t="str">
        <f>结果表仓储!A120</f>
        <v/>
      </c>
      <c r="B6" s="3014"/>
      <c r="C6" s="3014"/>
      <c r="D6" s="3014">
        <f>结果表仓储!D120</f>
        <v>0</v>
      </c>
      <c r="E6" s="3014"/>
      <c r="F6" s="3014"/>
      <c r="G6" s="3014"/>
      <c r="H6" s="3014"/>
      <c r="I6" s="3014"/>
    </row>
    <row r="7" spans="1:9" ht="15">
      <c r="A7" s="3012" t="s">
        <v>1640</v>
      </c>
      <c r="B7" s="3012"/>
      <c r="C7" s="3012"/>
      <c r="D7" s="3015" t="str">
        <f>结果表仓储!D121</f>
        <v>零元整</v>
      </c>
      <c r="E7" s="3016"/>
      <c r="F7" s="3016"/>
      <c r="G7" s="3016"/>
      <c r="H7" s="3016"/>
      <c r="I7" s="3017"/>
    </row>
    <row r="8" spans="1:9" ht="15.75">
      <c r="A8" s="3014" t="str">
        <f>结果表仓储!A122</f>
        <v/>
      </c>
      <c r="B8" s="3014"/>
      <c r="C8" s="3014"/>
      <c r="D8" s="3014">
        <f ca="1">结果表仓储!D122</f>
        <v>25728</v>
      </c>
      <c r="E8" s="3014"/>
      <c r="F8" s="3014"/>
      <c r="G8" s="3014"/>
      <c r="H8" s="3014"/>
      <c r="I8" s="3014"/>
    </row>
    <row r="9" spans="1:9" ht="15">
      <c r="A9" s="3012" t="s">
        <v>1640</v>
      </c>
      <c r="B9" s="3012"/>
      <c r="C9" s="3012"/>
      <c r="D9" s="3013" t="str">
        <f ca="1">结果表仓储!D123</f>
        <v>贰亿伍仟柒佰贰拾捌万元整</v>
      </c>
      <c r="E9" s="3013"/>
      <c r="F9" s="3013"/>
      <c r="G9" s="3013"/>
      <c r="H9" s="3013"/>
      <c r="I9" s="3013"/>
    </row>
    <row r="10" spans="1:9" ht="15.75">
      <c r="A10" s="3014" t="str">
        <f>结果表仓储!A124</f>
        <v/>
      </c>
      <c r="B10" s="3014"/>
      <c r="C10" s="3014"/>
      <c r="D10" s="3014" t="str">
        <f>结果表仓储!D124</f>
        <v>——</v>
      </c>
      <c r="E10" s="3014"/>
      <c r="F10" s="3014"/>
      <c r="G10" s="3014"/>
      <c r="H10" s="3014"/>
      <c r="I10" s="3014"/>
    </row>
    <row r="11" spans="1:9" ht="15">
      <c r="A11" s="3012" t="s">
        <v>1640</v>
      </c>
      <c r="B11" s="3012"/>
      <c r="C11" s="3012"/>
      <c r="D11" s="3013" t="e">
        <f>结果表仓储!D125</f>
        <v>#VALUE!</v>
      </c>
      <c r="E11" s="3013"/>
      <c r="F11" s="3013"/>
      <c r="G11" s="3013"/>
      <c r="H11" s="3013"/>
      <c r="I11" s="3013"/>
    </row>
    <row r="12" spans="1:9" ht="15.75">
      <c r="A12" s="3014" t="str">
        <f>结果表仓储!A126</f>
        <v/>
      </c>
      <c r="B12" s="3014"/>
      <c r="C12" s="3014"/>
      <c r="D12" s="3014" t="str">
        <f>结果表仓储!D126</f>
        <v>——</v>
      </c>
      <c r="E12" s="3014"/>
      <c r="F12" s="3014"/>
      <c r="G12" s="3014"/>
      <c r="H12" s="3014"/>
      <c r="I12" s="3014"/>
    </row>
    <row r="13" spans="1:9" ht="15.75" thickBot="1">
      <c r="A13" s="3018" t="s">
        <v>1640</v>
      </c>
      <c r="B13" s="3018"/>
      <c r="C13" s="3018"/>
      <c r="D13" s="3019" t="e">
        <f>结果表仓储!D127</f>
        <v>#VALUE!</v>
      </c>
      <c r="E13" s="3019"/>
      <c r="F13" s="3019"/>
      <c r="G13" s="3019"/>
      <c r="H13" s="3019"/>
      <c r="I13" s="3019"/>
    </row>
    <row r="14" spans="1:9" ht="15" thickTop="1">
      <c r="A14" s="3020" t="s">
        <v>1645</v>
      </c>
      <c r="B14" s="3020"/>
      <c r="C14" s="3020"/>
      <c r="D14" s="3020"/>
      <c r="E14" s="3020"/>
      <c r="F14" s="3020"/>
      <c r="G14" s="3020"/>
      <c r="H14" s="3020"/>
      <c r="I14" s="3020"/>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1" t="s">
        <v>1662</v>
      </c>
      <c r="B1" s="3021"/>
      <c r="C1" s="3021"/>
      <c r="D1" s="3021"/>
    </row>
    <row r="2" spans="1:4" ht="18">
      <c r="A2" s="3022" t="s">
        <v>1646</v>
      </c>
      <c r="B2" s="3022"/>
      <c r="C2" s="3022"/>
      <c r="D2" s="3022"/>
    </row>
    <row r="3" spans="1:4" ht="18.75">
      <c r="A3" s="1976" t="s">
        <v>1647</v>
      </c>
      <c r="B3" s="1976" t="s">
        <v>1648</v>
      </c>
      <c r="C3" s="1976" t="s">
        <v>1649</v>
      </c>
      <c r="D3" s="1976" t="s">
        <v>1650</v>
      </c>
    </row>
    <row r="4" spans="1:4" ht="56.25" customHeight="1">
      <c r="A4" s="1977" t="str">
        <f>项目基本情况!B4</f>
        <v>刘梅</v>
      </c>
      <c r="B4" s="1978">
        <f ca="1">项目基本情况!C4</f>
        <v>1120140022</v>
      </c>
      <c r="C4" s="1979"/>
      <c r="D4" s="1980" t="s">
        <v>1651</v>
      </c>
    </row>
    <row r="5" spans="1:4" ht="56.25" customHeight="1">
      <c r="A5" s="1977" t="str">
        <f>项目基本情况!D4</f>
        <v>吴薇</v>
      </c>
      <c r="B5" s="1978">
        <f ca="1">项目基本情况!E4</f>
        <v>1419970001</v>
      </c>
      <c r="C5" s="1981"/>
      <c r="D5" s="1980" t="s">
        <v>1651</v>
      </c>
    </row>
    <row r="6" spans="1:4" ht="18">
      <c r="A6" s="3022" t="s">
        <v>1652</v>
      </c>
      <c r="B6" s="3022"/>
      <c r="C6" s="3022"/>
      <c r="D6" s="3022"/>
    </row>
    <row r="7" spans="1:4" ht="18.75">
      <c r="A7" s="1976" t="s">
        <v>1647</v>
      </c>
      <c r="B7" s="1978" t="s">
        <v>1653</v>
      </c>
      <c r="C7" s="1976" t="s">
        <v>1649</v>
      </c>
      <c r="D7" s="1976" t="s">
        <v>1650</v>
      </c>
    </row>
    <row r="8" spans="1:4" ht="56.25" customHeight="1">
      <c r="A8" s="1982" t="s">
        <v>869</v>
      </c>
      <c r="B8" s="1982" t="s">
        <v>1</v>
      </c>
      <c r="C8" s="1979"/>
      <c r="D8" s="1980" t="s">
        <v>1651</v>
      </c>
    </row>
    <row r="9" spans="1:4">
      <c r="A9" s="728"/>
      <c r="B9" s="728"/>
      <c r="C9" s="728"/>
      <c r="D9" s="728"/>
    </row>
    <row r="10" spans="1:4" ht="18.75">
      <c r="A10" s="1983" t="s">
        <v>1654</v>
      </c>
      <c r="B10" s="728"/>
      <c r="C10" s="728"/>
      <c r="D10" s="728"/>
    </row>
    <row r="11" spans="1:4" ht="30" customHeight="1">
      <c r="A11" s="3023" t="s">
        <v>1655</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4" t="str">
        <f>IF(项目基本情况!B8="抵押","3.抵押双方在办理抵押登记手续时，应使用本公司出具的正式《房地产评估报告》，特提醒报告使用者注意。","——")</f>
        <v>——</v>
      </c>
      <c r="B13" s="3025"/>
      <c r="C13" s="3025"/>
      <c r="D13" s="3025"/>
    </row>
    <row r="14" spans="1:4" ht="15.75" customHeight="1">
      <c r="A14" s="3024" t="str">
        <f>IF(项目基本情况!B8="抵押","4.本次评估估价师所知悉的法定优先受偿款情况说明如下：","——")</f>
        <v>——</v>
      </c>
      <c r="B14" s="3025"/>
      <c r="C14" s="3025"/>
      <c r="D14" s="3025"/>
    </row>
    <row r="15" spans="1:4" ht="42" customHeight="1">
      <c r="A15" s="3024" t="str">
        <f>IF(项目基本情况!B8="抵押","（1）"&amp;CONCATENATE(项目基本情况!L20,项目基本情况!L21,项目基本情况!L22),"——")</f>
        <v>——</v>
      </c>
      <c r="B15" s="3024"/>
      <c r="C15" s="3024"/>
      <c r="D15" s="3024"/>
    </row>
    <row r="16" spans="1:4" ht="30" customHeight="1">
      <c r="A16" s="3027" t="s">
        <v>1656</v>
      </c>
      <c r="B16" s="3027"/>
      <c r="C16" s="3027"/>
      <c r="D16" s="3027"/>
    </row>
    <row r="17" spans="1:4" ht="144" customHeight="1">
      <c r="A17" s="3027" t="s">
        <v>1657</v>
      </c>
      <c r="B17" s="3027"/>
      <c r="C17" s="3027"/>
      <c r="D17" s="3027"/>
    </row>
    <row r="18" spans="1:4" ht="15.75" customHeight="1">
      <c r="A18" s="3024" t="str">
        <f>IF(项目基本情况!B8="抵押",结果表仓储!K120,"——")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仓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8" t="str">
        <f>IF(结果表仓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1658</v>
      </c>
      <c r="B22" s="3029"/>
      <c r="C22" s="3029"/>
      <c r="D22" s="3029"/>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A40" sqref="A40:XFD4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35" t="s">
        <v>1669</v>
      </c>
      <c r="B15" s="3030" t="s">
        <v>136</v>
      </c>
      <c r="C15" s="3031"/>
    </row>
    <row r="16" spans="1:7" ht="13.5">
      <c r="A16" s="3036"/>
      <c r="B16" s="3030" t="s">
        <v>69</v>
      </c>
      <c r="C16" s="3031"/>
    </row>
    <row r="17" spans="1:3" ht="13.5">
      <c r="A17" s="3036"/>
      <c r="B17" s="3033" t="s">
        <v>1670</v>
      </c>
      <c r="C17" s="1999" t="s">
        <v>1669</v>
      </c>
    </row>
    <row r="18" spans="1:3" ht="13.5">
      <c r="A18" s="3036"/>
      <c r="B18" s="3033"/>
      <c r="C18" s="1999" t="s">
        <v>1671</v>
      </c>
    </row>
    <row r="19" spans="1:3" ht="13.5">
      <c r="A19" s="3036"/>
      <c r="B19" s="3033"/>
      <c r="C19" s="1999" t="s">
        <v>1672</v>
      </c>
    </row>
    <row r="20" spans="1:3" ht="13.5">
      <c r="A20" s="3037"/>
      <c r="B20" s="3032" t="s">
        <v>1673</v>
      </c>
      <c r="C20" s="3031"/>
    </row>
    <row r="21" spans="1:3" ht="13.5">
      <c r="A21" s="2000" t="s">
        <v>1674</v>
      </c>
      <c r="B21" s="2001"/>
      <c r="C21" s="2002"/>
    </row>
    <row r="22" spans="1:3" ht="13.5">
      <c r="A22" s="3034" t="s">
        <v>1675</v>
      </c>
      <c r="B22" s="3032" t="s">
        <v>1676</v>
      </c>
      <c r="C22" s="3031"/>
    </row>
    <row r="23" spans="1:3" ht="13.5">
      <c r="A23" s="3034"/>
      <c r="B23" s="3032" t="s">
        <v>1677</v>
      </c>
      <c r="C23" s="3031"/>
    </row>
    <row r="24" spans="1:3" ht="13.5">
      <c r="A24" s="3034"/>
      <c r="B24" s="3032" t="s">
        <v>1678</v>
      </c>
      <c r="C24" s="3031"/>
    </row>
    <row r="25" spans="1:3" ht="13.5">
      <c r="A25" s="3034"/>
      <c r="B25" s="3033" t="s">
        <v>1679</v>
      </c>
      <c r="C25" s="1999" t="s">
        <v>1680</v>
      </c>
    </row>
    <row r="26" spans="1:3" ht="13.5">
      <c r="A26" s="3034"/>
      <c r="B26" s="3033"/>
      <c r="C26" s="1999" t="s">
        <v>1681</v>
      </c>
    </row>
    <row r="27" spans="1:3" ht="13.5">
      <c r="A27" s="3034"/>
      <c r="B27" s="3033"/>
      <c r="C27" s="1999" t="s">
        <v>1682</v>
      </c>
    </row>
    <row r="28" spans="1:3" ht="13.5">
      <c r="A28" s="3034"/>
      <c r="B28" s="3033"/>
      <c r="C28" s="1999" t="s">
        <v>1683</v>
      </c>
    </row>
    <row r="29" spans="1:3" ht="13.5">
      <c r="A29" s="3034"/>
      <c r="B29" s="3033"/>
      <c r="C29" s="1999" t="s">
        <v>1684</v>
      </c>
    </row>
    <row r="30" spans="1:3" ht="13.5">
      <c r="A30" s="3034"/>
      <c r="B30" s="3033"/>
      <c r="C30" s="1999" t="s">
        <v>1685</v>
      </c>
    </row>
    <row r="31" spans="1:3" ht="13.5">
      <c r="A31" s="3034"/>
      <c r="B31" s="3033"/>
      <c r="C31" s="1999" t="s">
        <v>1686</v>
      </c>
    </row>
    <row r="32" spans="1:3" ht="13.5">
      <c r="A32" s="3034"/>
      <c r="B32" s="3033"/>
      <c r="C32" s="1999" t="s">
        <v>1687</v>
      </c>
    </row>
    <row r="33" spans="1:3" ht="13.5">
      <c r="A33" s="3034"/>
      <c r="B33" s="3033"/>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43350</v>
      </c>
      <c r="C2" s="1018" t="s">
        <v>826</v>
      </c>
      <c r="D2" s="1018"/>
    </row>
    <row r="3" spans="1:6" ht="24" customHeight="1">
      <c r="A3" s="1019" t="s">
        <v>827</v>
      </c>
      <c r="B3" s="1020" t="s">
        <v>828</v>
      </c>
      <c r="C3" s="2344" t="s">
        <v>829</v>
      </c>
      <c r="D3" s="2347" t="s">
        <v>830</v>
      </c>
      <c r="E3" s="1021" t="s">
        <v>831</v>
      </c>
      <c r="F3" s="1020" t="s">
        <v>829</v>
      </c>
    </row>
    <row r="4" spans="1:6" ht="24" customHeight="1">
      <c r="A4" s="1701" t="s">
        <v>832</v>
      </c>
      <c r="B4" s="1021">
        <f ca="1">IF(C4&lt;B2,"已过期",1119970066)</f>
        <v>1119970066</v>
      </c>
      <c r="C4" s="2345">
        <v>43849</v>
      </c>
      <c r="D4" s="2348" t="s">
        <v>832</v>
      </c>
      <c r="E4" s="1021">
        <f ca="1">IF(F4&lt;B2,"已过期",96010014)</f>
        <v>96010014</v>
      </c>
      <c r="F4" s="1029">
        <v>47118</v>
      </c>
    </row>
    <row r="5" spans="1:6" ht="24" customHeight="1">
      <c r="A5" s="1701" t="s">
        <v>833</v>
      </c>
      <c r="B5" s="1021">
        <f ca="1">IF(C5&lt;B2,"已过期",1119970074)</f>
        <v>1119970074</v>
      </c>
      <c r="C5" s="2345">
        <v>43849</v>
      </c>
      <c r="D5" s="2348" t="s">
        <v>833</v>
      </c>
      <c r="E5" s="1021">
        <f ca="1">IF(F5&lt;B2,"已过期",2002110027)</f>
        <v>2002110027</v>
      </c>
      <c r="F5" s="1029">
        <v>46752</v>
      </c>
    </row>
    <row r="6" spans="1:6" ht="24" customHeight="1">
      <c r="A6" s="1701" t="s">
        <v>834</v>
      </c>
      <c r="B6" s="1021">
        <f ca="1">IF(C6&lt;B2,"已过期",1119970111)</f>
        <v>1119970111</v>
      </c>
      <c r="C6" s="2345">
        <v>43849</v>
      </c>
      <c r="D6" s="2348" t="s">
        <v>834</v>
      </c>
      <c r="E6" s="1021">
        <f ca="1">IF(F6&lt;B2,"已过期",94010078)</f>
        <v>94010078</v>
      </c>
      <c r="F6" s="1029">
        <v>46387</v>
      </c>
    </row>
    <row r="7" spans="1:6" ht="24" customHeight="1">
      <c r="A7" s="1701" t="s">
        <v>835</v>
      </c>
      <c r="B7" s="1021">
        <f ca="1">IF(C7&lt;B2,"已过期",1120050019)</f>
        <v>1120050019</v>
      </c>
      <c r="C7" s="2345">
        <v>43359</v>
      </c>
      <c r="D7" s="2348" t="s">
        <v>835</v>
      </c>
      <c r="E7" s="1021">
        <f ca="1">IF(F7&lt;B2,"已过期",2002110030)</f>
        <v>2002110030</v>
      </c>
      <c r="F7" s="1029">
        <v>46387</v>
      </c>
    </row>
    <row r="8" spans="1:6" ht="24" customHeight="1">
      <c r="A8" s="1701" t="s">
        <v>836</v>
      </c>
      <c r="B8" s="1021">
        <f ca="1">IF(C8&lt;B2,"已过期",1120000080)</f>
        <v>1120000080</v>
      </c>
      <c r="C8" s="2345">
        <v>43849</v>
      </c>
      <c r="D8" s="2348" t="s">
        <v>836</v>
      </c>
      <c r="E8" s="1021">
        <f ca="1">IF(F8&lt;B2,"已过期",2000110082)</f>
        <v>2000110082</v>
      </c>
      <c r="F8" s="1029">
        <v>46387</v>
      </c>
    </row>
    <row r="9" spans="1:6" ht="24" customHeight="1">
      <c r="A9" s="1701" t="s">
        <v>837</v>
      </c>
      <c r="B9" s="1021">
        <f ca="1">IF(C9&lt;B2,"已过期",1419970001)</f>
        <v>1419970001</v>
      </c>
      <c r="C9" s="2345">
        <v>43867</v>
      </c>
      <c r="D9" s="2348" t="s">
        <v>837</v>
      </c>
      <c r="E9" s="1021">
        <f ca="1">IF(F9&lt;B2,"已过期",2002110125)</f>
        <v>2002110125</v>
      </c>
      <c r="F9" s="1029">
        <v>47118</v>
      </c>
    </row>
    <row r="10" spans="1:6" ht="24" customHeight="1">
      <c r="A10" s="1701" t="s">
        <v>838</v>
      </c>
      <c r="B10" s="1021">
        <f ca="1">IF(C10&lt;B2,"已过期",1120060040)</f>
        <v>1120060040</v>
      </c>
      <c r="C10" s="2345">
        <v>43483</v>
      </c>
      <c r="D10" s="2348" t="s">
        <v>838</v>
      </c>
      <c r="E10" s="1021">
        <f ca="1">IF(F10&lt;B2,"已过期",2004110096)</f>
        <v>2004110096</v>
      </c>
      <c r="F10" s="1029">
        <v>47118</v>
      </c>
    </row>
    <row r="11" spans="1:6" ht="24" customHeight="1">
      <c r="A11" s="1701" t="s">
        <v>839</v>
      </c>
      <c r="B11" s="1021">
        <f ca="1">IF(C11&lt;B2,"已过期",1120100036)</f>
        <v>1120100036</v>
      </c>
      <c r="C11" s="2345">
        <v>43622</v>
      </c>
      <c r="D11" s="2348" t="s">
        <v>839</v>
      </c>
      <c r="E11" s="1021">
        <f ca="1">IF(F11&lt;B2,"已过期",2010110070)</f>
        <v>2010110070</v>
      </c>
      <c r="F11" s="1029">
        <v>47907</v>
      </c>
    </row>
    <row r="12" spans="1:6" ht="24" customHeight="1">
      <c r="A12" s="1701" t="s">
        <v>3046</v>
      </c>
      <c r="B12" s="1021">
        <v>1120110054</v>
      </c>
      <c r="C12" s="2939">
        <v>43937</v>
      </c>
      <c r="D12" s="1701" t="s">
        <v>3046</v>
      </c>
      <c r="E12" s="1021">
        <v>2008110060</v>
      </c>
      <c r="F12" s="1029">
        <v>47177</v>
      </c>
    </row>
    <row r="13" spans="1:6" ht="24" customHeight="1">
      <c r="A13" s="1701" t="s">
        <v>840</v>
      </c>
      <c r="B13" s="1021">
        <f ca="1">IF(C13&lt;B2,"已过期",1120070131)</f>
        <v>1120070131</v>
      </c>
      <c r="C13" s="2345">
        <v>43814</v>
      </c>
      <c r="D13" s="2348" t="s">
        <v>840</v>
      </c>
      <c r="E13" s="1021">
        <v>2014110011</v>
      </c>
      <c r="F13" s="1029">
        <v>49302</v>
      </c>
    </row>
    <row r="14" spans="1:6" ht="24" customHeight="1">
      <c r="A14" s="1701" t="s">
        <v>841</v>
      </c>
      <c r="B14" s="1021">
        <f ca="1">IF(C14&lt;B2,"已过期",1120130020)</f>
        <v>1120130020</v>
      </c>
      <c r="C14" s="2345">
        <v>43622</v>
      </c>
      <c r="D14" s="2348"/>
      <c r="E14" s="1021"/>
      <c r="F14" s="1021"/>
    </row>
    <row r="15" spans="1:6" ht="24" customHeight="1">
      <c r="A15" s="1702" t="s">
        <v>1149</v>
      </c>
      <c r="B15" s="1021">
        <v>1120070085</v>
      </c>
      <c r="C15" s="2345">
        <v>43814</v>
      </c>
      <c r="D15" s="2349" t="s">
        <v>1149</v>
      </c>
      <c r="E15" s="1021">
        <v>2004110128</v>
      </c>
      <c r="F15" s="1022">
        <v>47118</v>
      </c>
    </row>
    <row r="16" spans="1:6" ht="24" customHeight="1">
      <c r="A16" s="1701" t="s">
        <v>842</v>
      </c>
      <c r="B16" s="1021">
        <f ca="1">IF(C16&lt;B2,"已过期",1120140022)</f>
        <v>1120140022</v>
      </c>
      <c r="C16" s="2345">
        <v>44029</v>
      </c>
      <c r="D16" s="2348" t="s">
        <v>842</v>
      </c>
      <c r="E16" s="1021">
        <f ca="1">IF(F16&lt;B2,"已过期",2008110059)</f>
        <v>2008110059</v>
      </c>
      <c r="F16" s="1029">
        <v>47177</v>
      </c>
    </row>
    <row r="17" spans="1:7" ht="24" customHeight="1">
      <c r="A17" s="1701"/>
      <c r="B17" s="1021"/>
      <c r="C17" s="2345"/>
      <c r="D17" s="2348"/>
      <c r="E17" s="1021"/>
      <c r="F17" s="1029"/>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843</v>
      </c>
      <c r="E21" s="1021">
        <f ca="1">IF(F21&lt;B2,"已过期",2011110090)</f>
        <v>2011110090</v>
      </c>
      <c r="F21" s="1029">
        <v>48302</v>
      </c>
    </row>
    <row r="22" spans="1:7" ht="24" customHeight="1">
      <c r="A22" s="1701" t="s">
        <v>844</v>
      </c>
      <c r="B22" s="1021" t="str">
        <f ca="1">IF(C22&lt;B2,"已过期",1120020033)</f>
        <v>已过期</v>
      </c>
      <c r="C22" s="2345">
        <v>43304</v>
      </c>
      <c r="D22" s="2348" t="s">
        <v>844</v>
      </c>
      <c r="E22" s="1021">
        <f ca="1">IF(F22&lt;B2,"已过期",2000110137)</f>
        <v>2000110137</v>
      </c>
      <c r="F22" s="1029">
        <v>46387</v>
      </c>
    </row>
    <row r="23" spans="1:7" ht="24" customHeight="1">
      <c r="A23" s="1701" t="s">
        <v>845</v>
      </c>
      <c r="B23" s="1021">
        <f ca="1">IF(C23&lt;B2,"已过期",1120130048)</f>
        <v>1120130048</v>
      </c>
      <c r="C23" s="2345">
        <v>43686</v>
      </c>
      <c r="D23" s="2348"/>
      <c r="E23" s="1021"/>
      <c r="F23" s="1021"/>
    </row>
    <row r="24" spans="1:7" s="1023" customFormat="1" ht="24" customHeight="1">
      <c r="A24" s="1702" t="s">
        <v>1333</v>
      </c>
      <c r="B24" s="1702" t="s">
        <v>1333</v>
      </c>
      <c r="C24" s="2346" t="s">
        <v>1333</v>
      </c>
      <c r="D24" s="2349" t="s">
        <v>1333</v>
      </c>
      <c r="E24" s="1702" t="s">
        <v>1333</v>
      </c>
      <c r="F24" s="1702" t="s">
        <v>1333</v>
      </c>
    </row>
    <row r="25" spans="1:7" ht="24" customHeight="1">
      <c r="A25" s="3038" t="s">
        <v>846</v>
      </c>
      <c r="B25" s="3038"/>
      <c r="C25" s="3038"/>
      <c r="D25" s="3038"/>
      <c r="E25" s="3038"/>
      <c r="F25" s="3038"/>
      <c r="G25" s="3038"/>
    </row>
    <row r="26" spans="1:7" s="1024" customFormat="1" ht="24" customHeight="1">
      <c r="A26" s="3039" t="s">
        <v>847</v>
      </c>
      <c r="B26" s="3039"/>
      <c r="C26" s="3040"/>
      <c r="D26" s="3041" t="s">
        <v>848</v>
      </c>
      <c r="E26" s="3039"/>
      <c r="F26" s="3039"/>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42" priority="62">
      <formula>AND($C28-TODAY()&lt;30,TODAY()&lt;$C28)</formula>
    </cfRule>
  </conditionalFormatting>
  <conditionalFormatting sqref="C28 F4">
    <cfRule type="cellIs" dxfId="241" priority="64" stopIfTrue="1" operator="lessThan">
      <formula>$B$2</formula>
    </cfRule>
  </conditionalFormatting>
  <conditionalFormatting sqref="C5">
    <cfRule type="expression" dxfId="240" priority="59">
      <formula>AND($C5-TODAY()&lt;30,TODAY()&lt;$C5)</formula>
    </cfRule>
  </conditionalFormatting>
  <conditionalFormatting sqref="C5 F5">
    <cfRule type="cellIs" dxfId="239" priority="60" stopIfTrue="1" operator="lessThan">
      <formula>$B$2</formula>
    </cfRule>
  </conditionalFormatting>
  <conditionalFormatting sqref="F6 F8 F10">
    <cfRule type="cellIs" dxfId="238" priority="58" stopIfTrue="1" operator="lessThan">
      <formula>$B$2</formula>
    </cfRule>
  </conditionalFormatting>
  <conditionalFormatting sqref="C4:C11 C13:C23">
    <cfRule type="expression" dxfId="237" priority="56">
      <formula>AND($C4-TODAY()&lt;30,TODAY()&lt;$C4)</formula>
    </cfRule>
  </conditionalFormatting>
  <conditionalFormatting sqref="F7 F9 F11 C4:C11 C13:C23">
    <cfRule type="cellIs" dxfId="236" priority="57" stopIfTrue="1" operator="lessThan">
      <formula>$B$2</formula>
    </cfRule>
  </conditionalFormatting>
  <conditionalFormatting sqref="C14">
    <cfRule type="expression" dxfId="235" priority="50">
      <formula>AND($C14-TODAY()&lt;30,TODAY()&lt;$C14)</formula>
    </cfRule>
  </conditionalFormatting>
  <conditionalFormatting sqref="C14">
    <cfRule type="cellIs" dxfId="234" priority="51" stopIfTrue="1" operator="lessThan">
      <formula>$B$2</formula>
    </cfRule>
  </conditionalFormatting>
  <conditionalFormatting sqref="C16">
    <cfRule type="expression" dxfId="233" priority="48">
      <formula>AND($C16-TODAY()&lt;30,TODAY()&lt;$C16)</formula>
    </cfRule>
  </conditionalFormatting>
  <conditionalFormatting sqref="C16">
    <cfRule type="cellIs" dxfId="232" priority="49" stopIfTrue="1" operator="lessThan">
      <formula>$B$2</formula>
    </cfRule>
  </conditionalFormatting>
  <conditionalFormatting sqref="C18">
    <cfRule type="expression" dxfId="231" priority="46">
      <formula>AND($C18-TODAY()&lt;30,TODAY()&lt;$C18)</formula>
    </cfRule>
  </conditionalFormatting>
  <conditionalFormatting sqref="C18">
    <cfRule type="cellIs" dxfId="230" priority="47" stopIfTrue="1" operator="lessThan">
      <formula>$B$2</formula>
    </cfRule>
  </conditionalFormatting>
  <conditionalFormatting sqref="C20">
    <cfRule type="expression" dxfId="229" priority="44">
      <formula>AND($C20-TODAY()&lt;30,TODAY()&lt;$C20)</formula>
    </cfRule>
  </conditionalFormatting>
  <conditionalFormatting sqref="C20">
    <cfRule type="cellIs" dxfId="228" priority="45" stopIfTrue="1" operator="lessThan">
      <formula>$B$2</formula>
    </cfRule>
  </conditionalFormatting>
  <conditionalFormatting sqref="C22">
    <cfRule type="expression" dxfId="227" priority="42">
      <formula>AND($C22-TODAY()&lt;30,TODAY()&lt;$C22)</formula>
    </cfRule>
  </conditionalFormatting>
  <conditionalFormatting sqref="C22">
    <cfRule type="cellIs" dxfId="226" priority="43" stopIfTrue="1" operator="lessThan">
      <formula>$B$2</formula>
    </cfRule>
  </conditionalFormatting>
  <conditionalFormatting sqref="C15">
    <cfRule type="expression" dxfId="225" priority="40">
      <formula>AND($C15-TODAY()&lt;30,TODAY()&lt;$C15)</formula>
    </cfRule>
  </conditionalFormatting>
  <conditionalFormatting sqref="C15">
    <cfRule type="cellIs" dxfId="224" priority="41" stopIfTrue="1" operator="lessThan">
      <formula>$B$2</formula>
    </cfRule>
  </conditionalFormatting>
  <conditionalFormatting sqref="C17">
    <cfRule type="expression" dxfId="223" priority="38">
      <formula>AND($C17-TODAY()&lt;30,TODAY()&lt;$C17)</formula>
    </cfRule>
  </conditionalFormatting>
  <conditionalFormatting sqref="C17">
    <cfRule type="cellIs" dxfId="222" priority="39" stopIfTrue="1" operator="lessThan">
      <formula>$B$2</formula>
    </cfRule>
  </conditionalFormatting>
  <conditionalFormatting sqref="C19">
    <cfRule type="expression" dxfId="221" priority="36">
      <formula>AND($C19-TODAY()&lt;30,TODAY()&lt;$C19)</formula>
    </cfRule>
  </conditionalFormatting>
  <conditionalFormatting sqref="C19">
    <cfRule type="cellIs" dxfId="220" priority="37" stopIfTrue="1" operator="lessThan">
      <formula>$B$2</formula>
    </cfRule>
  </conditionalFormatting>
  <conditionalFormatting sqref="C21">
    <cfRule type="expression" dxfId="219" priority="34">
      <formula>AND($C21-TODAY()&lt;30,TODAY()&lt;$C21)</formula>
    </cfRule>
  </conditionalFormatting>
  <conditionalFormatting sqref="C21">
    <cfRule type="cellIs" dxfId="218" priority="35" stopIfTrue="1" operator="lessThan">
      <formula>$B$2</formula>
    </cfRule>
  </conditionalFormatting>
  <conditionalFormatting sqref="C23">
    <cfRule type="expression" dxfId="217" priority="32">
      <formula>AND($C23-TODAY()&lt;30,TODAY()&lt;$C23)</formula>
    </cfRule>
  </conditionalFormatting>
  <conditionalFormatting sqref="C23">
    <cfRule type="cellIs" dxfId="216" priority="33" stopIfTrue="1" operator="lessThan">
      <formula>$B$2</formula>
    </cfRule>
  </conditionalFormatting>
  <conditionalFormatting sqref="F16">
    <cfRule type="cellIs" dxfId="215" priority="30" stopIfTrue="1" operator="lessThan">
      <formula>$B$2</formula>
    </cfRule>
  </conditionalFormatting>
  <conditionalFormatting sqref="F18">
    <cfRule type="cellIs" dxfId="214" priority="29" stopIfTrue="1" operator="lessThan">
      <formula>$B$2</formula>
    </cfRule>
  </conditionalFormatting>
  <conditionalFormatting sqref="F22">
    <cfRule type="cellIs" dxfId="213" priority="28" stopIfTrue="1" operator="lessThan">
      <formula>$B$2</formula>
    </cfRule>
  </conditionalFormatting>
  <conditionalFormatting sqref="F21">
    <cfRule type="cellIs" dxfId="212" priority="27" stopIfTrue="1" operator="lessThan">
      <formula>$B$2</formula>
    </cfRule>
  </conditionalFormatting>
  <conditionalFormatting sqref="F17">
    <cfRule type="cellIs" dxfId="211" priority="26" stopIfTrue="1" operator="lessThan">
      <formula>$B$2</formula>
    </cfRule>
  </conditionalFormatting>
  <conditionalFormatting sqref="B4:B11 E4:E11 B16:B23 E16:E23 B13:B14 E13:E14">
    <cfRule type="cellIs" dxfId="210" priority="25" stopIfTrue="1" operator="equal">
      <formula>"已过期"</formula>
    </cfRule>
  </conditionalFormatting>
  <conditionalFormatting sqref="A24:F24">
    <cfRule type="cellIs" dxfId="209" priority="21" stopIfTrue="1" operator="equal">
      <formula>"已过期"</formula>
    </cfRule>
  </conditionalFormatting>
  <conditionalFormatting sqref="F28">
    <cfRule type="expression" dxfId="208" priority="19">
      <formula>AND($E28-TODAY()&lt;30,TODAY()&lt;$E28)</formula>
    </cfRule>
  </conditionalFormatting>
  <conditionalFormatting sqref="F28">
    <cfRule type="cellIs" dxfId="207" priority="20" stopIfTrue="1" operator="lessThan">
      <formula>$B$2</formula>
    </cfRule>
  </conditionalFormatting>
  <conditionalFormatting sqref="F29">
    <cfRule type="expression" dxfId="206" priority="15" stopIfTrue="1">
      <formula>AND($E29-TODAY()&lt;30,TODAY()&lt;$E29)</formula>
    </cfRule>
  </conditionalFormatting>
  <conditionalFormatting sqref="F29">
    <cfRule type="cellIs" dxfId="205" priority="16" stopIfTrue="1" operator="lessThan">
      <formula>$B$2</formula>
    </cfRule>
  </conditionalFormatting>
  <conditionalFormatting sqref="B15">
    <cfRule type="cellIs" dxfId="204" priority="13" stopIfTrue="1" operator="equal">
      <formula>"已过期"</formula>
    </cfRule>
  </conditionalFormatting>
  <conditionalFormatting sqref="A15">
    <cfRule type="cellIs" dxfId="203" priority="12" stopIfTrue="1" operator="equal">
      <formula>"已过期"</formula>
    </cfRule>
  </conditionalFormatting>
  <conditionalFormatting sqref="C15">
    <cfRule type="expression" dxfId="202" priority="11">
      <formula>AND($C15-TODAY()&lt;30,TODAY()&lt;$C15)</formula>
    </cfRule>
  </conditionalFormatting>
  <conditionalFormatting sqref="E15">
    <cfRule type="cellIs" dxfId="201" priority="10" stopIfTrue="1" operator="equal">
      <formula>"已过期"</formula>
    </cfRule>
  </conditionalFormatting>
  <conditionalFormatting sqref="D15">
    <cfRule type="cellIs" dxfId="200" priority="9" stopIfTrue="1" operator="equal">
      <formula>"已过期"</formula>
    </cfRule>
  </conditionalFormatting>
  <conditionalFormatting sqref="F13">
    <cfRule type="cellIs" dxfId="199" priority="8" stopIfTrue="1" operator="lessThan">
      <formula>$B$2</formula>
    </cfRule>
  </conditionalFormatting>
  <conditionalFormatting sqref="C12">
    <cfRule type="expression" dxfId="198" priority="6">
      <formula>AND($C12-TODAY()&lt;30,TODAY()&lt;$C12)</formula>
    </cfRule>
  </conditionalFormatting>
  <conditionalFormatting sqref="C12">
    <cfRule type="cellIs" dxfId="197" priority="7" stopIfTrue="1" operator="lessThan">
      <formula>$B$2</formula>
    </cfRule>
  </conditionalFormatting>
  <conditionalFormatting sqref="C12">
    <cfRule type="expression" dxfId="196" priority="4">
      <formula>AND($C12-TODAY()&lt;30,TODAY()&lt;$C12)</formula>
    </cfRule>
  </conditionalFormatting>
  <conditionalFormatting sqref="C12">
    <cfRule type="cellIs" dxfId="195" priority="5" stopIfTrue="1" operator="lessThan">
      <formula>$B$2</formula>
    </cfRule>
  </conditionalFormatting>
  <conditionalFormatting sqref="B12">
    <cfRule type="cellIs" dxfId="194" priority="3" stopIfTrue="1" operator="equal">
      <formula>"已过期"</formula>
    </cfRule>
  </conditionalFormatting>
  <conditionalFormatting sqref="E12">
    <cfRule type="cellIs" dxfId="193" priority="2" stopIfTrue="1" operator="equal">
      <formula>"已过期"</formula>
    </cfRule>
  </conditionalFormatting>
  <conditionalFormatting sqref="F12">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149</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收益法办公</vt:lpstr>
      <vt:lpstr>比较法-办公 (租金)</vt:lpstr>
      <vt:lpstr>结果表仓储</vt:lpstr>
      <vt:lpstr>成本法仓储</vt:lpstr>
      <vt:lpstr>基准地价修正</vt:lpstr>
      <vt:lpstr>收益法仓储</vt:lpstr>
      <vt:lpstr>结果表车库</vt:lpstr>
      <vt:lpstr>成本法车库</vt:lpstr>
      <vt:lpstr>成本法 (元)</vt:lpstr>
      <vt:lpstr>假设开发法</vt:lpstr>
      <vt:lpstr>收益法 (元)</vt:lpstr>
      <vt:lpstr>收益法（汇总）</vt:lpstr>
      <vt:lpstr>酒店收入计算</vt:lpstr>
      <vt:lpstr>比较法-住宅</vt:lpstr>
      <vt:lpstr>收益法车库</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2018-09-07T00:32:55Z</dcterms:modified>
</cp:coreProperties>
</file>