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2000" tabRatio="899" firstSheet="16"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基准" sheetId="80" r:id="rId23"/>
    <sheet name="比较法-车位" sheetId="35"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 name="Sheet2" sheetId="79" r:id="rId47"/>
  </sheets>
  <externalReferences>
    <externalReference r:id="rId48"/>
    <externalReference r:id="rId49"/>
  </externalReferences>
  <definedNames>
    <definedName name="_xlnm._FilterDatabase" localSheetId="29" hidden="1">'比较法-办公'!$A$1:$L$50</definedName>
    <definedName name="_xlnm._FilterDatabase" localSheetId="31" hidden="1">'比较法-仓储'!$A$1:$L$37</definedName>
    <definedName name="_xlnm._FilterDatabase" localSheetId="23"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23">'比较法-车位'!$A$1:$K$44,'比较法-车位'!$A$47:$M$102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'结果表-基准'!$A$1:$I$127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25" i="31" l="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C547" i="31" s="1"/>
  <c r="B548" i="31"/>
  <c r="B549" i="31"/>
  <c r="B550" i="31"/>
  <c r="B551" i="31"/>
  <c r="B552" i="31"/>
  <c r="B553" i="31"/>
  <c r="B554" i="31"/>
  <c r="B555" i="31"/>
  <c r="B556" i="31"/>
  <c r="B557" i="31"/>
  <c r="B558" i="31"/>
  <c r="B559" i="31"/>
  <c r="B560" i="31"/>
  <c r="B561" i="31"/>
  <c r="B562" i="31"/>
  <c r="B563" i="31"/>
  <c r="C563" i="31" s="1"/>
  <c r="B564" i="31"/>
  <c r="B565" i="31"/>
  <c r="B566" i="31"/>
  <c r="B567" i="31"/>
  <c r="B568" i="31"/>
  <c r="C568" i="31" s="1"/>
  <c r="B569" i="31"/>
  <c r="B570" i="31"/>
  <c r="B571" i="31"/>
  <c r="B572" i="31"/>
  <c r="B573" i="31"/>
  <c r="B574" i="31"/>
  <c r="B575" i="31"/>
  <c r="B576" i="31"/>
  <c r="B577" i="31"/>
  <c r="B578" i="31"/>
  <c r="B579" i="31"/>
  <c r="B580" i="31"/>
  <c r="B581" i="31"/>
  <c r="B582" i="31"/>
  <c r="B583" i="31"/>
  <c r="B584" i="31"/>
  <c r="B585" i="31"/>
  <c r="B586" i="31"/>
  <c r="B587" i="31"/>
  <c r="C587" i="31" s="1"/>
  <c r="B588" i="31"/>
  <c r="B589" i="31"/>
  <c r="B590" i="31"/>
  <c r="B591" i="31"/>
  <c r="B592" i="31"/>
  <c r="C592" i="31" s="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C627" i="31" s="1"/>
  <c r="B628" i="31"/>
  <c r="B629" i="31"/>
  <c r="B630" i="31"/>
  <c r="B631" i="31"/>
  <c r="B632" i="31"/>
  <c r="C632" i="31" s="1"/>
  <c r="B633" i="31"/>
  <c r="B634" i="31"/>
  <c r="B635" i="31"/>
  <c r="B636" i="31"/>
  <c r="B637" i="31"/>
  <c r="B638" i="31"/>
  <c r="B639" i="31"/>
  <c r="B640" i="31"/>
  <c r="B641" i="31"/>
  <c r="B642" i="31"/>
  <c r="B643" i="31"/>
  <c r="B644" i="31"/>
  <c r="B645" i="31"/>
  <c r="B646" i="31"/>
  <c r="B647" i="31"/>
  <c r="B648" i="31"/>
  <c r="B649" i="31"/>
  <c r="B650" i="31"/>
  <c r="B651" i="31"/>
  <c r="C651" i="31" s="1"/>
  <c r="B652" i="31"/>
  <c r="B653" i="31"/>
  <c r="B654" i="31"/>
  <c r="B655" i="31"/>
  <c r="B656" i="31"/>
  <c r="C656" i="31" s="1"/>
  <c r="B657" i="31"/>
  <c r="B658" i="31"/>
  <c r="B659" i="31"/>
  <c r="B660" i="31"/>
  <c r="B661" i="31"/>
  <c r="B662" i="31"/>
  <c r="B663" i="31"/>
  <c r="C663" i="31" s="1"/>
  <c r="B664" i="31"/>
  <c r="B665" i="31"/>
  <c r="B666" i="31"/>
  <c r="B667" i="31"/>
  <c r="B668" i="31"/>
  <c r="B669" i="31"/>
  <c r="B670" i="31"/>
  <c r="B671" i="31"/>
  <c r="B672" i="31"/>
  <c r="B673" i="31"/>
  <c r="B674" i="31"/>
  <c r="B675" i="31"/>
  <c r="B676" i="31"/>
  <c r="B677" i="31"/>
  <c r="B678" i="31"/>
  <c r="B679" i="31"/>
  <c r="C679" i="31" s="1"/>
  <c r="B680" i="31"/>
  <c r="B681" i="31"/>
  <c r="B682" i="31"/>
  <c r="B683" i="31"/>
  <c r="B684" i="31"/>
  <c r="B685" i="31"/>
  <c r="B686" i="31"/>
  <c r="B687" i="31"/>
  <c r="B688" i="31"/>
  <c r="B689" i="31"/>
  <c r="B690" i="31"/>
  <c r="B691" i="31"/>
  <c r="B692" i="31"/>
  <c r="C692" i="31" s="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C803" i="31" s="1"/>
  <c r="B804" i="31"/>
  <c r="C804" i="31" s="1"/>
  <c r="B805" i="31"/>
  <c r="B806" i="31"/>
  <c r="B807" i="31"/>
  <c r="B808" i="31"/>
  <c r="B809" i="31"/>
  <c r="B810" i="31"/>
  <c r="B811" i="31"/>
  <c r="C811" i="31" s="1"/>
  <c r="B812" i="31"/>
  <c r="C812" i="31" s="1"/>
  <c r="B813" i="31"/>
  <c r="B814" i="31"/>
  <c r="B815" i="31"/>
  <c r="B816" i="31"/>
  <c r="B817" i="31"/>
  <c r="B818" i="31"/>
  <c r="B819" i="31"/>
  <c r="C819" i="31" s="1"/>
  <c r="B820" i="31"/>
  <c r="C820" i="31" s="1"/>
  <c r="B821" i="31"/>
  <c r="B822" i="31"/>
  <c r="B823" i="31"/>
  <c r="B824" i="31"/>
  <c r="B825" i="31"/>
  <c r="B826" i="31"/>
  <c r="B827" i="31"/>
  <c r="C827" i="31" s="1"/>
  <c r="B828" i="31"/>
  <c r="C828" i="31" s="1"/>
  <c r="B829" i="31"/>
  <c r="B830" i="31"/>
  <c r="B831" i="31"/>
  <c r="B832" i="31"/>
  <c r="B833" i="31"/>
  <c r="B834" i="31"/>
  <c r="B835" i="31"/>
  <c r="C835" i="31" s="1"/>
  <c r="B836" i="31"/>
  <c r="C836" i="31" s="1"/>
  <c r="B837" i="31"/>
  <c r="B838" i="31"/>
  <c r="B839" i="31"/>
  <c r="B840" i="31"/>
  <c r="B841" i="31"/>
  <c r="B842" i="31"/>
  <c r="B843" i="31"/>
  <c r="C843" i="31" s="1"/>
  <c r="B844" i="31"/>
  <c r="C844" i="31" s="1"/>
  <c r="B845" i="31"/>
  <c r="B846" i="31"/>
  <c r="B847" i="31"/>
  <c r="B848" i="31"/>
  <c r="B849" i="31"/>
  <c r="B850" i="31"/>
  <c r="B851" i="31"/>
  <c r="C851" i="31" s="1"/>
  <c r="B852" i="31"/>
  <c r="C852" i="31" s="1"/>
  <c r="B853" i="31"/>
  <c r="B854" i="31"/>
  <c r="B855" i="31"/>
  <c r="B856" i="31"/>
  <c r="B857" i="31"/>
  <c r="B858" i="31"/>
  <c r="B859" i="31"/>
  <c r="C859" i="31" s="1"/>
  <c r="B860" i="31"/>
  <c r="C860" i="31" s="1"/>
  <c r="B861" i="31"/>
  <c r="B862" i="31"/>
  <c r="B863" i="31"/>
  <c r="B864" i="31"/>
  <c r="B865" i="31"/>
  <c r="B866" i="31"/>
  <c r="B867" i="31"/>
  <c r="C867" i="31" s="1"/>
  <c r="B868" i="31"/>
  <c r="C868" i="31" s="1"/>
  <c r="B869" i="31"/>
  <c r="B870" i="31"/>
  <c r="B871" i="31"/>
  <c r="B872" i="31"/>
  <c r="B873" i="31"/>
  <c r="B874" i="31"/>
  <c r="B875" i="31"/>
  <c r="C875" i="31" s="1"/>
  <c r="B876" i="31"/>
  <c r="C876" i="31" s="1"/>
  <c r="B877" i="31"/>
  <c r="B878" i="31"/>
  <c r="B879" i="31"/>
  <c r="B880" i="31"/>
  <c r="B881" i="31"/>
  <c r="B882" i="31"/>
  <c r="B883" i="31"/>
  <c r="C883" i="31" s="1"/>
  <c r="B884" i="31"/>
  <c r="C884" i="31" s="1"/>
  <c r="B885" i="31"/>
  <c r="B886" i="31"/>
  <c r="B887" i="31"/>
  <c r="B888" i="31"/>
  <c r="B889" i="31"/>
  <c r="B890" i="31"/>
  <c r="B891" i="31"/>
  <c r="C891" i="31" s="1"/>
  <c r="B892" i="31"/>
  <c r="C892" i="31" s="1"/>
  <c r="B893" i="31"/>
  <c r="B894" i="31"/>
  <c r="B895" i="31"/>
  <c r="B896" i="31"/>
  <c r="B897" i="31"/>
  <c r="B898" i="31"/>
  <c r="B899" i="31"/>
  <c r="C899" i="31" s="1"/>
  <c r="B900" i="31"/>
  <c r="B901" i="31"/>
  <c r="B902" i="31"/>
  <c r="B903" i="31"/>
  <c r="B904" i="31"/>
  <c r="B905" i="31"/>
  <c r="B906" i="31"/>
  <c r="B907" i="31"/>
  <c r="C907" i="31" s="1"/>
  <c r="B908" i="31"/>
  <c r="C908" i="31" s="1"/>
  <c r="B909" i="31"/>
  <c r="B910" i="31"/>
  <c r="B911" i="31"/>
  <c r="B912" i="31"/>
  <c r="B913" i="31"/>
  <c r="B914" i="31"/>
  <c r="B915" i="31"/>
  <c r="C915" i="31" s="1"/>
  <c r="B916" i="31"/>
  <c r="C916" i="31" s="1"/>
  <c r="B917" i="31"/>
  <c r="B918" i="31"/>
  <c r="B919" i="31"/>
  <c r="B920" i="31"/>
  <c r="B921" i="31"/>
  <c r="B922" i="31"/>
  <c r="B923" i="31"/>
  <c r="C923" i="31" s="1"/>
  <c r="B924" i="31"/>
  <c r="C924" i="31" s="1"/>
  <c r="B24" i="31"/>
  <c r="C525" i="31"/>
  <c r="E525" i="31"/>
  <c r="G525" i="31"/>
  <c r="I525" i="31"/>
  <c r="K525" i="31"/>
  <c r="M525" i="31"/>
  <c r="O525" i="31"/>
  <c r="Q525" i="31"/>
  <c r="C526" i="31"/>
  <c r="E526" i="31"/>
  <c r="G526" i="31"/>
  <c r="I526" i="31"/>
  <c r="K526" i="31"/>
  <c r="M526" i="31"/>
  <c r="O526" i="31"/>
  <c r="Q526" i="31"/>
  <c r="E527" i="31"/>
  <c r="G527" i="31"/>
  <c r="I527" i="31"/>
  <c r="K527" i="31"/>
  <c r="M527" i="31"/>
  <c r="O527" i="31"/>
  <c r="Q527" i="31"/>
  <c r="C528" i="31"/>
  <c r="E528" i="31"/>
  <c r="G528" i="31"/>
  <c r="I528" i="31"/>
  <c r="K528" i="31"/>
  <c r="M528" i="31"/>
  <c r="O528" i="31"/>
  <c r="Q528" i="31"/>
  <c r="C529" i="31"/>
  <c r="E529" i="31"/>
  <c r="G529" i="31"/>
  <c r="I529" i="31"/>
  <c r="K529" i="31"/>
  <c r="M529" i="31"/>
  <c r="O529" i="31"/>
  <c r="Q529" i="31"/>
  <c r="C530" i="31"/>
  <c r="E530" i="31"/>
  <c r="G530" i="31"/>
  <c r="I530" i="31"/>
  <c r="K530" i="31"/>
  <c r="M530" i="31"/>
  <c r="O530" i="31"/>
  <c r="Q530" i="31"/>
  <c r="C531" i="31"/>
  <c r="E531" i="31"/>
  <c r="G531" i="31"/>
  <c r="I531" i="31"/>
  <c r="K531" i="31"/>
  <c r="M531" i="31"/>
  <c r="O531" i="31"/>
  <c r="Q531" i="31"/>
  <c r="E532" i="31"/>
  <c r="G532" i="31"/>
  <c r="I532" i="31"/>
  <c r="K532" i="31"/>
  <c r="M532" i="31"/>
  <c r="O532" i="31"/>
  <c r="Q532" i="31"/>
  <c r="C533" i="31"/>
  <c r="E533" i="31"/>
  <c r="G533" i="31"/>
  <c r="I533" i="31"/>
  <c r="K533" i="31"/>
  <c r="M533" i="31"/>
  <c r="O533" i="31"/>
  <c r="Q533" i="31"/>
  <c r="C534" i="31"/>
  <c r="E534" i="31"/>
  <c r="G534" i="31"/>
  <c r="I534" i="31"/>
  <c r="K534" i="31"/>
  <c r="M534" i="31"/>
  <c r="O534" i="31"/>
  <c r="Q534" i="31"/>
  <c r="E535" i="31"/>
  <c r="G535" i="31"/>
  <c r="I535" i="31"/>
  <c r="K535" i="31"/>
  <c r="M535" i="31"/>
  <c r="O535" i="31"/>
  <c r="Q535" i="31"/>
  <c r="E536" i="31"/>
  <c r="G536" i="31"/>
  <c r="I536" i="31"/>
  <c r="K536" i="31"/>
  <c r="M536" i="31"/>
  <c r="O536" i="31"/>
  <c r="Q536" i="31"/>
  <c r="C537" i="31"/>
  <c r="E537" i="31"/>
  <c r="G537" i="31"/>
  <c r="I537" i="31"/>
  <c r="K537" i="31"/>
  <c r="M537" i="31"/>
  <c r="O537" i="31"/>
  <c r="Q537" i="31"/>
  <c r="C538" i="31"/>
  <c r="E538" i="31"/>
  <c r="G538" i="31"/>
  <c r="I538" i="31"/>
  <c r="K538" i="31"/>
  <c r="M538" i="31"/>
  <c r="O538" i="31"/>
  <c r="Q538" i="31"/>
  <c r="E539" i="31"/>
  <c r="G539" i="31"/>
  <c r="I539" i="31"/>
  <c r="K539" i="31"/>
  <c r="M539" i="31"/>
  <c r="O539" i="31"/>
  <c r="Q539" i="31"/>
  <c r="E540" i="31"/>
  <c r="G540" i="31"/>
  <c r="I540" i="31"/>
  <c r="K540" i="31"/>
  <c r="M540" i="31"/>
  <c r="O540" i="31"/>
  <c r="Q540" i="31"/>
  <c r="C541" i="31"/>
  <c r="E541" i="31"/>
  <c r="G541" i="31"/>
  <c r="I541" i="31"/>
  <c r="K541" i="31"/>
  <c r="M541" i="31"/>
  <c r="O541" i="31"/>
  <c r="Q541" i="31"/>
  <c r="C542" i="31"/>
  <c r="E542" i="31"/>
  <c r="G542" i="31"/>
  <c r="I542" i="31"/>
  <c r="K542" i="31"/>
  <c r="M542" i="31"/>
  <c r="O542" i="31"/>
  <c r="Q542" i="31"/>
  <c r="E543" i="31"/>
  <c r="G543" i="31"/>
  <c r="I543" i="31"/>
  <c r="K543" i="31"/>
  <c r="M543" i="31"/>
  <c r="O543" i="31"/>
  <c r="Q543" i="31"/>
  <c r="E544" i="31"/>
  <c r="G544" i="31"/>
  <c r="I544" i="31"/>
  <c r="K544" i="31"/>
  <c r="M544" i="31"/>
  <c r="O544" i="31"/>
  <c r="Q544" i="31"/>
  <c r="C545" i="31"/>
  <c r="E545" i="31"/>
  <c r="G545" i="31"/>
  <c r="I545" i="31"/>
  <c r="K545" i="31"/>
  <c r="M545" i="31"/>
  <c r="O545" i="31"/>
  <c r="Q545" i="31"/>
  <c r="C546" i="31"/>
  <c r="E546" i="31"/>
  <c r="G546" i="31"/>
  <c r="I546" i="31"/>
  <c r="K546" i="31"/>
  <c r="M546" i="31"/>
  <c r="O546" i="31"/>
  <c r="Q546" i="31"/>
  <c r="E547" i="31"/>
  <c r="G547" i="31"/>
  <c r="I547" i="31"/>
  <c r="K547" i="31"/>
  <c r="M547" i="31"/>
  <c r="O547" i="31"/>
  <c r="Q547" i="31"/>
  <c r="E548" i="31"/>
  <c r="G548" i="31"/>
  <c r="I548" i="31"/>
  <c r="K548" i="31"/>
  <c r="M548" i="31"/>
  <c r="O548" i="31"/>
  <c r="Q548" i="31"/>
  <c r="C549" i="31"/>
  <c r="E549" i="31"/>
  <c r="G549" i="31"/>
  <c r="I549" i="31"/>
  <c r="K549" i="31"/>
  <c r="M549" i="31"/>
  <c r="O549" i="31"/>
  <c r="Q549" i="31"/>
  <c r="C550" i="31"/>
  <c r="E550" i="31"/>
  <c r="G550" i="31"/>
  <c r="I550" i="31"/>
  <c r="K550" i="31"/>
  <c r="M550" i="31"/>
  <c r="O550" i="31"/>
  <c r="Q550" i="31"/>
  <c r="E551" i="31"/>
  <c r="G551" i="31"/>
  <c r="I551" i="31"/>
  <c r="K551" i="31"/>
  <c r="M551" i="31"/>
  <c r="O551" i="31"/>
  <c r="Q551" i="31"/>
  <c r="E552" i="31"/>
  <c r="G552" i="31"/>
  <c r="I552" i="31"/>
  <c r="K552" i="31"/>
  <c r="M552" i="31"/>
  <c r="O552" i="31"/>
  <c r="Q552" i="31"/>
  <c r="C553" i="31"/>
  <c r="E553" i="31"/>
  <c r="G553" i="31"/>
  <c r="I553" i="31"/>
  <c r="K553" i="31"/>
  <c r="M553" i="31"/>
  <c r="O553" i="31"/>
  <c r="Q553" i="31"/>
  <c r="C554" i="31"/>
  <c r="E554" i="31"/>
  <c r="G554" i="31"/>
  <c r="I554" i="31"/>
  <c r="K554" i="31"/>
  <c r="M554" i="31"/>
  <c r="O554" i="31"/>
  <c r="Q554" i="31"/>
  <c r="E555" i="31"/>
  <c r="G555" i="31"/>
  <c r="I555" i="31"/>
  <c r="K555" i="31"/>
  <c r="M555" i="31"/>
  <c r="O555" i="31"/>
  <c r="Q555" i="31"/>
  <c r="E556" i="31"/>
  <c r="G556" i="31"/>
  <c r="I556" i="31"/>
  <c r="K556" i="31"/>
  <c r="M556" i="31"/>
  <c r="O556" i="31"/>
  <c r="Q556" i="31"/>
  <c r="C557" i="31"/>
  <c r="E557" i="31"/>
  <c r="G557" i="31"/>
  <c r="I557" i="31"/>
  <c r="K557" i="31"/>
  <c r="M557" i="31"/>
  <c r="O557" i="31"/>
  <c r="Q557" i="31"/>
  <c r="C558" i="31"/>
  <c r="E558" i="31"/>
  <c r="G558" i="31"/>
  <c r="I558" i="31"/>
  <c r="K558" i="31"/>
  <c r="M558" i="31"/>
  <c r="O558" i="31"/>
  <c r="Q558" i="31"/>
  <c r="E559" i="31"/>
  <c r="G559" i="31"/>
  <c r="I559" i="31"/>
  <c r="K559" i="31"/>
  <c r="M559" i="31"/>
  <c r="O559" i="31"/>
  <c r="Q559" i="31"/>
  <c r="E560" i="31"/>
  <c r="G560" i="31"/>
  <c r="I560" i="31"/>
  <c r="K560" i="31"/>
  <c r="M560" i="31"/>
  <c r="O560" i="31"/>
  <c r="Q560" i="31"/>
  <c r="C561" i="31"/>
  <c r="E561" i="31"/>
  <c r="G561" i="31"/>
  <c r="I561" i="31"/>
  <c r="K561" i="31"/>
  <c r="M561" i="31"/>
  <c r="O561" i="31"/>
  <c r="Q561" i="31"/>
  <c r="C562" i="31"/>
  <c r="E562" i="31"/>
  <c r="G562" i="31"/>
  <c r="I562" i="31"/>
  <c r="K562" i="31"/>
  <c r="M562" i="31"/>
  <c r="O562" i="31"/>
  <c r="Q562" i="31"/>
  <c r="E563" i="31"/>
  <c r="G563" i="31"/>
  <c r="I563" i="31"/>
  <c r="K563" i="31"/>
  <c r="M563" i="31"/>
  <c r="O563" i="31"/>
  <c r="Q563" i="31"/>
  <c r="E564" i="31"/>
  <c r="G564" i="31"/>
  <c r="I564" i="31"/>
  <c r="K564" i="31"/>
  <c r="M564" i="31"/>
  <c r="O564" i="31"/>
  <c r="Q564" i="31"/>
  <c r="C565" i="31"/>
  <c r="E565" i="31"/>
  <c r="G565" i="31"/>
  <c r="I565" i="31"/>
  <c r="K565" i="31"/>
  <c r="M565" i="31"/>
  <c r="O565" i="31"/>
  <c r="Q565" i="31"/>
  <c r="C566" i="31"/>
  <c r="E566" i="31"/>
  <c r="G566" i="31"/>
  <c r="I566" i="31"/>
  <c r="K566" i="31"/>
  <c r="M566" i="31"/>
  <c r="O566" i="31"/>
  <c r="Q566" i="31"/>
  <c r="E567" i="31"/>
  <c r="G567" i="31"/>
  <c r="I567" i="31"/>
  <c r="K567" i="31"/>
  <c r="M567" i="31"/>
  <c r="O567" i="31"/>
  <c r="Q567" i="31"/>
  <c r="E568" i="31"/>
  <c r="G568" i="31"/>
  <c r="I568" i="31"/>
  <c r="K568" i="31"/>
  <c r="M568" i="31"/>
  <c r="O568" i="31"/>
  <c r="Q568" i="31"/>
  <c r="C569" i="31"/>
  <c r="E569" i="31"/>
  <c r="G569" i="31"/>
  <c r="I569" i="31"/>
  <c r="K569" i="31"/>
  <c r="M569" i="31"/>
  <c r="O569" i="31"/>
  <c r="Q569" i="31"/>
  <c r="C570" i="31"/>
  <c r="E570" i="31"/>
  <c r="G570" i="31"/>
  <c r="I570" i="31"/>
  <c r="K570" i="31"/>
  <c r="M570" i="31"/>
  <c r="O570" i="31"/>
  <c r="Q570" i="31"/>
  <c r="E571" i="31"/>
  <c r="G571" i="31"/>
  <c r="I571" i="31"/>
  <c r="K571" i="31"/>
  <c r="M571" i="31"/>
  <c r="O571" i="31"/>
  <c r="Q571" i="31"/>
  <c r="E572" i="31"/>
  <c r="G572" i="31"/>
  <c r="I572" i="31"/>
  <c r="K572" i="31"/>
  <c r="M572" i="31"/>
  <c r="O572" i="31"/>
  <c r="Q572" i="31"/>
  <c r="C573" i="31"/>
  <c r="E573" i="31"/>
  <c r="G573" i="31"/>
  <c r="I573" i="31"/>
  <c r="K573" i="31"/>
  <c r="M573" i="31"/>
  <c r="O573" i="31"/>
  <c r="Q573" i="31"/>
  <c r="C574" i="31"/>
  <c r="E574" i="31"/>
  <c r="G574" i="31"/>
  <c r="I574" i="31"/>
  <c r="K574" i="31"/>
  <c r="M574" i="31"/>
  <c r="O574" i="31"/>
  <c r="Q574" i="31"/>
  <c r="E575" i="31"/>
  <c r="G575" i="31"/>
  <c r="I575" i="31"/>
  <c r="K575" i="31"/>
  <c r="M575" i="31"/>
  <c r="O575" i="31"/>
  <c r="Q575" i="31"/>
  <c r="E576" i="31"/>
  <c r="G576" i="31"/>
  <c r="I576" i="31"/>
  <c r="K576" i="31"/>
  <c r="M576" i="31"/>
  <c r="O576" i="31"/>
  <c r="Q576" i="31"/>
  <c r="C577" i="31"/>
  <c r="E577" i="31"/>
  <c r="G577" i="31"/>
  <c r="I577" i="31"/>
  <c r="K577" i="31"/>
  <c r="M577" i="31"/>
  <c r="O577" i="31"/>
  <c r="Q577" i="31"/>
  <c r="C578" i="31"/>
  <c r="E578" i="31"/>
  <c r="G578" i="31"/>
  <c r="I578" i="31"/>
  <c r="K578" i="31"/>
  <c r="M578" i="31"/>
  <c r="O578" i="31"/>
  <c r="Q578" i="31"/>
  <c r="E579" i="31"/>
  <c r="G579" i="31"/>
  <c r="I579" i="31"/>
  <c r="K579" i="31"/>
  <c r="M579" i="31"/>
  <c r="O579" i="31"/>
  <c r="Q579" i="31"/>
  <c r="E580" i="31"/>
  <c r="G580" i="31"/>
  <c r="I580" i="31"/>
  <c r="K580" i="31"/>
  <c r="M580" i="31"/>
  <c r="O580" i="31"/>
  <c r="Q580" i="31"/>
  <c r="C581" i="31"/>
  <c r="E581" i="31"/>
  <c r="G581" i="31"/>
  <c r="I581" i="31"/>
  <c r="K581" i="31"/>
  <c r="M581" i="31"/>
  <c r="O581" i="31"/>
  <c r="Q581" i="31"/>
  <c r="C582" i="31"/>
  <c r="E582" i="31"/>
  <c r="G582" i="31"/>
  <c r="I582" i="31"/>
  <c r="K582" i="31"/>
  <c r="M582" i="31"/>
  <c r="O582" i="31"/>
  <c r="Q582" i="31"/>
  <c r="E583" i="31"/>
  <c r="G583" i="31"/>
  <c r="I583" i="31"/>
  <c r="K583" i="31"/>
  <c r="M583" i="31"/>
  <c r="O583" i="31"/>
  <c r="Q583" i="31"/>
  <c r="E584" i="31"/>
  <c r="G584" i="31"/>
  <c r="I584" i="31"/>
  <c r="K584" i="31"/>
  <c r="M584" i="31"/>
  <c r="O584" i="31"/>
  <c r="Q584" i="31"/>
  <c r="C585" i="31"/>
  <c r="E585" i="31"/>
  <c r="G585" i="31"/>
  <c r="I585" i="31"/>
  <c r="K585" i="31"/>
  <c r="M585" i="31"/>
  <c r="O585" i="31"/>
  <c r="Q585" i="31"/>
  <c r="C586" i="31"/>
  <c r="E586" i="31"/>
  <c r="G586" i="31"/>
  <c r="I586" i="31"/>
  <c r="K586" i="31"/>
  <c r="M586" i="31"/>
  <c r="O586" i="31"/>
  <c r="Q586" i="31"/>
  <c r="E587" i="31"/>
  <c r="G587" i="31"/>
  <c r="I587" i="31"/>
  <c r="K587" i="31"/>
  <c r="M587" i="31"/>
  <c r="O587" i="31"/>
  <c r="Q587" i="31"/>
  <c r="E588" i="31"/>
  <c r="G588" i="31"/>
  <c r="I588" i="31"/>
  <c r="K588" i="31"/>
  <c r="M588" i="31"/>
  <c r="O588" i="31"/>
  <c r="Q588" i="31"/>
  <c r="C589" i="31"/>
  <c r="E589" i="31"/>
  <c r="G589" i="31"/>
  <c r="I589" i="31"/>
  <c r="K589" i="31"/>
  <c r="M589" i="31"/>
  <c r="O589" i="31"/>
  <c r="Q589" i="31"/>
  <c r="C590" i="31"/>
  <c r="E590" i="31"/>
  <c r="G590" i="31"/>
  <c r="I590" i="31"/>
  <c r="K590" i="31"/>
  <c r="M590" i="31"/>
  <c r="O590" i="31"/>
  <c r="Q590" i="31"/>
  <c r="E591" i="31"/>
  <c r="G591" i="31"/>
  <c r="I591" i="31"/>
  <c r="K591" i="31"/>
  <c r="M591" i="31"/>
  <c r="O591" i="31"/>
  <c r="Q591" i="31"/>
  <c r="E592" i="31"/>
  <c r="G592" i="31"/>
  <c r="I592" i="31"/>
  <c r="K592" i="31"/>
  <c r="M592" i="31"/>
  <c r="O592" i="31"/>
  <c r="Q592" i="31"/>
  <c r="C593" i="31"/>
  <c r="E593" i="31"/>
  <c r="G593" i="31"/>
  <c r="I593" i="31"/>
  <c r="K593" i="31"/>
  <c r="M593" i="31"/>
  <c r="O593" i="31"/>
  <c r="Q593" i="31"/>
  <c r="C594" i="31"/>
  <c r="E594" i="31"/>
  <c r="G594" i="31"/>
  <c r="I594" i="31"/>
  <c r="K594" i="31"/>
  <c r="M594" i="31"/>
  <c r="O594" i="31"/>
  <c r="Q594" i="31"/>
  <c r="C595" i="31"/>
  <c r="E595" i="31"/>
  <c r="G595" i="31"/>
  <c r="I595" i="31"/>
  <c r="K595" i="31"/>
  <c r="M595" i="31"/>
  <c r="O595" i="31"/>
  <c r="Q595" i="31"/>
  <c r="E596" i="31"/>
  <c r="G596" i="31"/>
  <c r="I596" i="31"/>
  <c r="K596" i="31"/>
  <c r="M596" i="31"/>
  <c r="O596" i="31"/>
  <c r="Q596" i="31"/>
  <c r="C597" i="31"/>
  <c r="E597" i="31"/>
  <c r="G597" i="31"/>
  <c r="I597" i="31"/>
  <c r="K597" i="31"/>
  <c r="M597" i="31"/>
  <c r="O597" i="31"/>
  <c r="Q597" i="31"/>
  <c r="C598" i="31"/>
  <c r="E598" i="31"/>
  <c r="G598" i="31"/>
  <c r="I598" i="31"/>
  <c r="K598" i="31"/>
  <c r="M598" i="31"/>
  <c r="O598" i="31"/>
  <c r="Q598" i="31"/>
  <c r="E599" i="31"/>
  <c r="G599" i="31"/>
  <c r="I599" i="31"/>
  <c r="K599" i="31"/>
  <c r="M599" i="31"/>
  <c r="O599" i="31"/>
  <c r="Q599" i="31"/>
  <c r="E600" i="31"/>
  <c r="G600" i="31"/>
  <c r="I600" i="31"/>
  <c r="K600" i="31"/>
  <c r="M600" i="31"/>
  <c r="O600" i="31"/>
  <c r="Q600" i="31"/>
  <c r="C601" i="31"/>
  <c r="E601" i="31"/>
  <c r="G601" i="31"/>
  <c r="I601" i="31"/>
  <c r="K601" i="31"/>
  <c r="M601" i="31"/>
  <c r="O601" i="31"/>
  <c r="Q601" i="31"/>
  <c r="C602" i="31"/>
  <c r="E602" i="31"/>
  <c r="G602" i="31"/>
  <c r="I602" i="31"/>
  <c r="K602" i="31"/>
  <c r="M602" i="31"/>
  <c r="O602" i="31"/>
  <c r="Q602" i="31"/>
  <c r="E603" i="31"/>
  <c r="G603" i="31"/>
  <c r="I603" i="31"/>
  <c r="K603" i="31"/>
  <c r="M603" i="31"/>
  <c r="O603" i="31"/>
  <c r="Q603" i="31"/>
  <c r="E604" i="31"/>
  <c r="G604" i="31"/>
  <c r="I604" i="31"/>
  <c r="K604" i="31"/>
  <c r="M604" i="31"/>
  <c r="O604" i="31"/>
  <c r="Q604" i="31"/>
  <c r="C605" i="31"/>
  <c r="E605" i="31"/>
  <c r="G605" i="31"/>
  <c r="I605" i="31"/>
  <c r="K605" i="31"/>
  <c r="M605" i="31"/>
  <c r="O605" i="31"/>
  <c r="Q605" i="31"/>
  <c r="C606" i="31"/>
  <c r="E606" i="31"/>
  <c r="G606" i="31"/>
  <c r="I606" i="31"/>
  <c r="K606" i="31"/>
  <c r="M606" i="31"/>
  <c r="O606" i="31"/>
  <c r="Q606" i="31"/>
  <c r="E607" i="31"/>
  <c r="G607" i="31"/>
  <c r="I607" i="31"/>
  <c r="K607" i="31"/>
  <c r="M607" i="31"/>
  <c r="O607" i="31"/>
  <c r="Q607" i="31"/>
  <c r="E608" i="31"/>
  <c r="G608" i="31"/>
  <c r="I608" i="31"/>
  <c r="K608" i="31"/>
  <c r="M608" i="31"/>
  <c r="O608" i="31"/>
  <c r="Q608" i="31"/>
  <c r="C609" i="31"/>
  <c r="E609" i="31"/>
  <c r="G609" i="31"/>
  <c r="I609" i="31"/>
  <c r="K609" i="31"/>
  <c r="M609" i="31"/>
  <c r="O609" i="31"/>
  <c r="Q609" i="31"/>
  <c r="C610" i="31"/>
  <c r="E610" i="31"/>
  <c r="G610" i="31"/>
  <c r="I610" i="31"/>
  <c r="K610" i="31"/>
  <c r="M610" i="31"/>
  <c r="O610" i="31"/>
  <c r="Q610" i="31"/>
  <c r="E611" i="31"/>
  <c r="G611" i="31"/>
  <c r="I611" i="31"/>
  <c r="K611" i="31"/>
  <c r="M611" i="31"/>
  <c r="O611" i="31"/>
  <c r="Q611" i="31"/>
  <c r="E612" i="31"/>
  <c r="G612" i="31"/>
  <c r="I612" i="31"/>
  <c r="K612" i="31"/>
  <c r="M612" i="31"/>
  <c r="O612" i="31"/>
  <c r="Q612" i="31"/>
  <c r="C613" i="31"/>
  <c r="E613" i="31"/>
  <c r="G613" i="31"/>
  <c r="I613" i="31"/>
  <c r="K613" i="31"/>
  <c r="M613" i="31"/>
  <c r="O613" i="31"/>
  <c r="Q613" i="31"/>
  <c r="C614" i="31"/>
  <c r="E614" i="31"/>
  <c r="G614" i="31"/>
  <c r="I614" i="31"/>
  <c r="K614" i="31"/>
  <c r="M614" i="31"/>
  <c r="O614" i="31"/>
  <c r="Q614" i="31"/>
  <c r="E615" i="31"/>
  <c r="G615" i="31"/>
  <c r="I615" i="31"/>
  <c r="K615" i="31"/>
  <c r="M615" i="31"/>
  <c r="O615" i="31"/>
  <c r="Q615" i="31"/>
  <c r="E616" i="31"/>
  <c r="G616" i="31"/>
  <c r="I616" i="31"/>
  <c r="K616" i="31"/>
  <c r="M616" i="31"/>
  <c r="O616" i="31"/>
  <c r="Q616" i="31"/>
  <c r="C617" i="31"/>
  <c r="E617" i="31"/>
  <c r="G617" i="31"/>
  <c r="I617" i="31"/>
  <c r="K617" i="31"/>
  <c r="M617" i="31"/>
  <c r="O617" i="31"/>
  <c r="Q617" i="31"/>
  <c r="C618" i="31"/>
  <c r="E618" i="31"/>
  <c r="G618" i="31"/>
  <c r="I618" i="31"/>
  <c r="K618" i="31"/>
  <c r="M618" i="31"/>
  <c r="O618" i="31"/>
  <c r="Q618" i="31"/>
  <c r="C619" i="31"/>
  <c r="E619" i="31"/>
  <c r="G619" i="31"/>
  <c r="I619" i="31"/>
  <c r="K619" i="31"/>
  <c r="M619" i="31"/>
  <c r="O619" i="31"/>
  <c r="Q619" i="31"/>
  <c r="E620" i="31"/>
  <c r="G620" i="31"/>
  <c r="I620" i="31"/>
  <c r="K620" i="31"/>
  <c r="M620" i="31"/>
  <c r="O620" i="31"/>
  <c r="Q620" i="31"/>
  <c r="C621" i="31"/>
  <c r="E621" i="31"/>
  <c r="G621" i="31"/>
  <c r="I621" i="31"/>
  <c r="K621" i="31"/>
  <c r="M621" i="31"/>
  <c r="O621" i="31"/>
  <c r="Q621" i="31"/>
  <c r="C622" i="31"/>
  <c r="E622" i="31"/>
  <c r="G622" i="31"/>
  <c r="I622" i="31"/>
  <c r="K622" i="31"/>
  <c r="M622" i="31"/>
  <c r="O622" i="31"/>
  <c r="Q622" i="31"/>
  <c r="E623" i="31"/>
  <c r="G623" i="31"/>
  <c r="I623" i="31"/>
  <c r="K623" i="31"/>
  <c r="M623" i="31"/>
  <c r="O623" i="31"/>
  <c r="Q623" i="31"/>
  <c r="E624" i="31"/>
  <c r="G624" i="31"/>
  <c r="I624" i="31"/>
  <c r="K624" i="31"/>
  <c r="M624" i="31"/>
  <c r="O624" i="31"/>
  <c r="Q624" i="31"/>
  <c r="C625" i="31"/>
  <c r="E625" i="31"/>
  <c r="G625" i="31"/>
  <c r="I625" i="31"/>
  <c r="K625" i="31"/>
  <c r="M625" i="31"/>
  <c r="O625" i="31"/>
  <c r="Q625" i="31"/>
  <c r="C626" i="31"/>
  <c r="E626" i="31"/>
  <c r="G626" i="31"/>
  <c r="I626" i="31"/>
  <c r="K626" i="31"/>
  <c r="M626" i="31"/>
  <c r="O626" i="31"/>
  <c r="Q626" i="31"/>
  <c r="E627" i="31"/>
  <c r="G627" i="31"/>
  <c r="I627" i="31"/>
  <c r="K627" i="31"/>
  <c r="M627" i="31"/>
  <c r="O627" i="31"/>
  <c r="Q627" i="31"/>
  <c r="E628" i="31"/>
  <c r="G628" i="31"/>
  <c r="I628" i="31"/>
  <c r="K628" i="31"/>
  <c r="M628" i="31"/>
  <c r="O628" i="31"/>
  <c r="Q628" i="31"/>
  <c r="C629" i="31"/>
  <c r="E629" i="31"/>
  <c r="G629" i="31"/>
  <c r="I629" i="31"/>
  <c r="K629" i="31"/>
  <c r="M629" i="31"/>
  <c r="O629" i="31"/>
  <c r="Q629" i="31"/>
  <c r="C630" i="31"/>
  <c r="E630" i="31"/>
  <c r="G630" i="31"/>
  <c r="I630" i="31"/>
  <c r="K630" i="31"/>
  <c r="M630" i="31"/>
  <c r="O630" i="31"/>
  <c r="Q630" i="31"/>
  <c r="E631" i="31"/>
  <c r="G631" i="31"/>
  <c r="I631" i="31"/>
  <c r="K631" i="31"/>
  <c r="M631" i="31"/>
  <c r="O631" i="31"/>
  <c r="Q631" i="31"/>
  <c r="E632" i="31"/>
  <c r="G632" i="31"/>
  <c r="I632" i="31"/>
  <c r="K632" i="31"/>
  <c r="M632" i="31"/>
  <c r="O632" i="31"/>
  <c r="Q632" i="31"/>
  <c r="C633" i="31"/>
  <c r="E633" i="31"/>
  <c r="G633" i="31"/>
  <c r="I633" i="31"/>
  <c r="K633" i="31"/>
  <c r="M633" i="31"/>
  <c r="O633" i="31"/>
  <c r="Q633" i="31"/>
  <c r="C634" i="31"/>
  <c r="E634" i="31"/>
  <c r="G634" i="31"/>
  <c r="I634" i="31"/>
  <c r="K634" i="31"/>
  <c r="M634" i="31"/>
  <c r="O634" i="31"/>
  <c r="Q634" i="31"/>
  <c r="E635" i="31"/>
  <c r="G635" i="31"/>
  <c r="I635" i="31"/>
  <c r="K635" i="31"/>
  <c r="M635" i="31"/>
  <c r="O635" i="31"/>
  <c r="Q635" i="31"/>
  <c r="E636" i="31"/>
  <c r="G636" i="31"/>
  <c r="I636" i="31"/>
  <c r="K636" i="31"/>
  <c r="M636" i="31"/>
  <c r="O636" i="31"/>
  <c r="Q636" i="31"/>
  <c r="C637" i="31"/>
  <c r="E637" i="31"/>
  <c r="G637" i="31"/>
  <c r="I637" i="31"/>
  <c r="K637" i="31"/>
  <c r="M637" i="31"/>
  <c r="O637" i="31"/>
  <c r="Q637" i="31"/>
  <c r="C638" i="31"/>
  <c r="E638" i="31"/>
  <c r="G638" i="31"/>
  <c r="I638" i="31"/>
  <c r="K638" i="31"/>
  <c r="M638" i="31"/>
  <c r="O638" i="31"/>
  <c r="Q638" i="31"/>
  <c r="E639" i="31"/>
  <c r="G639" i="31"/>
  <c r="I639" i="31"/>
  <c r="K639" i="31"/>
  <c r="M639" i="31"/>
  <c r="O639" i="31"/>
  <c r="Q639" i="31"/>
  <c r="E640" i="31"/>
  <c r="G640" i="31"/>
  <c r="I640" i="31"/>
  <c r="K640" i="31"/>
  <c r="M640" i="31"/>
  <c r="O640" i="31"/>
  <c r="Q640" i="31"/>
  <c r="C641" i="31"/>
  <c r="E641" i="31"/>
  <c r="G641" i="31"/>
  <c r="I641" i="31"/>
  <c r="K641" i="31"/>
  <c r="M641" i="31"/>
  <c r="O641" i="31"/>
  <c r="Q641" i="31"/>
  <c r="C642" i="31"/>
  <c r="E642" i="31"/>
  <c r="G642" i="31"/>
  <c r="I642" i="31"/>
  <c r="K642" i="31"/>
  <c r="M642" i="31"/>
  <c r="O642" i="31"/>
  <c r="Q642" i="31"/>
  <c r="E643" i="31"/>
  <c r="G643" i="31"/>
  <c r="I643" i="31"/>
  <c r="K643" i="31"/>
  <c r="M643" i="31"/>
  <c r="O643" i="31"/>
  <c r="Q643" i="31"/>
  <c r="E644" i="31"/>
  <c r="G644" i="31"/>
  <c r="I644" i="31"/>
  <c r="K644" i="31"/>
  <c r="M644" i="31"/>
  <c r="O644" i="31"/>
  <c r="Q644" i="31"/>
  <c r="C645" i="31"/>
  <c r="E645" i="31"/>
  <c r="G645" i="31"/>
  <c r="I645" i="31"/>
  <c r="K645" i="31"/>
  <c r="M645" i="31"/>
  <c r="O645" i="31"/>
  <c r="Q645" i="31"/>
  <c r="C646" i="31"/>
  <c r="E646" i="31"/>
  <c r="G646" i="31"/>
  <c r="I646" i="31"/>
  <c r="K646" i="31"/>
  <c r="M646" i="31"/>
  <c r="O646" i="31"/>
  <c r="Q646" i="31"/>
  <c r="E647" i="31"/>
  <c r="G647" i="31"/>
  <c r="I647" i="31"/>
  <c r="K647" i="31"/>
  <c r="M647" i="31"/>
  <c r="O647" i="31"/>
  <c r="Q647" i="31"/>
  <c r="E648" i="31"/>
  <c r="G648" i="31"/>
  <c r="I648" i="31"/>
  <c r="K648" i="31"/>
  <c r="M648" i="31"/>
  <c r="O648" i="31"/>
  <c r="Q648" i="31"/>
  <c r="C649" i="31"/>
  <c r="E649" i="31"/>
  <c r="G649" i="31"/>
  <c r="I649" i="31"/>
  <c r="K649" i="31"/>
  <c r="M649" i="31"/>
  <c r="O649" i="31"/>
  <c r="Q649" i="31"/>
  <c r="C650" i="31"/>
  <c r="E650" i="31"/>
  <c r="G650" i="31"/>
  <c r="I650" i="31"/>
  <c r="K650" i="31"/>
  <c r="M650" i="31"/>
  <c r="O650" i="31"/>
  <c r="Q650" i="31"/>
  <c r="E651" i="31"/>
  <c r="G651" i="31"/>
  <c r="I651" i="31"/>
  <c r="K651" i="31"/>
  <c r="M651" i="31"/>
  <c r="O651" i="31"/>
  <c r="Q651" i="31"/>
  <c r="E652" i="31"/>
  <c r="G652" i="31"/>
  <c r="I652" i="31"/>
  <c r="K652" i="31"/>
  <c r="M652" i="31"/>
  <c r="O652" i="31"/>
  <c r="Q652" i="31"/>
  <c r="C653" i="31"/>
  <c r="E653" i="31"/>
  <c r="G653" i="31"/>
  <c r="I653" i="31"/>
  <c r="K653" i="31"/>
  <c r="M653" i="31"/>
  <c r="O653" i="31"/>
  <c r="Q653" i="31"/>
  <c r="C654" i="31"/>
  <c r="E654" i="31"/>
  <c r="G654" i="31"/>
  <c r="I654" i="31"/>
  <c r="K654" i="31"/>
  <c r="M654" i="31"/>
  <c r="O654" i="31"/>
  <c r="Q654" i="31"/>
  <c r="E655" i="31"/>
  <c r="G655" i="31"/>
  <c r="I655" i="31"/>
  <c r="K655" i="31"/>
  <c r="M655" i="31"/>
  <c r="O655" i="31"/>
  <c r="Q655" i="31"/>
  <c r="E656" i="31"/>
  <c r="G656" i="31"/>
  <c r="I656" i="31"/>
  <c r="K656" i="31"/>
  <c r="M656" i="31"/>
  <c r="O656" i="31"/>
  <c r="Q656" i="31"/>
  <c r="C657" i="31"/>
  <c r="E657" i="31"/>
  <c r="G657" i="31"/>
  <c r="I657" i="31"/>
  <c r="K657" i="31"/>
  <c r="M657" i="31"/>
  <c r="O657" i="31"/>
  <c r="Q657" i="31"/>
  <c r="C658" i="31"/>
  <c r="E658" i="31"/>
  <c r="G658" i="31"/>
  <c r="I658" i="31"/>
  <c r="K658" i="31"/>
  <c r="M658" i="31"/>
  <c r="O658" i="31"/>
  <c r="Q658" i="31"/>
  <c r="C659" i="31"/>
  <c r="E659" i="31"/>
  <c r="G659" i="31"/>
  <c r="I659" i="31"/>
  <c r="K659" i="31"/>
  <c r="M659" i="31"/>
  <c r="O659" i="31"/>
  <c r="Q659" i="31"/>
  <c r="E660" i="31"/>
  <c r="G660" i="31"/>
  <c r="I660" i="31"/>
  <c r="K660" i="31"/>
  <c r="M660" i="31"/>
  <c r="O660" i="31"/>
  <c r="Q660" i="31"/>
  <c r="C661" i="31"/>
  <c r="E661" i="31"/>
  <c r="G661" i="31"/>
  <c r="I661" i="31"/>
  <c r="K661" i="31"/>
  <c r="M661" i="31"/>
  <c r="O661" i="31"/>
  <c r="Q661" i="31"/>
  <c r="C662" i="31"/>
  <c r="E662" i="31"/>
  <c r="G662" i="31"/>
  <c r="I662" i="31"/>
  <c r="K662" i="31"/>
  <c r="M662" i="31"/>
  <c r="O662" i="31"/>
  <c r="Q662" i="31"/>
  <c r="E663" i="31"/>
  <c r="G663" i="31"/>
  <c r="I663" i="31"/>
  <c r="K663" i="31"/>
  <c r="M663" i="31"/>
  <c r="O663" i="31"/>
  <c r="Q663" i="31"/>
  <c r="E664" i="31"/>
  <c r="G664" i="31"/>
  <c r="I664" i="31"/>
  <c r="K664" i="31"/>
  <c r="M664" i="31"/>
  <c r="O664" i="31"/>
  <c r="Q664" i="31"/>
  <c r="C665" i="31"/>
  <c r="E665" i="31"/>
  <c r="G665" i="31"/>
  <c r="I665" i="31"/>
  <c r="K665" i="31"/>
  <c r="M665" i="31"/>
  <c r="O665" i="31"/>
  <c r="Q665" i="31"/>
  <c r="C666" i="31"/>
  <c r="E666" i="31"/>
  <c r="G666" i="31"/>
  <c r="I666" i="31"/>
  <c r="K666" i="31"/>
  <c r="M666" i="31"/>
  <c r="O666" i="31"/>
  <c r="Q666" i="31"/>
  <c r="E667" i="31"/>
  <c r="G667" i="31"/>
  <c r="I667" i="31"/>
  <c r="K667" i="31"/>
  <c r="M667" i="31"/>
  <c r="O667" i="31"/>
  <c r="Q667" i="31"/>
  <c r="E668" i="31"/>
  <c r="G668" i="31"/>
  <c r="I668" i="31"/>
  <c r="K668" i="31"/>
  <c r="M668" i="31"/>
  <c r="O668" i="31"/>
  <c r="Q668" i="31"/>
  <c r="C669" i="31"/>
  <c r="E669" i="31"/>
  <c r="G669" i="31"/>
  <c r="I669" i="31"/>
  <c r="K669" i="31"/>
  <c r="M669" i="31"/>
  <c r="O669" i="31"/>
  <c r="Q669" i="31"/>
  <c r="C670" i="31"/>
  <c r="E670" i="31"/>
  <c r="G670" i="31"/>
  <c r="I670" i="31"/>
  <c r="K670" i="31"/>
  <c r="M670" i="31"/>
  <c r="O670" i="31"/>
  <c r="Q670" i="31"/>
  <c r="C671" i="31"/>
  <c r="E671" i="31"/>
  <c r="G671" i="31"/>
  <c r="I671" i="31"/>
  <c r="K671" i="31"/>
  <c r="M671" i="31"/>
  <c r="O671" i="31"/>
  <c r="Q671" i="31"/>
  <c r="E672" i="31"/>
  <c r="G672" i="31"/>
  <c r="I672" i="31"/>
  <c r="K672" i="31"/>
  <c r="M672" i="31"/>
  <c r="O672" i="31"/>
  <c r="Q672" i="31"/>
  <c r="C673" i="31"/>
  <c r="E673" i="31"/>
  <c r="G673" i="31"/>
  <c r="I673" i="31"/>
  <c r="K673" i="31"/>
  <c r="M673" i="31"/>
  <c r="O673" i="31"/>
  <c r="Q673" i="31"/>
  <c r="C674" i="31"/>
  <c r="E674" i="31"/>
  <c r="G674" i="31"/>
  <c r="I674" i="31"/>
  <c r="K674" i="31"/>
  <c r="M674" i="31"/>
  <c r="O674" i="31"/>
  <c r="Q674" i="31"/>
  <c r="E675" i="31"/>
  <c r="G675" i="31"/>
  <c r="I675" i="31"/>
  <c r="K675" i="31"/>
  <c r="M675" i="31"/>
  <c r="O675" i="31"/>
  <c r="Q675" i="31"/>
  <c r="C676" i="31"/>
  <c r="E676" i="31"/>
  <c r="G676" i="31"/>
  <c r="I676" i="31"/>
  <c r="K676" i="31"/>
  <c r="M676" i="31"/>
  <c r="O676" i="31"/>
  <c r="Q676" i="31"/>
  <c r="C677" i="31"/>
  <c r="E677" i="31"/>
  <c r="G677" i="31"/>
  <c r="I677" i="31"/>
  <c r="K677" i="31"/>
  <c r="M677" i="31"/>
  <c r="O677" i="31"/>
  <c r="Q677" i="31"/>
  <c r="C678" i="31"/>
  <c r="E678" i="31"/>
  <c r="G678" i="31"/>
  <c r="I678" i="31"/>
  <c r="K678" i="31"/>
  <c r="M678" i="31"/>
  <c r="O678" i="31"/>
  <c r="Q678" i="31"/>
  <c r="E679" i="31"/>
  <c r="G679" i="31"/>
  <c r="I679" i="31"/>
  <c r="K679" i="31"/>
  <c r="M679" i="31"/>
  <c r="O679" i="31"/>
  <c r="Q679" i="31"/>
  <c r="E680" i="31"/>
  <c r="G680" i="31"/>
  <c r="I680" i="31"/>
  <c r="K680" i="31"/>
  <c r="M680" i="31"/>
  <c r="O680" i="31"/>
  <c r="Q680" i="31"/>
  <c r="C681" i="31"/>
  <c r="E681" i="31"/>
  <c r="G681" i="31"/>
  <c r="I681" i="31"/>
  <c r="K681" i="31"/>
  <c r="M681" i="31"/>
  <c r="O681" i="31"/>
  <c r="Q681" i="31"/>
  <c r="C682" i="31"/>
  <c r="E682" i="31"/>
  <c r="G682" i="31"/>
  <c r="I682" i="31"/>
  <c r="K682" i="31"/>
  <c r="M682" i="31"/>
  <c r="O682" i="31"/>
  <c r="Q682" i="31"/>
  <c r="E683" i="31"/>
  <c r="G683" i="31"/>
  <c r="I683" i="31"/>
  <c r="K683" i="31"/>
  <c r="M683" i="31"/>
  <c r="O683" i="31"/>
  <c r="Q683" i="31"/>
  <c r="E684" i="31"/>
  <c r="G684" i="31"/>
  <c r="I684" i="31"/>
  <c r="K684" i="31"/>
  <c r="M684" i="31"/>
  <c r="O684" i="31"/>
  <c r="Q684" i="31"/>
  <c r="C685" i="31"/>
  <c r="E685" i="31"/>
  <c r="G685" i="31"/>
  <c r="I685" i="31"/>
  <c r="K685" i="31"/>
  <c r="M685" i="31"/>
  <c r="O685" i="31"/>
  <c r="Q685" i="31"/>
  <c r="C686" i="31"/>
  <c r="E686" i="31"/>
  <c r="G686" i="31"/>
  <c r="I686" i="31"/>
  <c r="K686" i="31"/>
  <c r="M686" i="31"/>
  <c r="O686" i="31"/>
  <c r="Q686" i="31"/>
  <c r="C687" i="31"/>
  <c r="E687" i="31"/>
  <c r="G687" i="31"/>
  <c r="I687" i="31"/>
  <c r="K687" i="31"/>
  <c r="M687" i="31"/>
  <c r="O687" i="31"/>
  <c r="Q687" i="31"/>
  <c r="E688" i="31"/>
  <c r="G688" i="31"/>
  <c r="I688" i="31"/>
  <c r="K688" i="31"/>
  <c r="M688" i="31"/>
  <c r="O688" i="31"/>
  <c r="Q688" i="31"/>
  <c r="C689" i="31"/>
  <c r="E689" i="31"/>
  <c r="G689" i="31"/>
  <c r="I689" i="31"/>
  <c r="K689" i="31"/>
  <c r="M689" i="31"/>
  <c r="O689" i="31"/>
  <c r="Q689" i="31"/>
  <c r="C690" i="31"/>
  <c r="E690" i="31"/>
  <c r="G690" i="31"/>
  <c r="I690" i="31"/>
  <c r="K690" i="31"/>
  <c r="M690" i="31"/>
  <c r="O690" i="31"/>
  <c r="Q690" i="31"/>
  <c r="E691" i="31"/>
  <c r="G691" i="31"/>
  <c r="I691" i="31"/>
  <c r="K691" i="31"/>
  <c r="M691" i="31"/>
  <c r="O691" i="31"/>
  <c r="Q691" i="31"/>
  <c r="E692" i="31"/>
  <c r="G692" i="31"/>
  <c r="I692" i="31"/>
  <c r="K692" i="31"/>
  <c r="M692" i="31"/>
  <c r="O692" i="31"/>
  <c r="Q692" i="31"/>
  <c r="C693" i="31"/>
  <c r="E693" i="31"/>
  <c r="G693" i="31"/>
  <c r="I693" i="31"/>
  <c r="K693" i="31"/>
  <c r="M693" i="31"/>
  <c r="O693" i="31"/>
  <c r="Q693" i="31"/>
  <c r="C694" i="31"/>
  <c r="E694" i="31"/>
  <c r="G694" i="31"/>
  <c r="I694" i="31"/>
  <c r="K694" i="31"/>
  <c r="M694" i="31"/>
  <c r="O694" i="31"/>
  <c r="Q694" i="31"/>
  <c r="E695" i="31"/>
  <c r="G695" i="31"/>
  <c r="I695" i="31"/>
  <c r="K695" i="31"/>
  <c r="M695" i="31"/>
  <c r="O695" i="31"/>
  <c r="Q695" i="31"/>
  <c r="E696" i="31"/>
  <c r="G696" i="31"/>
  <c r="I696" i="31"/>
  <c r="K696" i="31"/>
  <c r="M696" i="31"/>
  <c r="O696" i="31"/>
  <c r="Q696" i="31"/>
  <c r="C697" i="31"/>
  <c r="E697" i="31"/>
  <c r="G697" i="31"/>
  <c r="I697" i="31"/>
  <c r="K697" i="31"/>
  <c r="M697" i="31"/>
  <c r="O697" i="31"/>
  <c r="Q697" i="31"/>
  <c r="C698" i="31"/>
  <c r="E698" i="31"/>
  <c r="G698" i="31"/>
  <c r="I698" i="31"/>
  <c r="K698" i="31"/>
  <c r="M698" i="31"/>
  <c r="O698" i="31"/>
  <c r="Q698" i="31"/>
  <c r="E699" i="31"/>
  <c r="G699" i="31"/>
  <c r="I699" i="31"/>
  <c r="K699" i="31"/>
  <c r="M699" i="31"/>
  <c r="O699" i="31"/>
  <c r="Q699" i="31"/>
  <c r="E700" i="31"/>
  <c r="G700" i="31"/>
  <c r="I700" i="31"/>
  <c r="K700" i="31"/>
  <c r="M700" i="31"/>
  <c r="O700" i="31"/>
  <c r="Q700" i="31"/>
  <c r="C701" i="31"/>
  <c r="E701" i="31"/>
  <c r="G701" i="31"/>
  <c r="I701" i="31"/>
  <c r="K701" i="31"/>
  <c r="M701" i="31"/>
  <c r="O701" i="31"/>
  <c r="Q701" i="31"/>
  <c r="C702" i="31"/>
  <c r="E702" i="31"/>
  <c r="G702" i="31"/>
  <c r="I702" i="31"/>
  <c r="K702" i="31"/>
  <c r="M702" i="31"/>
  <c r="O702" i="31"/>
  <c r="Q702" i="31"/>
  <c r="E703" i="31"/>
  <c r="G703" i="31"/>
  <c r="I703" i="31"/>
  <c r="K703" i="31"/>
  <c r="M703" i="31"/>
  <c r="O703" i="31"/>
  <c r="Q703" i="31"/>
  <c r="E704" i="31"/>
  <c r="G704" i="31"/>
  <c r="I704" i="31"/>
  <c r="K704" i="31"/>
  <c r="M704" i="31"/>
  <c r="O704" i="31"/>
  <c r="Q704" i="31"/>
  <c r="C705" i="31"/>
  <c r="E705" i="31"/>
  <c r="G705" i="31"/>
  <c r="I705" i="31"/>
  <c r="K705" i="31"/>
  <c r="M705" i="31"/>
  <c r="O705" i="31"/>
  <c r="Q705" i="31"/>
  <c r="C706" i="31"/>
  <c r="E706" i="31"/>
  <c r="G706" i="31"/>
  <c r="I706" i="31"/>
  <c r="K706" i="31"/>
  <c r="M706" i="31"/>
  <c r="O706" i="31"/>
  <c r="Q706" i="31"/>
  <c r="E707" i="31"/>
  <c r="G707" i="31"/>
  <c r="I707" i="31"/>
  <c r="K707" i="31"/>
  <c r="M707" i="31"/>
  <c r="O707" i="31"/>
  <c r="Q707" i="31"/>
  <c r="E708" i="31"/>
  <c r="G708" i="31"/>
  <c r="I708" i="31"/>
  <c r="K708" i="31"/>
  <c r="M708" i="31"/>
  <c r="O708" i="31"/>
  <c r="Q708" i="31"/>
  <c r="C709" i="31"/>
  <c r="E709" i="31"/>
  <c r="G709" i="31"/>
  <c r="I709" i="31"/>
  <c r="K709" i="31"/>
  <c r="M709" i="31"/>
  <c r="O709" i="31"/>
  <c r="Q709" i="31"/>
  <c r="C710" i="31"/>
  <c r="E710" i="31"/>
  <c r="G710" i="31"/>
  <c r="I710" i="31"/>
  <c r="K710" i="31"/>
  <c r="M710" i="31"/>
  <c r="O710" i="31"/>
  <c r="Q710" i="31"/>
  <c r="E711" i="31"/>
  <c r="G711" i="31"/>
  <c r="I711" i="31"/>
  <c r="K711" i="31"/>
  <c r="M711" i="31"/>
  <c r="O711" i="31"/>
  <c r="Q711" i="31"/>
  <c r="E712" i="31"/>
  <c r="G712" i="31"/>
  <c r="I712" i="31"/>
  <c r="K712" i="31"/>
  <c r="M712" i="31"/>
  <c r="O712" i="31"/>
  <c r="Q712" i="31"/>
  <c r="C713" i="31"/>
  <c r="E713" i="31"/>
  <c r="G713" i="31"/>
  <c r="I713" i="31"/>
  <c r="K713" i="31"/>
  <c r="M713" i="31"/>
  <c r="O713" i="31"/>
  <c r="Q713" i="31"/>
  <c r="C714" i="31"/>
  <c r="E714" i="31"/>
  <c r="G714" i="31"/>
  <c r="I714" i="31"/>
  <c r="K714" i="31"/>
  <c r="M714" i="31"/>
  <c r="O714" i="31"/>
  <c r="Q714" i="31"/>
  <c r="E715" i="31"/>
  <c r="G715" i="31"/>
  <c r="I715" i="31"/>
  <c r="K715" i="31"/>
  <c r="M715" i="31"/>
  <c r="O715" i="31"/>
  <c r="Q715" i="31"/>
  <c r="E716" i="31"/>
  <c r="G716" i="31"/>
  <c r="I716" i="31"/>
  <c r="K716" i="31"/>
  <c r="M716" i="31"/>
  <c r="O716" i="31"/>
  <c r="Q716" i="31"/>
  <c r="C717" i="31"/>
  <c r="E717" i="31"/>
  <c r="G717" i="31"/>
  <c r="I717" i="31"/>
  <c r="K717" i="31"/>
  <c r="M717" i="31"/>
  <c r="O717" i="31"/>
  <c r="Q717" i="31"/>
  <c r="C718" i="31"/>
  <c r="E718" i="31"/>
  <c r="G718" i="31"/>
  <c r="I718" i="31"/>
  <c r="K718" i="31"/>
  <c r="M718" i="31"/>
  <c r="O718" i="31"/>
  <c r="Q718" i="31"/>
  <c r="E719" i="31"/>
  <c r="G719" i="31"/>
  <c r="I719" i="31"/>
  <c r="K719" i="31"/>
  <c r="M719" i="31"/>
  <c r="O719" i="31"/>
  <c r="Q719" i="31"/>
  <c r="E720" i="31"/>
  <c r="G720" i="31"/>
  <c r="I720" i="31"/>
  <c r="K720" i="31"/>
  <c r="M720" i="31"/>
  <c r="O720" i="31"/>
  <c r="Q720" i="31"/>
  <c r="C721" i="31"/>
  <c r="E721" i="31"/>
  <c r="G721" i="31"/>
  <c r="I721" i="31"/>
  <c r="K721" i="31"/>
  <c r="M721" i="31"/>
  <c r="O721" i="31"/>
  <c r="Q721" i="31"/>
  <c r="C722" i="31"/>
  <c r="E722" i="31"/>
  <c r="G722" i="31"/>
  <c r="I722" i="31"/>
  <c r="K722" i="31"/>
  <c r="M722" i="31"/>
  <c r="O722" i="31"/>
  <c r="Q722" i="31"/>
  <c r="E723" i="31"/>
  <c r="G723" i="31"/>
  <c r="I723" i="31"/>
  <c r="K723" i="31"/>
  <c r="M723" i="31"/>
  <c r="O723" i="31"/>
  <c r="Q723" i="31"/>
  <c r="E724" i="31"/>
  <c r="G724" i="31"/>
  <c r="I724" i="31"/>
  <c r="K724" i="31"/>
  <c r="M724" i="31"/>
  <c r="O724" i="31"/>
  <c r="Q724" i="31"/>
  <c r="C725" i="31"/>
  <c r="E725" i="31"/>
  <c r="G725" i="31"/>
  <c r="I725" i="31"/>
  <c r="K725" i="31"/>
  <c r="M725" i="31"/>
  <c r="O725" i="31"/>
  <c r="Q725" i="31"/>
  <c r="C726" i="31"/>
  <c r="E726" i="31"/>
  <c r="G726" i="31"/>
  <c r="I726" i="31"/>
  <c r="K726" i="31"/>
  <c r="M726" i="31"/>
  <c r="O726" i="31"/>
  <c r="Q726" i="31"/>
  <c r="E727" i="31"/>
  <c r="G727" i="31"/>
  <c r="I727" i="31"/>
  <c r="K727" i="31"/>
  <c r="M727" i="31"/>
  <c r="O727" i="31"/>
  <c r="Q727" i="31"/>
  <c r="E728" i="31"/>
  <c r="G728" i="31"/>
  <c r="I728" i="31"/>
  <c r="K728" i="31"/>
  <c r="M728" i="31"/>
  <c r="O728" i="31"/>
  <c r="Q728" i="31"/>
  <c r="C729" i="31"/>
  <c r="E729" i="31"/>
  <c r="G729" i="31"/>
  <c r="I729" i="31"/>
  <c r="K729" i="31"/>
  <c r="M729" i="31"/>
  <c r="O729" i="31"/>
  <c r="Q729" i="31"/>
  <c r="C730" i="31"/>
  <c r="E730" i="31"/>
  <c r="G730" i="31"/>
  <c r="I730" i="31"/>
  <c r="K730" i="31"/>
  <c r="M730" i="31"/>
  <c r="O730" i="31"/>
  <c r="Q730" i="31"/>
  <c r="E731" i="31"/>
  <c r="G731" i="31"/>
  <c r="I731" i="31"/>
  <c r="K731" i="31"/>
  <c r="M731" i="31"/>
  <c r="O731" i="31"/>
  <c r="Q731" i="31"/>
  <c r="E732" i="31"/>
  <c r="G732" i="31"/>
  <c r="I732" i="31"/>
  <c r="K732" i="31"/>
  <c r="M732" i="31"/>
  <c r="O732" i="31"/>
  <c r="Q732" i="31"/>
  <c r="C733" i="31"/>
  <c r="E733" i="31"/>
  <c r="G733" i="31"/>
  <c r="I733" i="31"/>
  <c r="K733" i="31"/>
  <c r="M733" i="31"/>
  <c r="O733" i="31"/>
  <c r="Q733" i="31"/>
  <c r="C734" i="31"/>
  <c r="E734" i="31"/>
  <c r="G734" i="31"/>
  <c r="I734" i="31"/>
  <c r="K734" i="31"/>
  <c r="M734" i="31"/>
  <c r="O734" i="31"/>
  <c r="Q734" i="31"/>
  <c r="E735" i="31"/>
  <c r="G735" i="31"/>
  <c r="I735" i="31"/>
  <c r="K735" i="31"/>
  <c r="M735" i="31"/>
  <c r="O735" i="31"/>
  <c r="Q735" i="31"/>
  <c r="E736" i="31"/>
  <c r="G736" i="31"/>
  <c r="I736" i="31"/>
  <c r="K736" i="31"/>
  <c r="M736" i="31"/>
  <c r="O736" i="31"/>
  <c r="Q736" i="31"/>
  <c r="C737" i="31"/>
  <c r="E737" i="31"/>
  <c r="G737" i="31"/>
  <c r="I737" i="31"/>
  <c r="K737" i="31"/>
  <c r="M737" i="31"/>
  <c r="O737" i="31"/>
  <c r="Q737" i="31"/>
  <c r="C738" i="31"/>
  <c r="E738" i="31"/>
  <c r="G738" i="31"/>
  <c r="I738" i="31"/>
  <c r="K738" i="31"/>
  <c r="M738" i="31"/>
  <c r="O738" i="31"/>
  <c r="Q738" i="31"/>
  <c r="E739" i="31"/>
  <c r="G739" i="31"/>
  <c r="I739" i="31"/>
  <c r="K739" i="31"/>
  <c r="M739" i="31"/>
  <c r="O739" i="31"/>
  <c r="Q739" i="31"/>
  <c r="E740" i="31"/>
  <c r="G740" i="31"/>
  <c r="I740" i="31"/>
  <c r="K740" i="31"/>
  <c r="M740" i="31"/>
  <c r="O740" i="31"/>
  <c r="Q740" i="31"/>
  <c r="C741" i="31"/>
  <c r="E741" i="31"/>
  <c r="G741" i="31"/>
  <c r="I741" i="31"/>
  <c r="K741" i="31"/>
  <c r="M741" i="31"/>
  <c r="O741" i="31"/>
  <c r="Q741" i="31"/>
  <c r="C742" i="31"/>
  <c r="E742" i="31"/>
  <c r="G742" i="31"/>
  <c r="I742" i="31"/>
  <c r="K742" i="31"/>
  <c r="M742" i="31"/>
  <c r="O742" i="31"/>
  <c r="Q742" i="31"/>
  <c r="E743" i="31"/>
  <c r="G743" i="31"/>
  <c r="I743" i="31"/>
  <c r="K743" i="31"/>
  <c r="M743" i="31"/>
  <c r="O743" i="31"/>
  <c r="Q743" i="31"/>
  <c r="E744" i="31"/>
  <c r="G744" i="31"/>
  <c r="I744" i="31"/>
  <c r="K744" i="31"/>
  <c r="M744" i="31"/>
  <c r="O744" i="31"/>
  <c r="Q744" i="31"/>
  <c r="C745" i="31"/>
  <c r="E745" i="31"/>
  <c r="G745" i="31"/>
  <c r="I745" i="31"/>
  <c r="K745" i="31"/>
  <c r="M745" i="31"/>
  <c r="O745" i="31"/>
  <c r="Q745" i="31"/>
  <c r="C746" i="31"/>
  <c r="E746" i="31"/>
  <c r="G746" i="31"/>
  <c r="I746" i="31"/>
  <c r="K746" i="31"/>
  <c r="M746" i="31"/>
  <c r="O746" i="31"/>
  <c r="Q746" i="31"/>
  <c r="E747" i="31"/>
  <c r="G747" i="31"/>
  <c r="I747" i="31"/>
  <c r="K747" i="31"/>
  <c r="M747" i="31"/>
  <c r="O747" i="31"/>
  <c r="Q747" i="31"/>
  <c r="E748" i="31"/>
  <c r="G748" i="31"/>
  <c r="I748" i="31"/>
  <c r="K748" i="31"/>
  <c r="M748" i="31"/>
  <c r="O748" i="31"/>
  <c r="Q748" i="31"/>
  <c r="C749" i="31"/>
  <c r="E749" i="31"/>
  <c r="G749" i="31"/>
  <c r="I749" i="31"/>
  <c r="K749" i="31"/>
  <c r="M749" i="31"/>
  <c r="O749" i="31"/>
  <c r="Q749" i="31"/>
  <c r="C750" i="31"/>
  <c r="E750" i="31"/>
  <c r="G750" i="31"/>
  <c r="I750" i="31"/>
  <c r="K750" i="31"/>
  <c r="M750" i="31"/>
  <c r="O750" i="31"/>
  <c r="Q750" i="31"/>
  <c r="E751" i="31"/>
  <c r="G751" i="31"/>
  <c r="I751" i="31"/>
  <c r="K751" i="31"/>
  <c r="M751" i="31"/>
  <c r="O751" i="31"/>
  <c r="Q751" i="31"/>
  <c r="E752" i="31"/>
  <c r="G752" i="31"/>
  <c r="I752" i="31"/>
  <c r="K752" i="31"/>
  <c r="M752" i="31"/>
  <c r="O752" i="31"/>
  <c r="Q752" i="31"/>
  <c r="C753" i="31"/>
  <c r="E753" i="31"/>
  <c r="G753" i="31"/>
  <c r="I753" i="31"/>
  <c r="K753" i="31"/>
  <c r="M753" i="31"/>
  <c r="O753" i="31"/>
  <c r="Q753" i="31"/>
  <c r="C754" i="31"/>
  <c r="E754" i="31"/>
  <c r="G754" i="31"/>
  <c r="I754" i="31"/>
  <c r="K754" i="31"/>
  <c r="M754" i="31"/>
  <c r="O754" i="31"/>
  <c r="Q754" i="31"/>
  <c r="E755" i="31"/>
  <c r="G755" i="31"/>
  <c r="I755" i="31"/>
  <c r="K755" i="31"/>
  <c r="M755" i="31"/>
  <c r="O755" i="31"/>
  <c r="Q755" i="31"/>
  <c r="E756" i="31"/>
  <c r="G756" i="31"/>
  <c r="I756" i="31"/>
  <c r="K756" i="31"/>
  <c r="M756" i="31"/>
  <c r="O756" i="31"/>
  <c r="Q756" i="31"/>
  <c r="C757" i="31"/>
  <c r="E757" i="31"/>
  <c r="G757" i="31"/>
  <c r="I757" i="31"/>
  <c r="K757" i="31"/>
  <c r="M757" i="31"/>
  <c r="O757" i="31"/>
  <c r="Q757" i="31"/>
  <c r="C758" i="31"/>
  <c r="E758" i="31"/>
  <c r="G758" i="31"/>
  <c r="I758" i="31"/>
  <c r="K758" i="31"/>
  <c r="M758" i="31"/>
  <c r="O758" i="31"/>
  <c r="Q758" i="31"/>
  <c r="E759" i="31"/>
  <c r="G759" i="31"/>
  <c r="I759" i="31"/>
  <c r="K759" i="31"/>
  <c r="M759" i="31"/>
  <c r="O759" i="31"/>
  <c r="Q759" i="31"/>
  <c r="E760" i="31"/>
  <c r="G760" i="31"/>
  <c r="I760" i="31"/>
  <c r="K760" i="31"/>
  <c r="M760" i="31"/>
  <c r="O760" i="31"/>
  <c r="Q760" i="31"/>
  <c r="C761" i="31"/>
  <c r="E761" i="31"/>
  <c r="G761" i="31"/>
  <c r="I761" i="31"/>
  <c r="K761" i="31"/>
  <c r="M761" i="31"/>
  <c r="O761" i="31"/>
  <c r="Q761" i="31"/>
  <c r="C762" i="31"/>
  <c r="E762" i="31"/>
  <c r="G762" i="31"/>
  <c r="I762" i="31"/>
  <c r="K762" i="31"/>
  <c r="M762" i="31"/>
  <c r="O762" i="31"/>
  <c r="Q762" i="31"/>
  <c r="E763" i="31"/>
  <c r="G763" i="31"/>
  <c r="I763" i="31"/>
  <c r="K763" i="31"/>
  <c r="M763" i="31"/>
  <c r="O763" i="31"/>
  <c r="Q763" i="31"/>
  <c r="E764" i="31"/>
  <c r="G764" i="31"/>
  <c r="I764" i="31"/>
  <c r="K764" i="31"/>
  <c r="M764" i="31"/>
  <c r="O764" i="31"/>
  <c r="Q764" i="31"/>
  <c r="C765" i="31"/>
  <c r="E765" i="31"/>
  <c r="G765" i="31"/>
  <c r="I765" i="31"/>
  <c r="K765" i="31"/>
  <c r="M765" i="31"/>
  <c r="O765" i="31"/>
  <c r="Q765" i="31"/>
  <c r="C766" i="31"/>
  <c r="E766" i="31"/>
  <c r="G766" i="31"/>
  <c r="I766" i="31"/>
  <c r="K766" i="31"/>
  <c r="M766" i="31"/>
  <c r="O766" i="31"/>
  <c r="Q766" i="31"/>
  <c r="E767" i="31"/>
  <c r="G767" i="31"/>
  <c r="I767" i="31"/>
  <c r="K767" i="31"/>
  <c r="M767" i="31"/>
  <c r="O767" i="31"/>
  <c r="Q767" i="31"/>
  <c r="E768" i="31"/>
  <c r="G768" i="31"/>
  <c r="I768" i="31"/>
  <c r="K768" i="31"/>
  <c r="M768" i="31"/>
  <c r="O768" i="31"/>
  <c r="Q768" i="31"/>
  <c r="C769" i="31"/>
  <c r="E769" i="31"/>
  <c r="G769" i="31"/>
  <c r="I769" i="31"/>
  <c r="K769" i="31"/>
  <c r="M769" i="31"/>
  <c r="O769" i="31"/>
  <c r="Q769" i="31"/>
  <c r="C770" i="31"/>
  <c r="E770" i="31"/>
  <c r="G770" i="31"/>
  <c r="I770" i="31"/>
  <c r="K770" i="31"/>
  <c r="M770" i="31"/>
  <c r="O770" i="31"/>
  <c r="Q770" i="31"/>
  <c r="E771" i="31"/>
  <c r="G771" i="31"/>
  <c r="I771" i="31"/>
  <c r="K771" i="31"/>
  <c r="M771" i="31"/>
  <c r="O771" i="31"/>
  <c r="Q771" i="31"/>
  <c r="E772" i="31"/>
  <c r="G772" i="31"/>
  <c r="I772" i="31"/>
  <c r="K772" i="31"/>
  <c r="M772" i="31"/>
  <c r="O772" i="31"/>
  <c r="Q772" i="31"/>
  <c r="C773" i="31"/>
  <c r="E773" i="31"/>
  <c r="G773" i="31"/>
  <c r="I773" i="31"/>
  <c r="K773" i="31"/>
  <c r="M773" i="31"/>
  <c r="O773" i="31"/>
  <c r="Q773" i="31"/>
  <c r="C774" i="31"/>
  <c r="E774" i="31"/>
  <c r="G774" i="31"/>
  <c r="I774" i="31"/>
  <c r="K774" i="31"/>
  <c r="M774" i="31"/>
  <c r="O774" i="31"/>
  <c r="Q774" i="31"/>
  <c r="E775" i="31"/>
  <c r="G775" i="31"/>
  <c r="I775" i="31"/>
  <c r="K775" i="31"/>
  <c r="M775" i="31"/>
  <c r="O775" i="31"/>
  <c r="Q775" i="31"/>
  <c r="E776" i="31"/>
  <c r="G776" i="31"/>
  <c r="I776" i="31"/>
  <c r="K776" i="31"/>
  <c r="M776" i="31"/>
  <c r="O776" i="31"/>
  <c r="Q776" i="31"/>
  <c r="C777" i="31"/>
  <c r="E777" i="31"/>
  <c r="G777" i="31"/>
  <c r="I777" i="31"/>
  <c r="K777" i="31"/>
  <c r="M777" i="31"/>
  <c r="O777" i="31"/>
  <c r="Q777" i="31"/>
  <c r="C778" i="31"/>
  <c r="E778" i="31"/>
  <c r="G778" i="31"/>
  <c r="I778" i="31"/>
  <c r="K778" i="31"/>
  <c r="M778" i="31"/>
  <c r="O778" i="31"/>
  <c r="Q778" i="31"/>
  <c r="E779" i="31"/>
  <c r="G779" i="31"/>
  <c r="I779" i="31"/>
  <c r="K779" i="31"/>
  <c r="M779" i="31"/>
  <c r="O779" i="31"/>
  <c r="Q779" i="31"/>
  <c r="E780" i="31"/>
  <c r="G780" i="31"/>
  <c r="I780" i="31"/>
  <c r="K780" i="31"/>
  <c r="M780" i="31"/>
  <c r="O780" i="31"/>
  <c r="Q780" i="31"/>
  <c r="C781" i="31"/>
  <c r="E781" i="31"/>
  <c r="G781" i="31"/>
  <c r="I781" i="31"/>
  <c r="K781" i="31"/>
  <c r="M781" i="31"/>
  <c r="O781" i="31"/>
  <c r="Q781" i="31"/>
  <c r="C782" i="31"/>
  <c r="E782" i="31"/>
  <c r="G782" i="31"/>
  <c r="I782" i="31"/>
  <c r="K782" i="31"/>
  <c r="M782" i="31"/>
  <c r="O782" i="31"/>
  <c r="Q782" i="31"/>
  <c r="E783" i="31"/>
  <c r="G783" i="31"/>
  <c r="I783" i="31"/>
  <c r="K783" i="31"/>
  <c r="M783" i="31"/>
  <c r="O783" i="31"/>
  <c r="Q783" i="31"/>
  <c r="E784" i="31"/>
  <c r="G784" i="31"/>
  <c r="I784" i="31"/>
  <c r="K784" i="31"/>
  <c r="M784" i="31"/>
  <c r="O784" i="31"/>
  <c r="Q784" i="31"/>
  <c r="C785" i="31"/>
  <c r="E785" i="31"/>
  <c r="G785" i="31"/>
  <c r="I785" i="31"/>
  <c r="K785" i="31"/>
  <c r="M785" i="31"/>
  <c r="O785" i="31"/>
  <c r="Q785" i="31"/>
  <c r="C786" i="31"/>
  <c r="E786" i="31"/>
  <c r="G786" i="31"/>
  <c r="I786" i="31"/>
  <c r="K786" i="31"/>
  <c r="M786" i="31"/>
  <c r="O786" i="31"/>
  <c r="Q786" i="31"/>
  <c r="E787" i="31"/>
  <c r="G787" i="31"/>
  <c r="I787" i="31"/>
  <c r="K787" i="31"/>
  <c r="M787" i="31"/>
  <c r="O787" i="31"/>
  <c r="Q787" i="31"/>
  <c r="E788" i="31"/>
  <c r="G788" i="31"/>
  <c r="I788" i="31"/>
  <c r="K788" i="31"/>
  <c r="M788" i="31"/>
  <c r="O788" i="31"/>
  <c r="Q788" i="31"/>
  <c r="C789" i="31"/>
  <c r="E789" i="31"/>
  <c r="G789" i="31"/>
  <c r="I789" i="31"/>
  <c r="K789" i="31"/>
  <c r="M789" i="31"/>
  <c r="O789" i="31"/>
  <c r="Q789" i="31"/>
  <c r="C790" i="31"/>
  <c r="E790" i="31"/>
  <c r="G790" i="31"/>
  <c r="I790" i="31"/>
  <c r="K790" i="31"/>
  <c r="M790" i="31"/>
  <c r="O790" i="31"/>
  <c r="Q790" i="31"/>
  <c r="E791" i="31"/>
  <c r="G791" i="31"/>
  <c r="I791" i="31"/>
  <c r="K791" i="31"/>
  <c r="M791" i="31"/>
  <c r="O791" i="31"/>
  <c r="Q791" i="31"/>
  <c r="E792" i="31"/>
  <c r="G792" i="31"/>
  <c r="I792" i="31"/>
  <c r="K792" i="31"/>
  <c r="M792" i="31"/>
  <c r="O792" i="31"/>
  <c r="Q792" i="31"/>
  <c r="C793" i="31"/>
  <c r="E793" i="31"/>
  <c r="G793" i="31"/>
  <c r="I793" i="31"/>
  <c r="K793" i="31"/>
  <c r="M793" i="31"/>
  <c r="O793" i="31"/>
  <c r="Q793" i="31"/>
  <c r="C794" i="31"/>
  <c r="E794" i="31"/>
  <c r="G794" i="31"/>
  <c r="I794" i="31"/>
  <c r="K794" i="31"/>
  <c r="M794" i="31"/>
  <c r="O794" i="31"/>
  <c r="Q794" i="31"/>
  <c r="E795" i="31"/>
  <c r="G795" i="31"/>
  <c r="I795" i="31"/>
  <c r="K795" i="31"/>
  <c r="M795" i="31"/>
  <c r="O795" i="31"/>
  <c r="Q795" i="31"/>
  <c r="E796" i="31"/>
  <c r="G796" i="31"/>
  <c r="I796" i="31"/>
  <c r="K796" i="31"/>
  <c r="M796" i="31"/>
  <c r="O796" i="31"/>
  <c r="Q796" i="31"/>
  <c r="C797" i="31"/>
  <c r="E797" i="31"/>
  <c r="G797" i="31"/>
  <c r="I797" i="31"/>
  <c r="K797" i="31"/>
  <c r="M797" i="31"/>
  <c r="O797" i="31"/>
  <c r="Q797" i="31"/>
  <c r="C798" i="31"/>
  <c r="E798" i="31"/>
  <c r="G798" i="31"/>
  <c r="I798" i="31"/>
  <c r="K798" i="31"/>
  <c r="M798" i="31"/>
  <c r="O798" i="31"/>
  <c r="Q798" i="31"/>
  <c r="E799" i="31"/>
  <c r="G799" i="31"/>
  <c r="I799" i="31"/>
  <c r="K799" i="31"/>
  <c r="M799" i="31"/>
  <c r="O799" i="31"/>
  <c r="Q799" i="31"/>
  <c r="E800" i="31"/>
  <c r="G800" i="31"/>
  <c r="I800" i="31"/>
  <c r="K800" i="31"/>
  <c r="M800" i="31"/>
  <c r="O800" i="31"/>
  <c r="Q800" i="31"/>
  <c r="C801" i="31"/>
  <c r="E801" i="31"/>
  <c r="G801" i="31"/>
  <c r="I801" i="31"/>
  <c r="K801" i="31"/>
  <c r="M801" i="31"/>
  <c r="O801" i="31"/>
  <c r="Q801" i="31"/>
  <c r="C802" i="31"/>
  <c r="E802" i="31"/>
  <c r="G802" i="31"/>
  <c r="I802" i="31"/>
  <c r="K802" i="31"/>
  <c r="M802" i="31"/>
  <c r="O802" i="31"/>
  <c r="Q802" i="31"/>
  <c r="E803" i="31"/>
  <c r="G803" i="31"/>
  <c r="I803" i="31"/>
  <c r="K803" i="31"/>
  <c r="M803" i="31"/>
  <c r="O803" i="31"/>
  <c r="Q803" i="31"/>
  <c r="E804" i="31"/>
  <c r="G804" i="31"/>
  <c r="I804" i="31"/>
  <c r="K804" i="31"/>
  <c r="M804" i="31"/>
  <c r="O804" i="31"/>
  <c r="Q804" i="31"/>
  <c r="C805" i="31"/>
  <c r="E805" i="31"/>
  <c r="G805" i="31"/>
  <c r="I805" i="31"/>
  <c r="K805" i="31"/>
  <c r="M805" i="31"/>
  <c r="O805" i="31"/>
  <c r="Q805" i="31"/>
  <c r="C806" i="31"/>
  <c r="E806" i="31"/>
  <c r="G806" i="31"/>
  <c r="I806" i="31"/>
  <c r="K806" i="31"/>
  <c r="M806" i="31"/>
  <c r="O806" i="31"/>
  <c r="Q806" i="31"/>
  <c r="C807" i="31"/>
  <c r="E807" i="31"/>
  <c r="G807" i="31"/>
  <c r="I807" i="31"/>
  <c r="K807" i="31"/>
  <c r="M807" i="31"/>
  <c r="O807" i="31"/>
  <c r="Q807" i="31"/>
  <c r="E808" i="31"/>
  <c r="G808" i="31"/>
  <c r="I808" i="31"/>
  <c r="K808" i="31"/>
  <c r="M808" i="31"/>
  <c r="O808" i="31"/>
  <c r="Q808" i="31"/>
  <c r="C809" i="31"/>
  <c r="E809" i="31"/>
  <c r="G809" i="31"/>
  <c r="I809" i="31"/>
  <c r="K809" i="31"/>
  <c r="M809" i="31"/>
  <c r="O809" i="31"/>
  <c r="Q809" i="31"/>
  <c r="C810" i="31"/>
  <c r="E810" i="31"/>
  <c r="G810" i="31"/>
  <c r="I810" i="31"/>
  <c r="K810" i="31"/>
  <c r="M810" i="31"/>
  <c r="O810" i="31"/>
  <c r="Q810" i="31"/>
  <c r="E811" i="31"/>
  <c r="G811" i="31"/>
  <c r="I811" i="31"/>
  <c r="K811" i="31"/>
  <c r="M811" i="31"/>
  <c r="O811" i="31"/>
  <c r="Q811" i="31"/>
  <c r="E812" i="31"/>
  <c r="G812" i="31"/>
  <c r="I812" i="31"/>
  <c r="K812" i="31"/>
  <c r="M812" i="31"/>
  <c r="O812" i="31"/>
  <c r="Q812" i="31"/>
  <c r="C813" i="31"/>
  <c r="E813" i="31"/>
  <c r="G813" i="31"/>
  <c r="I813" i="31"/>
  <c r="K813" i="31"/>
  <c r="M813" i="31"/>
  <c r="O813" i="31"/>
  <c r="Q813" i="31"/>
  <c r="C814" i="31"/>
  <c r="E814" i="31"/>
  <c r="G814" i="31"/>
  <c r="I814" i="31"/>
  <c r="K814" i="31"/>
  <c r="M814" i="31"/>
  <c r="O814" i="31"/>
  <c r="Q814" i="31"/>
  <c r="C815" i="31"/>
  <c r="E815" i="31"/>
  <c r="G815" i="31"/>
  <c r="I815" i="31"/>
  <c r="K815" i="31"/>
  <c r="M815" i="31"/>
  <c r="O815" i="31"/>
  <c r="Q815" i="31"/>
  <c r="E816" i="31"/>
  <c r="G816" i="31"/>
  <c r="I816" i="31"/>
  <c r="K816" i="31"/>
  <c r="M816" i="31"/>
  <c r="O816" i="31"/>
  <c r="Q816" i="31"/>
  <c r="C817" i="31"/>
  <c r="E817" i="31"/>
  <c r="G817" i="31"/>
  <c r="I817" i="31"/>
  <c r="K817" i="31"/>
  <c r="M817" i="31"/>
  <c r="O817" i="31"/>
  <c r="Q817" i="31"/>
  <c r="C818" i="31"/>
  <c r="E818" i="31"/>
  <c r="G818" i="31"/>
  <c r="I818" i="31"/>
  <c r="K818" i="31"/>
  <c r="M818" i="31"/>
  <c r="O818" i="31"/>
  <c r="Q818" i="31"/>
  <c r="E819" i="31"/>
  <c r="G819" i="31"/>
  <c r="I819" i="31"/>
  <c r="K819" i="31"/>
  <c r="M819" i="31"/>
  <c r="O819" i="31"/>
  <c r="Q819" i="31"/>
  <c r="E820" i="31"/>
  <c r="G820" i="31"/>
  <c r="I820" i="31"/>
  <c r="K820" i="31"/>
  <c r="M820" i="31"/>
  <c r="O820" i="31"/>
  <c r="Q820" i="31"/>
  <c r="C821" i="31"/>
  <c r="E821" i="31"/>
  <c r="G821" i="31"/>
  <c r="I821" i="31"/>
  <c r="K821" i="31"/>
  <c r="M821" i="31"/>
  <c r="O821" i="31"/>
  <c r="Q821" i="31"/>
  <c r="C822" i="31"/>
  <c r="E822" i="31"/>
  <c r="G822" i="31"/>
  <c r="I822" i="31"/>
  <c r="K822" i="31"/>
  <c r="M822" i="31"/>
  <c r="O822" i="31"/>
  <c r="Q822" i="31"/>
  <c r="C823" i="31"/>
  <c r="E823" i="31"/>
  <c r="G823" i="31"/>
  <c r="I823" i="31"/>
  <c r="K823" i="31"/>
  <c r="M823" i="31"/>
  <c r="O823" i="31"/>
  <c r="Q823" i="31"/>
  <c r="E824" i="31"/>
  <c r="G824" i="31"/>
  <c r="I824" i="31"/>
  <c r="K824" i="31"/>
  <c r="M824" i="31"/>
  <c r="O824" i="31"/>
  <c r="Q824" i="31"/>
  <c r="C825" i="31"/>
  <c r="E825" i="31"/>
  <c r="G825" i="31"/>
  <c r="I825" i="31"/>
  <c r="K825" i="31"/>
  <c r="M825" i="31"/>
  <c r="O825" i="31"/>
  <c r="Q825" i="31"/>
  <c r="C826" i="31"/>
  <c r="E826" i="31"/>
  <c r="G826" i="31"/>
  <c r="I826" i="31"/>
  <c r="K826" i="31"/>
  <c r="M826" i="31"/>
  <c r="O826" i="31"/>
  <c r="Q826" i="31"/>
  <c r="E827" i="31"/>
  <c r="G827" i="31"/>
  <c r="I827" i="31"/>
  <c r="K827" i="31"/>
  <c r="M827" i="31"/>
  <c r="O827" i="31"/>
  <c r="Q827" i="31"/>
  <c r="E828" i="31"/>
  <c r="G828" i="31"/>
  <c r="I828" i="31"/>
  <c r="K828" i="31"/>
  <c r="M828" i="31"/>
  <c r="O828" i="31"/>
  <c r="Q828" i="31"/>
  <c r="C829" i="31"/>
  <c r="E829" i="31"/>
  <c r="G829" i="31"/>
  <c r="I829" i="31"/>
  <c r="K829" i="31"/>
  <c r="M829" i="31"/>
  <c r="O829" i="31"/>
  <c r="Q829" i="31"/>
  <c r="C830" i="31"/>
  <c r="E830" i="31"/>
  <c r="G830" i="31"/>
  <c r="I830" i="31"/>
  <c r="K830" i="31"/>
  <c r="M830" i="31"/>
  <c r="O830" i="31"/>
  <c r="Q830" i="31"/>
  <c r="C831" i="31"/>
  <c r="E831" i="31"/>
  <c r="G831" i="31"/>
  <c r="I831" i="31"/>
  <c r="K831" i="31"/>
  <c r="M831" i="31"/>
  <c r="O831" i="31"/>
  <c r="Q831" i="31"/>
  <c r="E832" i="31"/>
  <c r="G832" i="31"/>
  <c r="I832" i="31"/>
  <c r="K832" i="31"/>
  <c r="M832" i="31"/>
  <c r="O832" i="31"/>
  <c r="Q832" i="31"/>
  <c r="C833" i="31"/>
  <c r="E833" i="31"/>
  <c r="G833" i="31"/>
  <c r="I833" i="31"/>
  <c r="K833" i="31"/>
  <c r="M833" i="31"/>
  <c r="O833" i="31"/>
  <c r="Q833" i="31"/>
  <c r="C834" i="31"/>
  <c r="E834" i="31"/>
  <c r="G834" i="31"/>
  <c r="I834" i="31"/>
  <c r="K834" i="31"/>
  <c r="M834" i="31"/>
  <c r="O834" i="31"/>
  <c r="Q834" i="31"/>
  <c r="E835" i="31"/>
  <c r="G835" i="31"/>
  <c r="I835" i="31"/>
  <c r="K835" i="31"/>
  <c r="M835" i="31"/>
  <c r="O835" i="31"/>
  <c r="Q835" i="31"/>
  <c r="E836" i="31"/>
  <c r="G836" i="31"/>
  <c r="I836" i="31"/>
  <c r="K836" i="31"/>
  <c r="M836" i="31"/>
  <c r="O836" i="31"/>
  <c r="Q836" i="31"/>
  <c r="C837" i="31"/>
  <c r="E837" i="31"/>
  <c r="G837" i="31"/>
  <c r="I837" i="31"/>
  <c r="K837" i="31"/>
  <c r="M837" i="31"/>
  <c r="O837" i="31"/>
  <c r="Q837" i="31"/>
  <c r="C838" i="31"/>
  <c r="E838" i="31"/>
  <c r="G838" i="31"/>
  <c r="I838" i="31"/>
  <c r="K838" i="31"/>
  <c r="M838" i="31"/>
  <c r="O838" i="31"/>
  <c r="Q838" i="31"/>
  <c r="C839" i="31"/>
  <c r="E839" i="31"/>
  <c r="G839" i="31"/>
  <c r="I839" i="31"/>
  <c r="K839" i="31"/>
  <c r="M839" i="31"/>
  <c r="O839" i="31"/>
  <c r="Q839" i="31"/>
  <c r="E840" i="31"/>
  <c r="G840" i="31"/>
  <c r="I840" i="31"/>
  <c r="K840" i="31"/>
  <c r="M840" i="31"/>
  <c r="O840" i="31"/>
  <c r="Q840" i="31"/>
  <c r="C841" i="31"/>
  <c r="E841" i="31"/>
  <c r="G841" i="31"/>
  <c r="I841" i="31"/>
  <c r="K841" i="31"/>
  <c r="M841" i="31"/>
  <c r="O841" i="31"/>
  <c r="Q841" i="31"/>
  <c r="C842" i="31"/>
  <c r="E842" i="31"/>
  <c r="G842" i="31"/>
  <c r="I842" i="31"/>
  <c r="K842" i="31"/>
  <c r="M842" i="31"/>
  <c r="O842" i="31"/>
  <c r="Q842" i="31"/>
  <c r="E843" i="31"/>
  <c r="G843" i="31"/>
  <c r="I843" i="31"/>
  <c r="K843" i="31"/>
  <c r="M843" i="31"/>
  <c r="O843" i="31"/>
  <c r="Q843" i="31"/>
  <c r="E844" i="31"/>
  <c r="G844" i="31"/>
  <c r="I844" i="31"/>
  <c r="K844" i="31"/>
  <c r="M844" i="31"/>
  <c r="O844" i="31"/>
  <c r="Q844" i="31"/>
  <c r="C845" i="31"/>
  <c r="E845" i="31"/>
  <c r="G845" i="31"/>
  <c r="I845" i="31"/>
  <c r="K845" i="31"/>
  <c r="M845" i="31"/>
  <c r="O845" i="31"/>
  <c r="Q845" i="31"/>
  <c r="C846" i="31"/>
  <c r="E846" i="31"/>
  <c r="G846" i="31"/>
  <c r="I846" i="31"/>
  <c r="K846" i="31"/>
  <c r="M846" i="31"/>
  <c r="O846" i="31"/>
  <c r="Q846" i="31"/>
  <c r="C847" i="31"/>
  <c r="E847" i="31"/>
  <c r="G847" i="31"/>
  <c r="I847" i="31"/>
  <c r="K847" i="31"/>
  <c r="M847" i="31"/>
  <c r="O847" i="31"/>
  <c r="Q847" i="31"/>
  <c r="E848" i="31"/>
  <c r="G848" i="31"/>
  <c r="I848" i="31"/>
  <c r="K848" i="31"/>
  <c r="M848" i="31"/>
  <c r="O848" i="31"/>
  <c r="Q848" i="31"/>
  <c r="C849" i="31"/>
  <c r="E849" i="31"/>
  <c r="G849" i="31"/>
  <c r="I849" i="31"/>
  <c r="K849" i="31"/>
  <c r="M849" i="31"/>
  <c r="O849" i="31"/>
  <c r="Q849" i="31"/>
  <c r="C850" i="31"/>
  <c r="E850" i="31"/>
  <c r="G850" i="31"/>
  <c r="I850" i="31"/>
  <c r="K850" i="31"/>
  <c r="M850" i="31"/>
  <c r="O850" i="31"/>
  <c r="Q850" i="31"/>
  <c r="E851" i="31"/>
  <c r="G851" i="31"/>
  <c r="I851" i="31"/>
  <c r="K851" i="31"/>
  <c r="M851" i="31"/>
  <c r="O851" i="31"/>
  <c r="Q851" i="31"/>
  <c r="E852" i="31"/>
  <c r="G852" i="31"/>
  <c r="I852" i="31"/>
  <c r="K852" i="31"/>
  <c r="M852" i="31"/>
  <c r="O852" i="31"/>
  <c r="Q852" i="31"/>
  <c r="C853" i="31"/>
  <c r="E853" i="31"/>
  <c r="G853" i="31"/>
  <c r="I853" i="31"/>
  <c r="K853" i="31"/>
  <c r="M853" i="31"/>
  <c r="O853" i="31"/>
  <c r="Q853" i="31"/>
  <c r="C854" i="31"/>
  <c r="E854" i="31"/>
  <c r="G854" i="31"/>
  <c r="I854" i="31"/>
  <c r="K854" i="31"/>
  <c r="M854" i="31"/>
  <c r="O854" i="31"/>
  <c r="Q854" i="31"/>
  <c r="C855" i="31"/>
  <c r="E855" i="31"/>
  <c r="G855" i="31"/>
  <c r="I855" i="31"/>
  <c r="K855" i="31"/>
  <c r="M855" i="31"/>
  <c r="O855" i="31"/>
  <c r="Q855" i="31"/>
  <c r="E856" i="31"/>
  <c r="G856" i="31"/>
  <c r="I856" i="31"/>
  <c r="K856" i="31"/>
  <c r="M856" i="31"/>
  <c r="O856" i="31"/>
  <c r="Q856" i="31"/>
  <c r="C857" i="31"/>
  <c r="E857" i="31"/>
  <c r="G857" i="31"/>
  <c r="I857" i="31"/>
  <c r="K857" i="31"/>
  <c r="M857" i="31"/>
  <c r="O857" i="31"/>
  <c r="Q857" i="31"/>
  <c r="C858" i="31"/>
  <c r="E858" i="31"/>
  <c r="G858" i="31"/>
  <c r="I858" i="31"/>
  <c r="K858" i="31"/>
  <c r="M858" i="31"/>
  <c r="O858" i="31"/>
  <c r="Q858" i="31"/>
  <c r="E859" i="31"/>
  <c r="G859" i="31"/>
  <c r="I859" i="31"/>
  <c r="K859" i="31"/>
  <c r="M859" i="31"/>
  <c r="O859" i="31"/>
  <c r="Q859" i="31"/>
  <c r="E860" i="31"/>
  <c r="G860" i="31"/>
  <c r="I860" i="31"/>
  <c r="K860" i="31"/>
  <c r="M860" i="31"/>
  <c r="O860" i="31"/>
  <c r="Q860" i="31"/>
  <c r="C861" i="31"/>
  <c r="E861" i="31"/>
  <c r="G861" i="31"/>
  <c r="I861" i="31"/>
  <c r="K861" i="31"/>
  <c r="M861" i="31"/>
  <c r="O861" i="31"/>
  <c r="Q861" i="31"/>
  <c r="C862" i="31"/>
  <c r="E862" i="31"/>
  <c r="G862" i="31"/>
  <c r="I862" i="31"/>
  <c r="K862" i="31"/>
  <c r="M862" i="31"/>
  <c r="O862" i="31"/>
  <c r="Q862" i="31"/>
  <c r="C863" i="31"/>
  <c r="E863" i="31"/>
  <c r="G863" i="31"/>
  <c r="I863" i="31"/>
  <c r="K863" i="31"/>
  <c r="M863" i="31"/>
  <c r="O863" i="31"/>
  <c r="Q863" i="31"/>
  <c r="E864" i="31"/>
  <c r="G864" i="31"/>
  <c r="I864" i="31"/>
  <c r="K864" i="31"/>
  <c r="M864" i="31"/>
  <c r="O864" i="31"/>
  <c r="Q864" i="31"/>
  <c r="C865" i="31"/>
  <c r="E865" i="31"/>
  <c r="G865" i="31"/>
  <c r="I865" i="31"/>
  <c r="K865" i="31"/>
  <c r="M865" i="31"/>
  <c r="O865" i="31"/>
  <c r="Q865" i="31"/>
  <c r="C866" i="31"/>
  <c r="E866" i="31"/>
  <c r="G866" i="31"/>
  <c r="I866" i="31"/>
  <c r="K866" i="31"/>
  <c r="M866" i="31"/>
  <c r="O866" i="31"/>
  <c r="Q866" i="31"/>
  <c r="E867" i="31"/>
  <c r="G867" i="31"/>
  <c r="I867" i="31"/>
  <c r="K867" i="31"/>
  <c r="M867" i="31"/>
  <c r="O867" i="31"/>
  <c r="Q867" i="31"/>
  <c r="E868" i="31"/>
  <c r="G868" i="31"/>
  <c r="I868" i="31"/>
  <c r="K868" i="31"/>
  <c r="M868" i="31"/>
  <c r="O868" i="31"/>
  <c r="Q868" i="31"/>
  <c r="C869" i="31"/>
  <c r="E869" i="31"/>
  <c r="G869" i="31"/>
  <c r="I869" i="31"/>
  <c r="K869" i="31"/>
  <c r="M869" i="31"/>
  <c r="O869" i="31"/>
  <c r="Q869" i="31"/>
  <c r="C870" i="31"/>
  <c r="E870" i="31"/>
  <c r="G870" i="31"/>
  <c r="I870" i="31"/>
  <c r="K870" i="31"/>
  <c r="M870" i="31"/>
  <c r="O870" i="31"/>
  <c r="Q870" i="31"/>
  <c r="C871" i="31"/>
  <c r="E871" i="31"/>
  <c r="G871" i="31"/>
  <c r="I871" i="31"/>
  <c r="K871" i="31"/>
  <c r="M871" i="31"/>
  <c r="O871" i="31"/>
  <c r="Q871" i="31"/>
  <c r="E872" i="31"/>
  <c r="G872" i="31"/>
  <c r="I872" i="31"/>
  <c r="K872" i="31"/>
  <c r="M872" i="31"/>
  <c r="O872" i="31"/>
  <c r="Q872" i="31"/>
  <c r="C873" i="31"/>
  <c r="E873" i="31"/>
  <c r="G873" i="31"/>
  <c r="I873" i="31"/>
  <c r="K873" i="31"/>
  <c r="M873" i="31"/>
  <c r="O873" i="31"/>
  <c r="Q873" i="31"/>
  <c r="C874" i="31"/>
  <c r="E874" i="31"/>
  <c r="G874" i="31"/>
  <c r="I874" i="31"/>
  <c r="K874" i="31"/>
  <c r="M874" i="31"/>
  <c r="O874" i="31"/>
  <c r="Q874" i="31"/>
  <c r="E875" i="31"/>
  <c r="G875" i="31"/>
  <c r="I875" i="31"/>
  <c r="K875" i="31"/>
  <c r="M875" i="31"/>
  <c r="O875" i="31"/>
  <c r="Q875" i="31"/>
  <c r="E876" i="31"/>
  <c r="G876" i="31"/>
  <c r="I876" i="31"/>
  <c r="K876" i="31"/>
  <c r="M876" i="31"/>
  <c r="O876" i="31"/>
  <c r="Q876" i="31"/>
  <c r="C877" i="31"/>
  <c r="E877" i="31"/>
  <c r="G877" i="31"/>
  <c r="I877" i="31"/>
  <c r="K877" i="31"/>
  <c r="M877" i="31"/>
  <c r="O877" i="31"/>
  <c r="Q877" i="31"/>
  <c r="C878" i="31"/>
  <c r="E878" i="31"/>
  <c r="G878" i="31"/>
  <c r="I878" i="31"/>
  <c r="K878" i="31"/>
  <c r="M878" i="31"/>
  <c r="O878" i="31"/>
  <c r="Q878" i="31"/>
  <c r="C879" i="31"/>
  <c r="E879" i="31"/>
  <c r="G879" i="31"/>
  <c r="I879" i="31"/>
  <c r="K879" i="31"/>
  <c r="M879" i="31"/>
  <c r="O879" i="31"/>
  <c r="Q879" i="31"/>
  <c r="E880" i="31"/>
  <c r="G880" i="31"/>
  <c r="I880" i="31"/>
  <c r="K880" i="31"/>
  <c r="M880" i="31"/>
  <c r="O880" i="31"/>
  <c r="Q880" i="31"/>
  <c r="C881" i="31"/>
  <c r="E881" i="31"/>
  <c r="G881" i="31"/>
  <c r="I881" i="31"/>
  <c r="K881" i="31"/>
  <c r="M881" i="31"/>
  <c r="O881" i="31"/>
  <c r="Q881" i="31"/>
  <c r="C882" i="31"/>
  <c r="E882" i="31"/>
  <c r="G882" i="31"/>
  <c r="I882" i="31"/>
  <c r="K882" i="31"/>
  <c r="M882" i="31"/>
  <c r="O882" i="31"/>
  <c r="Q882" i="31"/>
  <c r="E883" i="31"/>
  <c r="G883" i="31"/>
  <c r="I883" i="31"/>
  <c r="K883" i="31"/>
  <c r="M883" i="31"/>
  <c r="O883" i="31"/>
  <c r="Q883" i="31"/>
  <c r="E884" i="31"/>
  <c r="G884" i="31"/>
  <c r="I884" i="31"/>
  <c r="K884" i="31"/>
  <c r="M884" i="31"/>
  <c r="O884" i="31"/>
  <c r="Q884" i="31"/>
  <c r="C885" i="31"/>
  <c r="E885" i="31"/>
  <c r="G885" i="31"/>
  <c r="I885" i="31"/>
  <c r="K885" i="31"/>
  <c r="M885" i="31"/>
  <c r="O885" i="31"/>
  <c r="Q885" i="31"/>
  <c r="C886" i="31"/>
  <c r="E886" i="31"/>
  <c r="G886" i="31"/>
  <c r="I886" i="31"/>
  <c r="K886" i="31"/>
  <c r="M886" i="31"/>
  <c r="O886" i="31"/>
  <c r="Q886" i="31"/>
  <c r="C887" i="31"/>
  <c r="E887" i="31"/>
  <c r="G887" i="31"/>
  <c r="I887" i="31"/>
  <c r="K887" i="31"/>
  <c r="M887" i="31"/>
  <c r="O887" i="31"/>
  <c r="Q887" i="31"/>
  <c r="E888" i="31"/>
  <c r="G888" i="31"/>
  <c r="I888" i="31"/>
  <c r="K888" i="31"/>
  <c r="M888" i="31"/>
  <c r="O888" i="31"/>
  <c r="Q888" i="31"/>
  <c r="C889" i="31"/>
  <c r="E889" i="31"/>
  <c r="G889" i="31"/>
  <c r="I889" i="31"/>
  <c r="K889" i="31"/>
  <c r="M889" i="31"/>
  <c r="O889" i="31"/>
  <c r="Q889" i="31"/>
  <c r="C890" i="31"/>
  <c r="E890" i="31"/>
  <c r="G890" i="31"/>
  <c r="I890" i="31"/>
  <c r="K890" i="31"/>
  <c r="M890" i="31"/>
  <c r="O890" i="31"/>
  <c r="Q890" i="31"/>
  <c r="E891" i="31"/>
  <c r="G891" i="31"/>
  <c r="I891" i="31"/>
  <c r="K891" i="31"/>
  <c r="M891" i="31"/>
  <c r="O891" i="31"/>
  <c r="Q891" i="31"/>
  <c r="E892" i="31"/>
  <c r="G892" i="31"/>
  <c r="I892" i="31"/>
  <c r="K892" i="31"/>
  <c r="M892" i="31"/>
  <c r="O892" i="31"/>
  <c r="Q892" i="31"/>
  <c r="C893" i="31"/>
  <c r="E893" i="31"/>
  <c r="G893" i="31"/>
  <c r="I893" i="31"/>
  <c r="K893" i="31"/>
  <c r="M893" i="31"/>
  <c r="O893" i="31"/>
  <c r="Q893" i="31"/>
  <c r="C894" i="31"/>
  <c r="E894" i="31"/>
  <c r="G894" i="31"/>
  <c r="I894" i="31"/>
  <c r="K894" i="31"/>
  <c r="M894" i="31"/>
  <c r="O894" i="31"/>
  <c r="Q894" i="31"/>
  <c r="C895" i="31"/>
  <c r="E895" i="31"/>
  <c r="G895" i="31"/>
  <c r="I895" i="31"/>
  <c r="K895" i="31"/>
  <c r="M895" i="31"/>
  <c r="O895" i="31"/>
  <c r="Q895" i="31"/>
  <c r="E896" i="31"/>
  <c r="G896" i="31"/>
  <c r="I896" i="31"/>
  <c r="K896" i="31"/>
  <c r="M896" i="31"/>
  <c r="O896" i="31"/>
  <c r="Q896" i="31"/>
  <c r="C897" i="31"/>
  <c r="E897" i="31"/>
  <c r="G897" i="31"/>
  <c r="I897" i="31"/>
  <c r="K897" i="31"/>
  <c r="M897" i="31"/>
  <c r="O897" i="31"/>
  <c r="Q897" i="31"/>
  <c r="C898" i="31"/>
  <c r="E898" i="31"/>
  <c r="G898" i="31"/>
  <c r="I898" i="31"/>
  <c r="K898" i="31"/>
  <c r="M898" i="31"/>
  <c r="O898" i="31"/>
  <c r="Q898" i="31"/>
  <c r="E899" i="31"/>
  <c r="G899" i="31"/>
  <c r="I899" i="31"/>
  <c r="K899" i="31"/>
  <c r="M899" i="31"/>
  <c r="O899" i="31"/>
  <c r="Q899" i="31"/>
  <c r="C900" i="31"/>
  <c r="E900" i="31"/>
  <c r="G900" i="31"/>
  <c r="I900" i="31"/>
  <c r="K900" i="31"/>
  <c r="M900" i="31"/>
  <c r="O900" i="31"/>
  <c r="Q900" i="31"/>
  <c r="C901" i="31"/>
  <c r="E901" i="31"/>
  <c r="G901" i="31"/>
  <c r="I901" i="31"/>
  <c r="K901" i="31"/>
  <c r="M901" i="31"/>
  <c r="O901" i="31"/>
  <c r="Q901" i="31"/>
  <c r="C902" i="31"/>
  <c r="E902" i="31"/>
  <c r="G902" i="31"/>
  <c r="I902" i="31"/>
  <c r="K902" i="31"/>
  <c r="M902" i="31"/>
  <c r="O902" i="31"/>
  <c r="Q902" i="31"/>
  <c r="C903" i="31"/>
  <c r="E903" i="31"/>
  <c r="G903" i="31"/>
  <c r="I903" i="31"/>
  <c r="K903" i="31"/>
  <c r="M903" i="31"/>
  <c r="O903" i="31"/>
  <c r="Q903" i="31"/>
  <c r="E904" i="31"/>
  <c r="G904" i="31"/>
  <c r="I904" i="31"/>
  <c r="K904" i="31"/>
  <c r="M904" i="31"/>
  <c r="O904" i="31"/>
  <c r="Q904" i="31"/>
  <c r="C905" i="31"/>
  <c r="E905" i="31"/>
  <c r="G905" i="31"/>
  <c r="I905" i="31"/>
  <c r="K905" i="31"/>
  <c r="M905" i="31"/>
  <c r="O905" i="31"/>
  <c r="Q905" i="31"/>
  <c r="C906" i="31"/>
  <c r="E906" i="31"/>
  <c r="G906" i="31"/>
  <c r="I906" i="31"/>
  <c r="K906" i="31"/>
  <c r="M906" i="31"/>
  <c r="O906" i="31"/>
  <c r="Q906" i="31"/>
  <c r="E907" i="31"/>
  <c r="G907" i="31"/>
  <c r="I907" i="31"/>
  <c r="K907" i="31"/>
  <c r="M907" i="31"/>
  <c r="O907" i="31"/>
  <c r="Q907" i="31"/>
  <c r="E908" i="31"/>
  <c r="G908" i="31"/>
  <c r="I908" i="31"/>
  <c r="K908" i="31"/>
  <c r="M908" i="31"/>
  <c r="O908" i="31"/>
  <c r="Q908" i="31"/>
  <c r="C909" i="31"/>
  <c r="E909" i="31"/>
  <c r="G909" i="31"/>
  <c r="I909" i="31"/>
  <c r="K909" i="31"/>
  <c r="M909" i="31"/>
  <c r="O909" i="31"/>
  <c r="Q909" i="31"/>
  <c r="C910" i="31"/>
  <c r="E910" i="31"/>
  <c r="G910" i="31"/>
  <c r="I910" i="31"/>
  <c r="K910" i="31"/>
  <c r="M910" i="31"/>
  <c r="O910" i="31"/>
  <c r="Q910" i="31"/>
  <c r="C911" i="31"/>
  <c r="E911" i="31"/>
  <c r="G911" i="31"/>
  <c r="I911" i="31"/>
  <c r="K911" i="31"/>
  <c r="M911" i="31"/>
  <c r="O911" i="31"/>
  <c r="Q911" i="31"/>
  <c r="E912" i="31"/>
  <c r="G912" i="31"/>
  <c r="I912" i="31"/>
  <c r="K912" i="31"/>
  <c r="M912" i="31"/>
  <c r="O912" i="31"/>
  <c r="Q912" i="31"/>
  <c r="C913" i="31"/>
  <c r="E913" i="31"/>
  <c r="G913" i="31"/>
  <c r="I913" i="31"/>
  <c r="K913" i="31"/>
  <c r="M913" i="31"/>
  <c r="O913" i="31"/>
  <c r="Q913" i="31"/>
  <c r="C914" i="31"/>
  <c r="E914" i="31"/>
  <c r="G914" i="31"/>
  <c r="I914" i="31"/>
  <c r="K914" i="31"/>
  <c r="M914" i="31"/>
  <c r="O914" i="31"/>
  <c r="Q914" i="31"/>
  <c r="E915" i="31"/>
  <c r="G915" i="31"/>
  <c r="I915" i="31"/>
  <c r="K915" i="31"/>
  <c r="M915" i="31"/>
  <c r="O915" i="31"/>
  <c r="Q915" i="31"/>
  <c r="E916" i="31"/>
  <c r="G916" i="31"/>
  <c r="I916" i="31"/>
  <c r="K916" i="31"/>
  <c r="M916" i="31"/>
  <c r="O916" i="31"/>
  <c r="Q916" i="31"/>
  <c r="C917" i="31"/>
  <c r="E917" i="31"/>
  <c r="G917" i="31"/>
  <c r="I917" i="31"/>
  <c r="K917" i="31"/>
  <c r="M917" i="31"/>
  <c r="O917" i="31"/>
  <c r="Q917" i="31"/>
  <c r="C918" i="31"/>
  <c r="E918" i="31"/>
  <c r="G918" i="31"/>
  <c r="I918" i="31"/>
  <c r="K918" i="31"/>
  <c r="M918" i="31"/>
  <c r="O918" i="31"/>
  <c r="Q918" i="31"/>
  <c r="C919" i="31"/>
  <c r="E919" i="31"/>
  <c r="G919" i="31"/>
  <c r="I919" i="31"/>
  <c r="K919" i="31"/>
  <c r="M919" i="31"/>
  <c r="O919" i="31"/>
  <c r="Q919" i="31"/>
  <c r="E920" i="31"/>
  <c r="G920" i="31"/>
  <c r="I920" i="31"/>
  <c r="K920" i="31"/>
  <c r="M920" i="31"/>
  <c r="O920" i="31"/>
  <c r="Q920" i="31"/>
  <c r="C921" i="31"/>
  <c r="E921" i="31"/>
  <c r="G921" i="31"/>
  <c r="I921" i="31"/>
  <c r="K921" i="31"/>
  <c r="M921" i="31"/>
  <c r="O921" i="31"/>
  <c r="Q921" i="31"/>
  <c r="C922" i="31"/>
  <c r="E922" i="31"/>
  <c r="G922" i="31"/>
  <c r="I922" i="31"/>
  <c r="K922" i="31"/>
  <c r="M922" i="31"/>
  <c r="O922" i="31"/>
  <c r="Q922" i="31"/>
  <c r="E923" i="31"/>
  <c r="G923" i="31"/>
  <c r="I923" i="31"/>
  <c r="K923" i="31"/>
  <c r="M923" i="31"/>
  <c r="O923" i="31"/>
  <c r="Q923" i="31"/>
  <c r="E924" i="31"/>
  <c r="G924" i="31"/>
  <c r="I924" i="31"/>
  <c r="K924" i="31"/>
  <c r="M924" i="31"/>
  <c r="O924" i="31"/>
  <c r="Q924" i="31"/>
  <c r="C925" i="31"/>
  <c r="E925" i="31"/>
  <c r="G925" i="31"/>
  <c r="I925" i="31"/>
  <c r="K925" i="31"/>
  <c r="M925" i="31"/>
  <c r="O925" i="31"/>
  <c r="Q925" i="31"/>
  <c r="C926" i="31"/>
  <c r="E926" i="31"/>
  <c r="G926" i="31"/>
  <c r="I926" i="31"/>
  <c r="K926" i="31"/>
  <c r="M926" i="31"/>
  <c r="O926" i="31"/>
  <c r="Q926" i="31"/>
  <c r="R926" i="31"/>
  <c r="S926" i="31" s="1"/>
  <c r="C927" i="31"/>
  <c r="E927" i="31"/>
  <c r="G927" i="31"/>
  <c r="I927" i="31"/>
  <c r="K927" i="31"/>
  <c r="M927" i="31"/>
  <c r="O927" i="31"/>
  <c r="Q927" i="31"/>
  <c r="R927" i="31"/>
  <c r="S927" i="31" s="1"/>
  <c r="C928" i="31"/>
  <c r="E928" i="31"/>
  <c r="G928" i="31"/>
  <c r="I928" i="31"/>
  <c r="K928" i="31"/>
  <c r="M928" i="31"/>
  <c r="O928" i="31"/>
  <c r="Q928" i="31"/>
  <c r="R928" i="31"/>
  <c r="S928" i="31" s="1"/>
  <c r="C929" i="31"/>
  <c r="E929" i="31"/>
  <c r="G929" i="31"/>
  <c r="I929" i="31"/>
  <c r="K929" i="31"/>
  <c r="M929" i="31"/>
  <c r="O929" i="31"/>
  <c r="Q929" i="31"/>
  <c r="R929" i="31"/>
  <c r="S929" i="31" s="1"/>
  <c r="C930" i="31"/>
  <c r="E930" i="31"/>
  <c r="G930" i="31"/>
  <c r="I930" i="31"/>
  <c r="K930" i="31"/>
  <c r="M930" i="31"/>
  <c r="O930" i="31"/>
  <c r="Q930" i="31"/>
  <c r="R930" i="31"/>
  <c r="S930" i="31" s="1"/>
  <c r="C931" i="31"/>
  <c r="E931" i="31"/>
  <c r="G931" i="31"/>
  <c r="I931" i="31"/>
  <c r="K931" i="31"/>
  <c r="M931" i="31"/>
  <c r="O931" i="31"/>
  <c r="Q931" i="31"/>
  <c r="R931" i="31"/>
  <c r="S931" i="31" s="1"/>
  <c r="C932" i="31"/>
  <c r="E932" i="31"/>
  <c r="G932" i="31"/>
  <c r="I932" i="31"/>
  <c r="K932" i="31"/>
  <c r="M932" i="31"/>
  <c r="O932" i="31"/>
  <c r="Q932" i="31"/>
  <c r="R932" i="31"/>
  <c r="S932" i="31" s="1"/>
  <c r="C933" i="31"/>
  <c r="E933" i="31"/>
  <c r="G933" i="31"/>
  <c r="I933" i="31"/>
  <c r="K933" i="31"/>
  <c r="M933" i="31"/>
  <c r="O933" i="31"/>
  <c r="Q933" i="31"/>
  <c r="R933" i="31"/>
  <c r="S933" i="31" s="1"/>
  <c r="C934" i="31"/>
  <c r="E934" i="31"/>
  <c r="G934" i="31"/>
  <c r="I934" i="31"/>
  <c r="K934" i="31"/>
  <c r="M934" i="31"/>
  <c r="O934" i="31"/>
  <c r="Q934" i="31"/>
  <c r="R934" i="31"/>
  <c r="S934" i="31" s="1"/>
  <c r="C935" i="31"/>
  <c r="E935" i="31"/>
  <c r="G935" i="31"/>
  <c r="I935" i="31"/>
  <c r="K935" i="31"/>
  <c r="M935" i="31"/>
  <c r="O935" i="31"/>
  <c r="Q935" i="31"/>
  <c r="R935" i="31"/>
  <c r="S935" i="31" s="1"/>
  <c r="C936" i="31"/>
  <c r="E936" i="31"/>
  <c r="G936" i="31"/>
  <c r="I936" i="31"/>
  <c r="K936" i="31"/>
  <c r="M936" i="31"/>
  <c r="O936" i="31"/>
  <c r="Q936" i="31"/>
  <c r="R936" i="31"/>
  <c r="S936" i="31" s="1"/>
  <c r="C937" i="31"/>
  <c r="E937" i="31"/>
  <c r="G937" i="31"/>
  <c r="I937" i="31"/>
  <c r="K937" i="31"/>
  <c r="M937" i="31"/>
  <c r="O937" i="31"/>
  <c r="Q937" i="31"/>
  <c r="R937" i="31"/>
  <c r="S937" i="31" s="1"/>
  <c r="C938" i="31"/>
  <c r="E938" i="31"/>
  <c r="G938" i="31"/>
  <c r="I938" i="31"/>
  <c r="K938" i="31"/>
  <c r="M938" i="31"/>
  <c r="O938" i="31"/>
  <c r="Q938" i="31"/>
  <c r="R938" i="31"/>
  <c r="S938" i="31" s="1"/>
  <c r="C939" i="31"/>
  <c r="E939" i="31"/>
  <c r="G939" i="31"/>
  <c r="I939" i="31"/>
  <c r="K939" i="31"/>
  <c r="M939" i="31"/>
  <c r="O939" i="31"/>
  <c r="Q939" i="31"/>
  <c r="R939" i="31"/>
  <c r="S939" i="31" s="1"/>
  <c r="C940" i="31"/>
  <c r="E940" i="31"/>
  <c r="G940" i="31"/>
  <c r="I940" i="31"/>
  <c r="K940" i="31"/>
  <c r="M940" i="31"/>
  <c r="O940" i="31"/>
  <c r="Q940" i="31"/>
  <c r="R940" i="31"/>
  <c r="S940" i="31" s="1"/>
  <c r="C941" i="31"/>
  <c r="E941" i="31"/>
  <c r="G941" i="31"/>
  <c r="I941" i="31"/>
  <c r="K941" i="31"/>
  <c r="M941" i="31"/>
  <c r="O941" i="31"/>
  <c r="Q941" i="31"/>
  <c r="R941" i="31"/>
  <c r="S941" i="31" s="1"/>
  <c r="C942" i="31"/>
  <c r="E942" i="31"/>
  <c r="G942" i="31"/>
  <c r="I942" i="31"/>
  <c r="K942" i="31"/>
  <c r="M942" i="31"/>
  <c r="O942" i="31"/>
  <c r="Q942" i="31"/>
  <c r="R942" i="31"/>
  <c r="S942" i="31" s="1"/>
  <c r="C943" i="31"/>
  <c r="E943" i="31"/>
  <c r="G943" i="31"/>
  <c r="I943" i="31"/>
  <c r="K943" i="31"/>
  <c r="M943" i="31"/>
  <c r="O943" i="31"/>
  <c r="Q943" i="31"/>
  <c r="R943" i="31"/>
  <c r="S943" i="31" s="1"/>
  <c r="C944" i="31"/>
  <c r="E944" i="31"/>
  <c r="G944" i="31"/>
  <c r="I944" i="31"/>
  <c r="K944" i="31"/>
  <c r="M944" i="31"/>
  <c r="O944" i="31"/>
  <c r="Q944" i="31"/>
  <c r="R944" i="31"/>
  <c r="S944" i="31" s="1"/>
  <c r="C945" i="31"/>
  <c r="E945" i="31"/>
  <c r="G945" i="31"/>
  <c r="I945" i="31"/>
  <c r="K945" i="31"/>
  <c r="M945" i="31"/>
  <c r="O945" i="31"/>
  <c r="Q945" i="31"/>
  <c r="R945" i="31"/>
  <c r="S945" i="31" s="1"/>
  <c r="C946" i="31"/>
  <c r="E946" i="31"/>
  <c r="G946" i="31"/>
  <c r="I946" i="31"/>
  <c r="K946" i="31"/>
  <c r="M946" i="31"/>
  <c r="O946" i="31"/>
  <c r="Q946" i="31"/>
  <c r="R946" i="31"/>
  <c r="S946" i="31" s="1"/>
  <c r="C947" i="31"/>
  <c r="E947" i="31"/>
  <c r="G947" i="31"/>
  <c r="I947" i="31"/>
  <c r="K947" i="31"/>
  <c r="M947" i="31"/>
  <c r="O947" i="31"/>
  <c r="Q947" i="31"/>
  <c r="R947" i="31"/>
  <c r="S947" i="31" s="1"/>
  <c r="C948" i="31"/>
  <c r="E948" i="31"/>
  <c r="G948" i="31"/>
  <c r="I948" i="31"/>
  <c r="K948" i="31"/>
  <c r="M948" i="31"/>
  <c r="O948" i="31"/>
  <c r="Q948" i="31"/>
  <c r="R948" i="31"/>
  <c r="S948" i="31" s="1"/>
  <c r="C949" i="31"/>
  <c r="E949" i="31"/>
  <c r="G949" i="31"/>
  <c r="I949" i="31"/>
  <c r="K949" i="31"/>
  <c r="M949" i="31"/>
  <c r="O949" i="31"/>
  <c r="Q949" i="31"/>
  <c r="R949" i="31"/>
  <c r="S949" i="31" s="1"/>
  <c r="C950" i="31"/>
  <c r="E950" i="31"/>
  <c r="G950" i="31"/>
  <c r="I950" i="31"/>
  <c r="K950" i="31"/>
  <c r="M950" i="31"/>
  <c r="O950" i="31"/>
  <c r="Q950" i="31"/>
  <c r="R950" i="31"/>
  <c r="S950" i="31" s="1"/>
  <c r="C951" i="31"/>
  <c r="E951" i="31"/>
  <c r="G951" i="31"/>
  <c r="I951" i="31"/>
  <c r="K951" i="31"/>
  <c r="M951" i="31"/>
  <c r="O951" i="31"/>
  <c r="Q951" i="31"/>
  <c r="R951" i="31"/>
  <c r="S951"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A536" i="31"/>
  <c r="A537" i="31"/>
  <c r="A538" i="31"/>
  <c r="A539" i="31"/>
  <c r="A540" i="31"/>
  <c r="A541" i="31"/>
  <c r="A542" i="31"/>
  <c r="A543" i="31"/>
  <c r="A544" i="31"/>
  <c r="A545" i="31"/>
  <c r="A546" i="31"/>
  <c r="A547" i="31"/>
  <c r="A548" i="31"/>
  <c r="A549" i="31"/>
  <c r="A550" i="31"/>
  <c r="A551" i="31"/>
  <c r="A552" i="31"/>
  <c r="A553" i="31"/>
  <c r="A554" i="31"/>
  <c r="A555" i="31"/>
  <c r="A556" i="31"/>
  <c r="A557" i="31"/>
  <c r="A558" i="31"/>
  <c r="A559" i="31"/>
  <c r="A560" i="31"/>
  <c r="A561" i="31"/>
  <c r="A562" i="31"/>
  <c r="A563" i="31"/>
  <c r="A564" i="31"/>
  <c r="A565" i="31"/>
  <c r="A566" i="31"/>
  <c r="A567" i="31"/>
  <c r="A568" i="31"/>
  <c r="A569" i="31"/>
  <c r="A570" i="31"/>
  <c r="A571" i="31"/>
  <c r="A572" i="31"/>
  <c r="A573" i="31"/>
  <c r="A574" i="31"/>
  <c r="A575" i="31"/>
  <c r="A576" i="31"/>
  <c r="A577" i="31"/>
  <c r="A578" i="31"/>
  <c r="A579" i="31"/>
  <c r="A580" i="31"/>
  <c r="A581" i="31"/>
  <c r="A582" i="31"/>
  <c r="A583" i="31"/>
  <c r="A584" i="31"/>
  <c r="A585" i="31"/>
  <c r="A586" i="31"/>
  <c r="A587" i="31"/>
  <c r="A588" i="31"/>
  <c r="A589" i="31"/>
  <c r="A590" i="31"/>
  <c r="A591" i="31"/>
  <c r="A592" i="31"/>
  <c r="A593" i="31"/>
  <c r="A594" i="31"/>
  <c r="A595" i="31"/>
  <c r="A596" i="31"/>
  <c r="A597" i="31"/>
  <c r="A598" i="31"/>
  <c r="A599" i="31"/>
  <c r="A600" i="31"/>
  <c r="A601" i="31"/>
  <c r="A602" i="31"/>
  <c r="A603" i="31"/>
  <c r="A604" i="31"/>
  <c r="A605" i="31"/>
  <c r="A606" i="31"/>
  <c r="A607" i="31"/>
  <c r="A608" i="31"/>
  <c r="A609" i="31"/>
  <c r="A610" i="31"/>
  <c r="A611" i="31"/>
  <c r="A612" i="31"/>
  <c r="A613" i="31"/>
  <c r="A614" i="31"/>
  <c r="A615" i="31"/>
  <c r="A616" i="31"/>
  <c r="A617" i="31"/>
  <c r="A618" i="31"/>
  <c r="A619" i="31"/>
  <c r="A620" i="31"/>
  <c r="A621" i="31"/>
  <c r="A622" i="31"/>
  <c r="A623" i="31"/>
  <c r="A624" i="31"/>
  <c r="A625" i="31"/>
  <c r="A626" i="31"/>
  <c r="A627" i="31"/>
  <c r="A628" i="31"/>
  <c r="A629" i="31"/>
  <c r="A630" i="31"/>
  <c r="A631" i="31"/>
  <c r="A632" i="31"/>
  <c r="A633" i="31"/>
  <c r="A634" i="31"/>
  <c r="A635" i="31"/>
  <c r="A636" i="31"/>
  <c r="A637" i="31"/>
  <c r="A638" i="31"/>
  <c r="A639" i="31"/>
  <c r="A640" i="31"/>
  <c r="A641" i="31"/>
  <c r="A642" i="31"/>
  <c r="A643" i="31"/>
  <c r="A644" i="31"/>
  <c r="A645" i="31"/>
  <c r="A646" i="31"/>
  <c r="A647" i="31"/>
  <c r="A648" i="31"/>
  <c r="A649" i="31"/>
  <c r="A650" i="31"/>
  <c r="A651" i="31"/>
  <c r="A652" i="31"/>
  <c r="A653" i="31"/>
  <c r="A654" i="31"/>
  <c r="A655" i="31"/>
  <c r="A656" i="31"/>
  <c r="A657" i="31"/>
  <c r="A658" i="31"/>
  <c r="A659" i="31"/>
  <c r="A660" i="31"/>
  <c r="A661" i="31"/>
  <c r="A662" i="31"/>
  <c r="A663" i="31"/>
  <c r="A664" i="31"/>
  <c r="A665" i="31"/>
  <c r="A666" i="31"/>
  <c r="A667" i="31"/>
  <c r="A668" i="31"/>
  <c r="A669" i="31"/>
  <c r="A670" i="31"/>
  <c r="A671" i="31"/>
  <c r="A672" i="31"/>
  <c r="A673" i="31"/>
  <c r="A674" i="31"/>
  <c r="A675" i="31"/>
  <c r="A676" i="31"/>
  <c r="A677" i="31"/>
  <c r="A678" i="31"/>
  <c r="A679" i="31"/>
  <c r="A680" i="31"/>
  <c r="A681" i="31"/>
  <c r="A682" i="31"/>
  <c r="A683" i="31"/>
  <c r="A684" i="31"/>
  <c r="A685" i="31"/>
  <c r="A686" i="31"/>
  <c r="A687" i="31"/>
  <c r="A688" i="31"/>
  <c r="A689" i="31"/>
  <c r="A690" i="31"/>
  <c r="A691" i="31"/>
  <c r="A692" i="31"/>
  <c r="A693" i="31"/>
  <c r="A694" i="31"/>
  <c r="A695" i="31"/>
  <c r="A696" i="31"/>
  <c r="A697" i="31"/>
  <c r="A698" i="31"/>
  <c r="A699" i="31"/>
  <c r="A700" i="31"/>
  <c r="A701" i="31"/>
  <c r="A702" i="31"/>
  <c r="A703" i="31"/>
  <c r="A704" i="31"/>
  <c r="A705" i="31"/>
  <c r="A706" i="31"/>
  <c r="A707" i="31"/>
  <c r="A708" i="31"/>
  <c r="A709" i="31"/>
  <c r="A710" i="31"/>
  <c r="A711" i="31"/>
  <c r="A712" i="31"/>
  <c r="A713" i="31"/>
  <c r="A714" i="31"/>
  <c r="A715" i="31"/>
  <c r="A716" i="31"/>
  <c r="A717" i="31"/>
  <c r="A718" i="31"/>
  <c r="A719" i="31"/>
  <c r="A720" i="31"/>
  <c r="A721" i="31"/>
  <c r="A722" i="31"/>
  <c r="A723" i="31"/>
  <c r="A724" i="31"/>
  <c r="A725" i="31"/>
  <c r="A726" i="31"/>
  <c r="A727" i="31"/>
  <c r="A728" i="31"/>
  <c r="A729" i="31"/>
  <c r="A730" i="31"/>
  <c r="A731" i="31"/>
  <c r="A732" i="31"/>
  <c r="A733" i="31"/>
  <c r="A734" i="31"/>
  <c r="A735" i="31"/>
  <c r="A736" i="31"/>
  <c r="A737" i="31"/>
  <c r="A738" i="31"/>
  <c r="A739" i="31"/>
  <c r="A740" i="31"/>
  <c r="A741" i="31"/>
  <c r="A742" i="31"/>
  <c r="A743" i="31"/>
  <c r="A744" i="31"/>
  <c r="A745" i="31"/>
  <c r="A746" i="31"/>
  <c r="A747" i="31"/>
  <c r="A748" i="31"/>
  <c r="A749" i="31"/>
  <c r="A750" i="31"/>
  <c r="A751" i="31"/>
  <c r="A752" i="31"/>
  <c r="A753" i="31"/>
  <c r="A754" i="31"/>
  <c r="A755" i="31"/>
  <c r="A756" i="31"/>
  <c r="A757" i="31"/>
  <c r="A758" i="31"/>
  <c r="A759" i="31"/>
  <c r="A760" i="31"/>
  <c r="A761" i="31"/>
  <c r="A762" i="31"/>
  <c r="A763" i="31"/>
  <c r="A764" i="31"/>
  <c r="A765" i="31"/>
  <c r="A766" i="31"/>
  <c r="A767" i="31"/>
  <c r="A768" i="31"/>
  <c r="A769" i="31"/>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A795" i="31"/>
  <c r="A796" i="31"/>
  <c r="A797" i="31"/>
  <c r="A798" i="31"/>
  <c r="A799" i="31"/>
  <c r="A800" i="31"/>
  <c r="A801" i="31"/>
  <c r="A802" i="31"/>
  <c r="A803" i="31"/>
  <c r="A804" i="31"/>
  <c r="A805" i="31"/>
  <c r="A806" i="31"/>
  <c r="A807" i="31"/>
  <c r="A808" i="31"/>
  <c r="A809" i="31"/>
  <c r="A810" i="31"/>
  <c r="A811" i="31"/>
  <c r="A812" i="31"/>
  <c r="A813" i="31"/>
  <c r="A814" i="31"/>
  <c r="A815" i="31"/>
  <c r="A816" i="31"/>
  <c r="A817" i="31"/>
  <c r="A818" i="31"/>
  <c r="A819" i="31"/>
  <c r="A820" i="31"/>
  <c r="A821" i="31"/>
  <c r="A822" i="31"/>
  <c r="A823" i="31"/>
  <c r="A824" i="31"/>
  <c r="A825" i="31"/>
  <c r="A826" i="31"/>
  <c r="A827" i="31"/>
  <c r="A828" i="31"/>
  <c r="A829" i="31"/>
  <c r="A830" i="31"/>
  <c r="A831" i="31"/>
  <c r="A832" i="31"/>
  <c r="A833" i="31"/>
  <c r="A834" i="31"/>
  <c r="A835" i="31"/>
  <c r="A836" i="31"/>
  <c r="A837" i="31"/>
  <c r="A838" i="31"/>
  <c r="A839" i="31"/>
  <c r="A840" i="31"/>
  <c r="A841" i="31"/>
  <c r="A842" i="31"/>
  <c r="A843" i="31"/>
  <c r="A844" i="31"/>
  <c r="A845" i="31"/>
  <c r="A846" i="31"/>
  <c r="A847" i="31"/>
  <c r="A848" i="31"/>
  <c r="A849" i="31"/>
  <c r="A850" i="31"/>
  <c r="A851" i="31"/>
  <c r="A852" i="31"/>
  <c r="A853" i="31"/>
  <c r="A854" i="31"/>
  <c r="A855" i="31"/>
  <c r="A856" i="31"/>
  <c r="A857" i="31"/>
  <c r="A858" i="31"/>
  <c r="A859" i="31"/>
  <c r="A860" i="31"/>
  <c r="A861" i="31"/>
  <c r="A862" i="31"/>
  <c r="A863" i="31"/>
  <c r="A864" i="31"/>
  <c r="A865" i="31"/>
  <c r="A866" i="31"/>
  <c r="A867" i="31"/>
  <c r="A868" i="31"/>
  <c r="A869" i="31"/>
  <c r="A870" i="31"/>
  <c r="A871" i="31"/>
  <c r="A872" i="31"/>
  <c r="A873" i="31"/>
  <c r="A874" i="31"/>
  <c r="A875" i="31"/>
  <c r="A876" i="31"/>
  <c r="A877" i="31"/>
  <c r="A878" i="31"/>
  <c r="A879" i="31"/>
  <c r="A880" i="31"/>
  <c r="A881" i="31"/>
  <c r="A882" i="31"/>
  <c r="A883" i="31"/>
  <c r="A884" i="31"/>
  <c r="A885" i="31"/>
  <c r="A886" i="31"/>
  <c r="A887" i="31"/>
  <c r="A888" i="31"/>
  <c r="A889" i="31"/>
  <c r="A890" i="31"/>
  <c r="A891" i="31"/>
  <c r="A892" i="31"/>
  <c r="A893" i="31"/>
  <c r="A894" i="31"/>
  <c r="A895" i="31"/>
  <c r="A896" i="31"/>
  <c r="A897" i="31"/>
  <c r="A898" i="31"/>
  <c r="A899" i="31"/>
  <c r="A900" i="31"/>
  <c r="A901" i="31"/>
  <c r="A902" i="31"/>
  <c r="A903" i="31"/>
  <c r="A904" i="31"/>
  <c r="A905" i="31"/>
  <c r="A906" i="31"/>
  <c r="A907" i="31"/>
  <c r="A908" i="31"/>
  <c r="A909" i="31"/>
  <c r="A910" i="31"/>
  <c r="A911" i="31"/>
  <c r="A912" i="31"/>
  <c r="A913" i="31"/>
  <c r="A914" i="31"/>
  <c r="A915" i="31"/>
  <c r="A916" i="31"/>
  <c r="A917" i="31"/>
  <c r="A918" i="31"/>
  <c r="A919" i="31"/>
  <c r="A920" i="31"/>
  <c r="A921" i="31"/>
  <c r="A922" i="31"/>
  <c r="A923" i="31"/>
  <c r="A924" i="31"/>
  <c r="A24" i="31"/>
  <c r="A120" i="80"/>
  <c r="A118" i="80"/>
  <c r="E111" i="80"/>
  <c r="H112" i="80" s="1"/>
  <c r="E109" i="80"/>
  <c r="A124" i="80" s="1"/>
  <c r="E107" i="80"/>
  <c r="A122" i="80" s="1"/>
  <c r="H106" i="80"/>
  <c r="H105" i="80"/>
  <c r="H104" i="80"/>
  <c r="H103" i="80"/>
  <c r="D120" i="80" s="1"/>
  <c r="D101" i="80"/>
  <c r="C101" i="80"/>
  <c r="D93" i="80"/>
  <c r="C91" i="80"/>
  <c r="E90" i="80"/>
  <c r="D89" i="80"/>
  <c r="C89" i="80" s="1"/>
  <c r="C87" i="80" s="1"/>
  <c r="D78" i="80"/>
  <c r="H77" i="80"/>
  <c r="D77" i="80"/>
  <c r="C77" i="80" s="1"/>
  <c r="C74" i="80" s="1"/>
  <c r="C76" i="80"/>
  <c r="D68" i="80"/>
  <c r="F59" i="80"/>
  <c r="E59" i="80"/>
  <c r="N55" i="80" s="1"/>
  <c r="N56" i="80"/>
  <c r="M56" i="80"/>
  <c r="K56" i="80"/>
  <c r="J56" i="80"/>
  <c r="F56" i="80"/>
  <c r="O55" i="80"/>
  <c r="K55" i="80"/>
  <c r="J55" i="80"/>
  <c r="J57" i="80" s="1"/>
  <c r="J59" i="80" s="1"/>
  <c r="J61" i="80" s="1"/>
  <c r="I55" i="80"/>
  <c r="F55" i="80"/>
  <c r="O54" i="80"/>
  <c r="N54" i="80"/>
  <c r="F54" i="80"/>
  <c r="O53" i="80"/>
  <c r="N53" i="80"/>
  <c r="F53" i="80"/>
  <c r="F52" i="80"/>
  <c r="K49" i="80"/>
  <c r="F48" i="80"/>
  <c r="O52" i="80" s="1"/>
  <c r="E48" i="80"/>
  <c r="N52" i="80" s="1"/>
  <c r="D48" i="80"/>
  <c r="M52" i="80" s="1"/>
  <c r="M47" i="80"/>
  <c r="F33" i="80"/>
  <c r="D27" i="80"/>
  <c r="C25" i="80"/>
  <c r="C24" i="80"/>
  <c r="M19" i="80"/>
  <c r="C118" i="80" s="1"/>
  <c r="L19" i="80"/>
  <c r="M18" i="80"/>
  <c r="B118" i="80" s="1"/>
  <c r="L18" i="80"/>
  <c r="D17" i="80"/>
  <c r="C17" i="80"/>
  <c r="L4" i="80"/>
  <c r="K4" i="80"/>
  <c r="A2" i="80"/>
  <c r="H1" i="80"/>
  <c r="I5" i="35"/>
  <c r="G5" i="35"/>
  <c r="E5" i="35"/>
  <c r="N9" i="79"/>
  <c r="N7" i="79"/>
  <c r="AM7" i="1"/>
  <c r="AL7" i="1"/>
  <c r="AK7" i="1"/>
  <c r="AD7" i="1"/>
  <c r="AD6" i="1"/>
  <c r="Y7" i="1"/>
  <c r="Y6" i="1"/>
  <c r="Q7" i="1"/>
  <c r="N7" i="1"/>
  <c r="J7" i="1"/>
  <c r="I7" i="1"/>
  <c r="H7" i="1"/>
  <c r="N6" i="1"/>
  <c r="N21" i="1"/>
  <c r="G20" i="6"/>
  <c r="G19" i="6"/>
  <c r="D20" i="6"/>
  <c r="D19" i="6"/>
  <c r="C19" i="6"/>
  <c r="H902" i="78"/>
  <c r="H289" i="78"/>
  <c r="H296" i="78"/>
  <c r="H297" i="78"/>
  <c r="H298" i="78"/>
  <c r="H299" i="78"/>
  <c r="H300" i="78"/>
  <c r="H301" i="78"/>
  <c r="H302" i="78"/>
  <c r="H303" i="78"/>
  <c r="H304" i="78"/>
  <c r="H305" i="78"/>
  <c r="H306" i="78"/>
  <c r="H307" i="78"/>
  <c r="H308" i="78"/>
  <c r="H309" i="78"/>
  <c r="H310" i="78"/>
  <c r="H311" i="78"/>
  <c r="H312" i="78"/>
  <c r="H313" i="78"/>
  <c r="H314" i="78"/>
  <c r="H315" i="78"/>
  <c r="H316" i="78"/>
  <c r="H317" i="78"/>
  <c r="H318" i="78"/>
  <c r="H319" i="78"/>
  <c r="H320" i="78"/>
  <c r="H321" i="78"/>
  <c r="H322" i="78"/>
  <c r="H323" i="78"/>
  <c r="H324" i="78"/>
  <c r="H325" i="78"/>
  <c r="H326" i="78"/>
  <c r="H327" i="78"/>
  <c r="H328" i="78"/>
  <c r="H329" i="78"/>
  <c r="H330" i="78"/>
  <c r="H331" i="78"/>
  <c r="H332" i="78"/>
  <c r="H333" i="78"/>
  <c r="H334" i="78"/>
  <c r="H335" i="78"/>
  <c r="H336" i="78"/>
  <c r="H337" i="78"/>
  <c r="H338" i="78"/>
  <c r="H339" i="78"/>
  <c r="H340" i="78"/>
  <c r="H341" i="78"/>
  <c r="H342" i="78"/>
  <c r="H343" i="78"/>
  <c r="H344" i="78"/>
  <c r="H345" i="78"/>
  <c r="H346" i="78"/>
  <c r="H347" i="78"/>
  <c r="H348" i="78"/>
  <c r="H349" i="78"/>
  <c r="H350" i="78"/>
  <c r="H351" i="78"/>
  <c r="H352" i="78"/>
  <c r="H353" i="78"/>
  <c r="H354" i="78"/>
  <c r="H355" i="78"/>
  <c r="H356" i="78"/>
  <c r="H357" i="78"/>
  <c r="H358" i="78"/>
  <c r="H359" i="78"/>
  <c r="H360" i="78"/>
  <c r="H361" i="78"/>
  <c r="H362" i="78"/>
  <c r="H363" i="78"/>
  <c r="H364" i="78"/>
  <c r="H365" i="78"/>
  <c r="H366" i="78"/>
  <c r="H367" i="78"/>
  <c r="H368" i="78"/>
  <c r="H369" i="78"/>
  <c r="H370" i="78"/>
  <c r="H371" i="78"/>
  <c r="H372" i="78"/>
  <c r="H373" i="78"/>
  <c r="H374" i="78"/>
  <c r="H375" i="78"/>
  <c r="H376" i="78"/>
  <c r="H377" i="78"/>
  <c r="H378" i="78"/>
  <c r="H379" i="78"/>
  <c r="H380" i="78"/>
  <c r="H381" i="78"/>
  <c r="H382" i="78"/>
  <c r="H383" i="78"/>
  <c r="H384" i="78"/>
  <c r="H385" i="78"/>
  <c r="H386" i="78"/>
  <c r="H387" i="78"/>
  <c r="H388" i="78"/>
  <c r="H389" i="78"/>
  <c r="H390" i="78"/>
  <c r="H391" i="78"/>
  <c r="H392" i="78"/>
  <c r="H393" i="78"/>
  <c r="H394" i="78"/>
  <c r="H395" i="78"/>
  <c r="H396" i="78"/>
  <c r="H397" i="78"/>
  <c r="H398" i="78"/>
  <c r="H399" i="78"/>
  <c r="H400" i="78"/>
  <c r="H401" i="78"/>
  <c r="H402" i="78"/>
  <c r="H403" i="78"/>
  <c r="H404" i="78"/>
  <c r="H405" i="78"/>
  <c r="H406" i="78"/>
  <c r="H407" i="78"/>
  <c r="H408" i="78"/>
  <c r="H409" i="78"/>
  <c r="H410" i="78"/>
  <c r="H411" i="78"/>
  <c r="H412" i="78"/>
  <c r="H413" i="78"/>
  <c r="H414" i="78"/>
  <c r="H415" i="78"/>
  <c r="H416" i="78"/>
  <c r="H417" i="78"/>
  <c r="H418" i="78"/>
  <c r="H419" i="78"/>
  <c r="H420" i="78"/>
  <c r="H421" i="78"/>
  <c r="H422" i="78"/>
  <c r="H423" i="78"/>
  <c r="H424" i="78"/>
  <c r="H425" i="78"/>
  <c r="H426" i="78"/>
  <c r="H427" i="78"/>
  <c r="H428" i="78"/>
  <c r="H429" i="78"/>
  <c r="H430" i="78"/>
  <c r="H431" i="78"/>
  <c r="H432" i="78"/>
  <c r="H433" i="78"/>
  <c r="H434" i="78"/>
  <c r="H435" i="78"/>
  <c r="H436" i="78"/>
  <c r="H437" i="78"/>
  <c r="H438" i="78"/>
  <c r="H439" i="78"/>
  <c r="H440" i="78"/>
  <c r="H441" i="78"/>
  <c r="H442" i="78"/>
  <c r="H443" i="78"/>
  <c r="H444" i="78"/>
  <c r="H445" i="78"/>
  <c r="H446" i="78"/>
  <c r="H447" i="78"/>
  <c r="H448" i="78"/>
  <c r="H449" i="78"/>
  <c r="H450" i="78"/>
  <c r="H451" i="78"/>
  <c r="H452" i="78"/>
  <c r="H453" i="78"/>
  <c r="H454" i="78"/>
  <c r="H455" i="78"/>
  <c r="H456" i="78"/>
  <c r="H457" i="78"/>
  <c r="H458" i="78"/>
  <c r="H459" i="78"/>
  <c r="H460" i="78"/>
  <c r="H461" i="78"/>
  <c r="H462" i="78"/>
  <c r="H463" i="78"/>
  <c r="H464" i="78"/>
  <c r="H465" i="78"/>
  <c r="H466" i="78"/>
  <c r="H467" i="78"/>
  <c r="H468" i="78"/>
  <c r="H469" i="78"/>
  <c r="H470" i="78"/>
  <c r="H471" i="78"/>
  <c r="H472" i="78"/>
  <c r="H473" i="78"/>
  <c r="H474" i="78"/>
  <c r="H475" i="78"/>
  <c r="H476" i="78"/>
  <c r="H477" i="78"/>
  <c r="H478" i="78"/>
  <c r="H479" i="78"/>
  <c r="H480" i="78"/>
  <c r="H481" i="78"/>
  <c r="H482" i="78"/>
  <c r="H483" i="78"/>
  <c r="H484" i="78"/>
  <c r="H485" i="78"/>
  <c r="H486" i="78"/>
  <c r="H487" i="78"/>
  <c r="H488" i="78"/>
  <c r="H489" i="78"/>
  <c r="H490" i="78"/>
  <c r="H491" i="78"/>
  <c r="H492" i="78"/>
  <c r="H493" i="78"/>
  <c r="H494" i="78"/>
  <c r="H495" i="78"/>
  <c r="H496" i="78"/>
  <c r="H497" i="78"/>
  <c r="H498" i="78"/>
  <c r="H499" i="78"/>
  <c r="H500" i="78"/>
  <c r="H501" i="78"/>
  <c r="H502" i="78"/>
  <c r="H503" i="78"/>
  <c r="H504" i="78"/>
  <c r="H505" i="78"/>
  <c r="H506" i="78"/>
  <c r="H507" i="78"/>
  <c r="H508" i="78"/>
  <c r="H509" i="78"/>
  <c r="H510" i="78"/>
  <c r="H511" i="78"/>
  <c r="H512" i="78"/>
  <c r="H513" i="78"/>
  <c r="H514" i="78"/>
  <c r="H515" i="78"/>
  <c r="H516" i="78"/>
  <c r="H517" i="78"/>
  <c r="H518" i="78"/>
  <c r="H519" i="78"/>
  <c r="H520" i="78"/>
  <c r="H521" i="78"/>
  <c r="H522" i="78"/>
  <c r="H523" i="78"/>
  <c r="H524" i="78"/>
  <c r="H525" i="78"/>
  <c r="H526" i="78"/>
  <c r="H527" i="78"/>
  <c r="H528" i="78"/>
  <c r="H529" i="78"/>
  <c r="H530" i="78"/>
  <c r="H531" i="78"/>
  <c r="H532" i="78"/>
  <c r="H533" i="78"/>
  <c r="H534" i="78"/>
  <c r="H535" i="78"/>
  <c r="H536" i="78"/>
  <c r="H537" i="78"/>
  <c r="H538" i="78"/>
  <c r="H539" i="78"/>
  <c r="H540" i="78"/>
  <c r="H541" i="78"/>
  <c r="H542" i="78"/>
  <c r="H543" i="78"/>
  <c r="H544" i="78"/>
  <c r="H545" i="78"/>
  <c r="H546" i="78"/>
  <c r="H547" i="78"/>
  <c r="H548" i="78"/>
  <c r="H549" i="78"/>
  <c r="H550" i="78"/>
  <c r="H551" i="78"/>
  <c r="H552" i="78"/>
  <c r="H553" i="78"/>
  <c r="H554" i="78"/>
  <c r="H555" i="78"/>
  <c r="H556" i="78"/>
  <c r="H557" i="78"/>
  <c r="H558" i="78"/>
  <c r="H559" i="78"/>
  <c r="H560" i="78"/>
  <c r="H561" i="78"/>
  <c r="H562" i="78"/>
  <c r="H563" i="78"/>
  <c r="H564" i="78"/>
  <c r="H565" i="78"/>
  <c r="H566" i="78"/>
  <c r="H567" i="78"/>
  <c r="H568" i="78"/>
  <c r="H569" i="78"/>
  <c r="H570" i="78"/>
  <c r="H571" i="78"/>
  <c r="H572" i="78"/>
  <c r="H573" i="78"/>
  <c r="H574" i="78"/>
  <c r="H575" i="78"/>
  <c r="H576" i="78"/>
  <c r="H577" i="78"/>
  <c r="H578" i="78"/>
  <c r="H579" i="78"/>
  <c r="H580" i="78"/>
  <c r="H581" i="78"/>
  <c r="H582" i="78"/>
  <c r="H583" i="78"/>
  <c r="H584" i="78"/>
  <c r="H585" i="78"/>
  <c r="H586" i="78"/>
  <c r="H587" i="78"/>
  <c r="H588" i="78"/>
  <c r="H589" i="78"/>
  <c r="H590" i="78"/>
  <c r="H591" i="78"/>
  <c r="H592" i="78"/>
  <c r="H593" i="78"/>
  <c r="H594" i="78"/>
  <c r="H595" i="78"/>
  <c r="H596" i="78"/>
  <c r="H597" i="78"/>
  <c r="H598" i="78"/>
  <c r="H599" i="78"/>
  <c r="H600" i="78"/>
  <c r="H601" i="78"/>
  <c r="H602" i="78"/>
  <c r="H603" i="78"/>
  <c r="H604" i="78"/>
  <c r="H605" i="78"/>
  <c r="H606" i="78"/>
  <c r="H607" i="78"/>
  <c r="H608" i="78"/>
  <c r="H609" i="78"/>
  <c r="H610" i="78"/>
  <c r="H611" i="78"/>
  <c r="H612" i="78"/>
  <c r="H613" i="78"/>
  <c r="H614" i="78"/>
  <c r="H615" i="78"/>
  <c r="H616" i="78"/>
  <c r="H617" i="78"/>
  <c r="H618" i="78"/>
  <c r="H619" i="78"/>
  <c r="H620" i="78"/>
  <c r="H621" i="78"/>
  <c r="H622" i="78"/>
  <c r="H623" i="78"/>
  <c r="H624" i="78"/>
  <c r="H625" i="78"/>
  <c r="H626" i="78"/>
  <c r="H627" i="78"/>
  <c r="H628" i="78"/>
  <c r="H629" i="78"/>
  <c r="H630" i="78"/>
  <c r="H631" i="78"/>
  <c r="H632" i="78"/>
  <c r="H633" i="78"/>
  <c r="H634" i="78"/>
  <c r="H635" i="78"/>
  <c r="H636" i="78"/>
  <c r="H637" i="78"/>
  <c r="H638" i="78"/>
  <c r="H639" i="78"/>
  <c r="H640" i="78"/>
  <c r="H641" i="78"/>
  <c r="H642" i="78"/>
  <c r="H643" i="78"/>
  <c r="H644" i="78"/>
  <c r="H645" i="78"/>
  <c r="H646" i="78"/>
  <c r="H647" i="78"/>
  <c r="H648" i="78"/>
  <c r="H649" i="78"/>
  <c r="H650" i="78"/>
  <c r="H651" i="78"/>
  <c r="H652" i="78"/>
  <c r="H653" i="78"/>
  <c r="H654" i="78"/>
  <c r="H655" i="78"/>
  <c r="H656" i="78"/>
  <c r="H657" i="78"/>
  <c r="H658" i="78"/>
  <c r="H659" i="78"/>
  <c r="H660" i="78"/>
  <c r="H661" i="78"/>
  <c r="H662" i="78"/>
  <c r="H663" i="78"/>
  <c r="H664" i="78"/>
  <c r="H665" i="78"/>
  <c r="H666" i="78"/>
  <c r="H667" i="78"/>
  <c r="H668" i="78"/>
  <c r="H669" i="78"/>
  <c r="H670" i="78"/>
  <c r="H671" i="78"/>
  <c r="H672" i="78"/>
  <c r="H673" i="78"/>
  <c r="H674" i="78"/>
  <c r="H675" i="78"/>
  <c r="H676" i="78"/>
  <c r="H677" i="78"/>
  <c r="H678" i="78"/>
  <c r="H679" i="78"/>
  <c r="H680" i="78"/>
  <c r="H681" i="78"/>
  <c r="H682" i="78"/>
  <c r="H683" i="78"/>
  <c r="H684" i="78"/>
  <c r="H685" i="78"/>
  <c r="H686" i="78"/>
  <c r="H687" i="78"/>
  <c r="H688" i="78"/>
  <c r="H689" i="78"/>
  <c r="H690" i="78"/>
  <c r="H691" i="78"/>
  <c r="H692" i="78"/>
  <c r="H693" i="78"/>
  <c r="H694" i="78"/>
  <c r="H695" i="78"/>
  <c r="H696" i="78"/>
  <c r="H697" i="78"/>
  <c r="H698" i="78"/>
  <c r="H699" i="78"/>
  <c r="H700" i="78"/>
  <c r="H701" i="78"/>
  <c r="H702" i="78"/>
  <c r="H703" i="78"/>
  <c r="H704" i="78"/>
  <c r="H705" i="78"/>
  <c r="H706" i="78"/>
  <c r="H707" i="78"/>
  <c r="H708" i="78"/>
  <c r="H709" i="78"/>
  <c r="H710" i="78"/>
  <c r="H711" i="78"/>
  <c r="H712" i="78"/>
  <c r="H713" i="78"/>
  <c r="H714" i="78"/>
  <c r="H715" i="78"/>
  <c r="H716" i="78"/>
  <c r="H717" i="78"/>
  <c r="H718" i="78"/>
  <c r="H719" i="78"/>
  <c r="H720" i="78"/>
  <c r="H721" i="78"/>
  <c r="H722" i="78"/>
  <c r="H723" i="78"/>
  <c r="H724" i="78"/>
  <c r="H725" i="78"/>
  <c r="H726" i="78"/>
  <c r="H727" i="78"/>
  <c r="H728" i="78"/>
  <c r="H729" i="78"/>
  <c r="H730" i="78"/>
  <c r="H731" i="78"/>
  <c r="H732" i="78"/>
  <c r="H733" i="78"/>
  <c r="H734" i="78"/>
  <c r="H735" i="78"/>
  <c r="H736" i="78"/>
  <c r="H737" i="78"/>
  <c r="H738" i="78"/>
  <c r="H739" i="78"/>
  <c r="H740" i="78"/>
  <c r="H741" i="78"/>
  <c r="H742" i="78"/>
  <c r="H743" i="78"/>
  <c r="H744" i="78"/>
  <c r="H745" i="78"/>
  <c r="H746" i="78"/>
  <c r="H747" i="78"/>
  <c r="H748" i="78"/>
  <c r="H749" i="78"/>
  <c r="H750" i="78"/>
  <c r="H751" i="78"/>
  <c r="H752" i="78"/>
  <c r="H753" i="78"/>
  <c r="H754" i="78"/>
  <c r="H755" i="78"/>
  <c r="H756" i="78"/>
  <c r="H757" i="78"/>
  <c r="H758" i="78"/>
  <c r="H759" i="78"/>
  <c r="H760" i="78"/>
  <c r="H761" i="78"/>
  <c r="H762" i="78"/>
  <c r="H763" i="78"/>
  <c r="H764" i="78"/>
  <c r="H765" i="78"/>
  <c r="H766" i="78"/>
  <c r="H767" i="78"/>
  <c r="H768" i="78"/>
  <c r="H769" i="78"/>
  <c r="H770" i="78"/>
  <c r="H771" i="78"/>
  <c r="H772" i="78"/>
  <c r="H773" i="78"/>
  <c r="H774" i="78"/>
  <c r="H775" i="78"/>
  <c r="H776" i="78"/>
  <c r="H777" i="78"/>
  <c r="H778" i="78"/>
  <c r="H779" i="78"/>
  <c r="H780" i="78"/>
  <c r="H781" i="78"/>
  <c r="H782" i="78"/>
  <c r="H783" i="78"/>
  <c r="H784" i="78"/>
  <c r="H785" i="78"/>
  <c r="H786" i="78"/>
  <c r="H787" i="78"/>
  <c r="H788" i="78"/>
  <c r="H789" i="78"/>
  <c r="H790" i="78"/>
  <c r="H791" i="78"/>
  <c r="H792" i="78"/>
  <c r="H793" i="78"/>
  <c r="H794" i="78"/>
  <c r="H795" i="78"/>
  <c r="H796" i="78"/>
  <c r="H797" i="78"/>
  <c r="H798" i="78"/>
  <c r="H799" i="78"/>
  <c r="H800" i="78"/>
  <c r="H801" i="78"/>
  <c r="H802" i="78"/>
  <c r="H803" i="78"/>
  <c r="H804" i="78"/>
  <c r="H805" i="78"/>
  <c r="H806" i="78"/>
  <c r="H807" i="78"/>
  <c r="H808" i="78"/>
  <c r="H809" i="78"/>
  <c r="H810" i="78"/>
  <c r="H811" i="78"/>
  <c r="H812" i="78"/>
  <c r="H813" i="78"/>
  <c r="H814" i="78"/>
  <c r="H815" i="78"/>
  <c r="H816" i="78"/>
  <c r="H817" i="78"/>
  <c r="H818" i="78"/>
  <c r="H819" i="78"/>
  <c r="H820" i="78"/>
  <c r="H821" i="78"/>
  <c r="H822" i="78"/>
  <c r="H823" i="78"/>
  <c r="H824" i="78"/>
  <c r="H825" i="78"/>
  <c r="H826" i="78"/>
  <c r="H827" i="78"/>
  <c r="H828" i="78"/>
  <c r="H829" i="78"/>
  <c r="H830" i="78"/>
  <c r="H831" i="78"/>
  <c r="H832" i="78"/>
  <c r="H833" i="78"/>
  <c r="H834" i="78"/>
  <c r="H835" i="78"/>
  <c r="H836" i="78"/>
  <c r="H837" i="78"/>
  <c r="H838" i="78"/>
  <c r="H839" i="78"/>
  <c r="H840" i="78"/>
  <c r="H841" i="78"/>
  <c r="H842" i="78"/>
  <c r="H843" i="78"/>
  <c r="H844" i="78"/>
  <c r="H845" i="78"/>
  <c r="H846" i="78"/>
  <c r="H847" i="78"/>
  <c r="H848" i="78"/>
  <c r="H849" i="78"/>
  <c r="H850" i="78"/>
  <c r="H851" i="78"/>
  <c r="H852" i="78"/>
  <c r="H853" i="78"/>
  <c r="H854" i="78"/>
  <c r="H855" i="78"/>
  <c r="H856" i="78"/>
  <c r="H857" i="78"/>
  <c r="H858" i="78"/>
  <c r="H859" i="78"/>
  <c r="H860" i="78"/>
  <c r="H861" i="78"/>
  <c r="H862" i="78"/>
  <c r="H863" i="78"/>
  <c r="H864" i="78"/>
  <c r="H865" i="78"/>
  <c r="H866" i="78"/>
  <c r="H867" i="78"/>
  <c r="H868" i="78"/>
  <c r="H869" i="78"/>
  <c r="H870" i="78"/>
  <c r="H871" i="78"/>
  <c r="H872" i="78"/>
  <c r="H873" i="78"/>
  <c r="H874" i="78"/>
  <c r="H875" i="78"/>
  <c r="H876" i="78"/>
  <c r="H877" i="78"/>
  <c r="H878" i="78"/>
  <c r="H879" i="78"/>
  <c r="H880" i="78"/>
  <c r="H881" i="78"/>
  <c r="H882" i="78"/>
  <c r="H883" i="78"/>
  <c r="H884" i="78"/>
  <c r="H885" i="78"/>
  <c r="H886" i="78"/>
  <c r="H887" i="78"/>
  <c r="H888" i="78"/>
  <c r="H889" i="78"/>
  <c r="H890" i="78"/>
  <c r="H891" i="78"/>
  <c r="H892" i="78"/>
  <c r="H893" i="78"/>
  <c r="H894" i="78"/>
  <c r="H895" i="78"/>
  <c r="H896" i="78"/>
  <c r="H897" i="78"/>
  <c r="H898" i="78"/>
  <c r="H899" i="78"/>
  <c r="H900" i="78"/>
  <c r="H901" i="78"/>
  <c r="H295" i="78"/>
  <c r="H3" i="78"/>
  <c r="H4" i="78"/>
  <c r="H5" i="78"/>
  <c r="H6" i="78"/>
  <c r="H7" i="78"/>
  <c r="H8" i="78"/>
  <c r="H9" i="78"/>
  <c r="H10" i="78"/>
  <c r="H11" i="78"/>
  <c r="H12" i="78"/>
  <c r="H13" i="78"/>
  <c r="H14" i="78"/>
  <c r="H15" i="78"/>
  <c r="H16" i="78"/>
  <c r="H17" i="78"/>
  <c r="H18" i="78"/>
  <c r="H19" i="78"/>
  <c r="H20" i="78"/>
  <c r="H21" i="78"/>
  <c r="H22" i="78"/>
  <c r="H23" i="78"/>
  <c r="H24" i="78"/>
  <c r="H25" i="78"/>
  <c r="H26" i="78"/>
  <c r="H27" i="78"/>
  <c r="H28" i="78"/>
  <c r="H29" i="78"/>
  <c r="H30" i="78"/>
  <c r="H31" i="78"/>
  <c r="H32" i="78"/>
  <c r="H33" i="78"/>
  <c r="H34" i="78"/>
  <c r="H35" i="78"/>
  <c r="H36" i="78"/>
  <c r="H37" i="78"/>
  <c r="H38" i="78"/>
  <c r="H39" i="78"/>
  <c r="H40" i="78"/>
  <c r="H41" i="78"/>
  <c r="H42" i="78"/>
  <c r="H43" i="78"/>
  <c r="H44" i="78"/>
  <c r="H45" i="78"/>
  <c r="H46" i="78"/>
  <c r="H47" i="78"/>
  <c r="H48" i="78"/>
  <c r="H49" i="78"/>
  <c r="H50" i="78"/>
  <c r="H51" i="78"/>
  <c r="H52" i="78"/>
  <c r="H53" i="78"/>
  <c r="H54" i="78"/>
  <c r="H55" i="78"/>
  <c r="H56" i="78"/>
  <c r="H57" i="78"/>
  <c r="H58" i="78"/>
  <c r="H59" i="78"/>
  <c r="H60" i="78"/>
  <c r="H61" i="78"/>
  <c r="H62" i="78"/>
  <c r="H63" i="78"/>
  <c r="H64" i="78"/>
  <c r="H65" i="78"/>
  <c r="H66" i="78"/>
  <c r="H67" i="78"/>
  <c r="H68" i="78"/>
  <c r="H69" i="78"/>
  <c r="H70" i="78"/>
  <c r="H71" i="78"/>
  <c r="H72" i="78"/>
  <c r="H73" i="78"/>
  <c r="H74" i="78"/>
  <c r="H75" i="78"/>
  <c r="H76" i="78"/>
  <c r="H77" i="78"/>
  <c r="H78" i="78"/>
  <c r="H79" i="78"/>
  <c r="H80" i="78"/>
  <c r="H81" i="78"/>
  <c r="H82" i="78"/>
  <c r="H83" i="78"/>
  <c r="H84" i="78"/>
  <c r="H85" i="78"/>
  <c r="H86" i="78"/>
  <c r="H87" i="78"/>
  <c r="H88" i="78"/>
  <c r="H89" i="78"/>
  <c r="H90" i="78"/>
  <c r="H91" i="78"/>
  <c r="H92" i="78"/>
  <c r="H93" i="78"/>
  <c r="H94" i="78"/>
  <c r="H95" i="78"/>
  <c r="H96" i="78"/>
  <c r="H97" i="78"/>
  <c r="H98" i="78"/>
  <c r="H99" i="78"/>
  <c r="H100" i="78"/>
  <c r="H101" i="78"/>
  <c r="H102" i="78"/>
  <c r="H103" i="78"/>
  <c r="H104" i="78"/>
  <c r="H105" i="78"/>
  <c r="H106" i="78"/>
  <c r="H107" i="78"/>
  <c r="H108" i="78"/>
  <c r="H109" i="78"/>
  <c r="H110" i="78"/>
  <c r="H111" i="78"/>
  <c r="H112" i="78"/>
  <c r="H113" i="78"/>
  <c r="H114" i="78"/>
  <c r="H115" i="78"/>
  <c r="H116" i="78"/>
  <c r="H117" i="78"/>
  <c r="H118" i="78"/>
  <c r="H119" i="78"/>
  <c r="H120" i="78"/>
  <c r="H121" i="78"/>
  <c r="H122" i="78"/>
  <c r="H123" i="78"/>
  <c r="H124" i="78"/>
  <c r="H125" i="78"/>
  <c r="H126" i="78"/>
  <c r="H127" i="78"/>
  <c r="H128" i="78"/>
  <c r="H129" i="78"/>
  <c r="H130" i="78"/>
  <c r="H131" i="78"/>
  <c r="H132" i="78"/>
  <c r="H133" i="78"/>
  <c r="H134" i="78"/>
  <c r="H135" i="78"/>
  <c r="H136" i="78"/>
  <c r="H137" i="78"/>
  <c r="H138" i="78"/>
  <c r="H139" i="78"/>
  <c r="H140" i="78"/>
  <c r="H141" i="78"/>
  <c r="H142" i="78"/>
  <c r="H143" i="78"/>
  <c r="H144" i="78"/>
  <c r="H145" i="78"/>
  <c r="H146" i="78"/>
  <c r="H147" i="78"/>
  <c r="H148" i="78"/>
  <c r="H149" i="78"/>
  <c r="H150" i="78"/>
  <c r="H151" i="78"/>
  <c r="H152" i="78"/>
  <c r="H153" i="78"/>
  <c r="H154" i="78"/>
  <c r="H155" i="78"/>
  <c r="H156" i="78"/>
  <c r="H157" i="78"/>
  <c r="H158" i="78"/>
  <c r="H159" i="78"/>
  <c r="H160" i="78"/>
  <c r="H161" i="78"/>
  <c r="H162" i="78"/>
  <c r="H163" i="78"/>
  <c r="H164" i="78"/>
  <c r="H165" i="78"/>
  <c r="H166" i="78"/>
  <c r="H167" i="78"/>
  <c r="H168" i="78"/>
  <c r="H169" i="78"/>
  <c r="H170" i="78"/>
  <c r="H171" i="78"/>
  <c r="H172" i="78"/>
  <c r="H173" i="78"/>
  <c r="H174" i="78"/>
  <c r="H175" i="78"/>
  <c r="H176" i="78"/>
  <c r="H177" i="78"/>
  <c r="H178" i="78"/>
  <c r="H179" i="78"/>
  <c r="H180" i="78"/>
  <c r="H181" i="78"/>
  <c r="H182" i="78"/>
  <c r="H183" i="78"/>
  <c r="H184" i="78"/>
  <c r="H185" i="78"/>
  <c r="H186" i="78"/>
  <c r="H187" i="78"/>
  <c r="H188" i="78"/>
  <c r="H189" i="78"/>
  <c r="H190" i="78"/>
  <c r="H191" i="78"/>
  <c r="H192" i="78"/>
  <c r="H193" i="78"/>
  <c r="H194" i="78"/>
  <c r="H195" i="78"/>
  <c r="H196" i="78"/>
  <c r="H197" i="78"/>
  <c r="H198" i="78"/>
  <c r="H199" i="78"/>
  <c r="H200" i="78"/>
  <c r="H201" i="78"/>
  <c r="H202" i="78"/>
  <c r="H203" i="78"/>
  <c r="H204" i="78"/>
  <c r="H205" i="78"/>
  <c r="H206" i="78"/>
  <c r="H207" i="78"/>
  <c r="H208" i="78"/>
  <c r="H209" i="78"/>
  <c r="H210" i="78"/>
  <c r="H211" i="78"/>
  <c r="H212" i="78"/>
  <c r="H213" i="78"/>
  <c r="H214" i="78"/>
  <c r="H215" i="78"/>
  <c r="H216" i="78"/>
  <c r="H217" i="78"/>
  <c r="H218" i="78"/>
  <c r="H219" i="78"/>
  <c r="H220" i="78"/>
  <c r="H221" i="78"/>
  <c r="H222" i="78"/>
  <c r="H223" i="78"/>
  <c r="H224" i="78"/>
  <c r="H225" i="78"/>
  <c r="H226" i="78"/>
  <c r="H227" i="78"/>
  <c r="H228" i="78"/>
  <c r="H229" i="78"/>
  <c r="H230" i="78"/>
  <c r="H231" i="78"/>
  <c r="H232" i="78"/>
  <c r="H233" i="78"/>
  <c r="H234" i="78"/>
  <c r="H235" i="78"/>
  <c r="H236" i="78"/>
  <c r="H237" i="78"/>
  <c r="H238" i="78"/>
  <c r="H239" i="78"/>
  <c r="H240" i="78"/>
  <c r="H241" i="78"/>
  <c r="H242" i="78"/>
  <c r="H243" i="78"/>
  <c r="H244" i="78"/>
  <c r="H245" i="78"/>
  <c r="H246" i="78"/>
  <c r="H247" i="78"/>
  <c r="H248" i="78"/>
  <c r="H249" i="78"/>
  <c r="H250" i="78"/>
  <c r="H251" i="78"/>
  <c r="H252" i="78"/>
  <c r="H253" i="78"/>
  <c r="H254" i="78"/>
  <c r="H255" i="78"/>
  <c r="H256" i="78"/>
  <c r="H257" i="78"/>
  <c r="H258" i="78"/>
  <c r="H259" i="78"/>
  <c r="H260" i="78"/>
  <c r="H261" i="78"/>
  <c r="H262" i="78"/>
  <c r="H263" i="78"/>
  <c r="H264" i="78"/>
  <c r="H265" i="78"/>
  <c r="H266" i="78"/>
  <c r="H267" i="78"/>
  <c r="H268" i="78"/>
  <c r="H269" i="78"/>
  <c r="H270" i="78"/>
  <c r="H271" i="78"/>
  <c r="H272" i="78"/>
  <c r="H273" i="78"/>
  <c r="H274" i="78"/>
  <c r="H275" i="78"/>
  <c r="H276" i="78"/>
  <c r="H277" i="78"/>
  <c r="H278" i="78"/>
  <c r="H279" i="78"/>
  <c r="H280" i="78"/>
  <c r="H281" i="78"/>
  <c r="H282" i="78"/>
  <c r="H283" i="78"/>
  <c r="H284" i="78"/>
  <c r="H285" i="78"/>
  <c r="H286" i="78"/>
  <c r="H287" i="78"/>
  <c r="H288" i="78"/>
  <c r="H290" i="78"/>
  <c r="H291" i="78"/>
  <c r="H292" i="78"/>
  <c r="H293" i="78"/>
  <c r="H2" i="78"/>
  <c r="I14" i="3"/>
  <c r="I13" i="3"/>
  <c r="A3" i="3"/>
  <c r="K5" i="78"/>
  <c r="L5" i="78" s="1"/>
  <c r="K4" i="78"/>
  <c r="J5" i="78"/>
  <c r="J4" i="78"/>
  <c r="K11" i="78"/>
  <c r="K8" i="78"/>
  <c r="F902" i="78"/>
  <c r="F901" i="78"/>
  <c r="F900" i="78"/>
  <c r="F899" i="78"/>
  <c r="F898" i="78"/>
  <c r="F897" i="78"/>
  <c r="F896" i="78"/>
  <c r="F895" i="78"/>
  <c r="F894" i="78"/>
  <c r="F893" i="78"/>
  <c r="F892" i="78"/>
  <c r="F891" i="78"/>
  <c r="F890" i="78"/>
  <c r="F889" i="78"/>
  <c r="F888" i="78"/>
  <c r="F887" i="78"/>
  <c r="F886" i="78"/>
  <c r="F885" i="78"/>
  <c r="F884" i="78"/>
  <c r="F883" i="78"/>
  <c r="F882" i="78"/>
  <c r="F881" i="78"/>
  <c r="F880" i="78"/>
  <c r="F879" i="78"/>
  <c r="F878" i="78"/>
  <c r="F877" i="78"/>
  <c r="F876" i="78"/>
  <c r="F875" i="78"/>
  <c r="F874" i="78"/>
  <c r="F873" i="78"/>
  <c r="F872" i="78"/>
  <c r="F871" i="78"/>
  <c r="F870" i="78"/>
  <c r="F869" i="78"/>
  <c r="F868" i="78"/>
  <c r="F867" i="78"/>
  <c r="F866" i="78"/>
  <c r="F865" i="78"/>
  <c r="F864" i="78"/>
  <c r="F863" i="78"/>
  <c r="F862" i="78"/>
  <c r="F861" i="78"/>
  <c r="F860" i="78"/>
  <c r="F859" i="78"/>
  <c r="F858" i="78"/>
  <c r="F857" i="78"/>
  <c r="F856" i="78"/>
  <c r="F855" i="78"/>
  <c r="F854" i="78"/>
  <c r="F853" i="78"/>
  <c r="F852" i="78"/>
  <c r="F851" i="78"/>
  <c r="F850" i="78"/>
  <c r="F849" i="78"/>
  <c r="F848" i="78"/>
  <c r="F847" i="78"/>
  <c r="F846" i="78"/>
  <c r="F845" i="78"/>
  <c r="F844" i="78"/>
  <c r="F843" i="78"/>
  <c r="F842" i="78"/>
  <c r="F841" i="78"/>
  <c r="F840" i="78"/>
  <c r="F839" i="78"/>
  <c r="F838" i="78"/>
  <c r="F837" i="78"/>
  <c r="F836" i="78"/>
  <c r="F835" i="78"/>
  <c r="F834" i="78"/>
  <c r="F833" i="78"/>
  <c r="F832" i="78"/>
  <c r="F831" i="78"/>
  <c r="F830" i="78"/>
  <c r="F829" i="78"/>
  <c r="F828" i="78"/>
  <c r="F827" i="78"/>
  <c r="F826" i="78"/>
  <c r="F825" i="78"/>
  <c r="F824" i="78"/>
  <c r="F823" i="78"/>
  <c r="F822" i="78"/>
  <c r="F821" i="78"/>
  <c r="F820" i="78"/>
  <c r="F819" i="78"/>
  <c r="F818" i="78"/>
  <c r="F817" i="78"/>
  <c r="F816" i="78"/>
  <c r="F815" i="78"/>
  <c r="F814" i="78"/>
  <c r="F813" i="78"/>
  <c r="F812" i="78"/>
  <c r="F811" i="78"/>
  <c r="F810" i="78"/>
  <c r="F809" i="78"/>
  <c r="F808" i="78"/>
  <c r="F807" i="78"/>
  <c r="F806" i="78"/>
  <c r="F805" i="78"/>
  <c r="F804" i="78"/>
  <c r="F803" i="78"/>
  <c r="F802" i="78"/>
  <c r="F801" i="78"/>
  <c r="F800" i="78"/>
  <c r="F799" i="78"/>
  <c r="F798" i="78"/>
  <c r="F797" i="78"/>
  <c r="F796" i="78"/>
  <c r="F795" i="78"/>
  <c r="F794" i="78"/>
  <c r="F793" i="78"/>
  <c r="F792" i="78"/>
  <c r="F791" i="78"/>
  <c r="F790" i="78"/>
  <c r="F789" i="78"/>
  <c r="F788" i="78"/>
  <c r="F787" i="78"/>
  <c r="F786" i="78"/>
  <c r="F785" i="78"/>
  <c r="F784" i="78"/>
  <c r="F783" i="78"/>
  <c r="F782" i="78"/>
  <c r="F781" i="78"/>
  <c r="F780" i="78"/>
  <c r="F779" i="78"/>
  <c r="F778" i="78"/>
  <c r="F777" i="78"/>
  <c r="F776" i="78"/>
  <c r="F775" i="78"/>
  <c r="F774" i="78"/>
  <c r="F773" i="78"/>
  <c r="F772" i="78"/>
  <c r="F771" i="78"/>
  <c r="F770" i="78"/>
  <c r="F769" i="78"/>
  <c r="F768" i="78"/>
  <c r="F767" i="78"/>
  <c r="F766" i="78"/>
  <c r="F765" i="78"/>
  <c r="F764" i="78"/>
  <c r="F763" i="78"/>
  <c r="F762" i="78"/>
  <c r="F761" i="78"/>
  <c r="F760" i="78"/>
  <c r="F759" i="78"/>
  <c r="F758" i="78"/>
  <c r="F757" i="78"/>
  <c r="F756" i="78"/>
  <c r="F755" i="78"/>
  <c r="F754" i="78"/>
  <c r="F753" i="78"/>
  <c r="F752" i="78"/>
  <c r="F751" i="78"/>
  <c r="F750" i="78"/>
  <c r="F749" i="78"/>
  <c r="F748" i="78"/>
  <c r="F747" i="78"/>
  <c r="F746" i="78"/>
  <c r="F745" i="78"/>
  <c r="F744" i="78"/>
  <c r="F743" i="78"/>
  <c r="F742" i="78"/>
  <c r="F741" i="78"/>
  <c r="F740" i="78"/>
  <c r="F739" i="78"/>
  <c r="F738" i="78"/>
  <c r="F737" i="78"/>
  <c r="F736" i="78"/>
  <c r="F735" i="78"/>
  <c r="F734" i="78"/>
  <c r="F733" i="78"/>
  <c r="F732" i="78"/>
  <c r="F731" i="78"/>
  <c r="F730" i="78"/>
  <c r="F729" i="78"/>
  <c r="F728" i="78"/>
  <c r="F727" i="78"/>
  <c r="F726" i="78"/>
  <c r="F725" i="78"/>
  <c r="F724" i="78"/>
  <c r="F723" i="78"/>
  <c r="F722" i="78"/>
  <c r="F721" i="78"/>
  <c r="F720" i="78"/>
  <c r="F719" i="78"/>
  <c r="F718" i="78"/>
  <c r="F717" i="78"/>
  <c r="F716" i="78"/>
  <c r="F715" i="78"/>
  <c r="F714" i="78"/>
  <c r="F713" i="78"/>
  <c r="F712" i="78"/>
  <c r="F711" i="78"/>
  <c r="F710" i="78"/>
  <c r="F709" i="78"/>
  <c r="F708" i="78"/>
  <c r="F707" i="78"/>
  <c r="F706" i="78"/>
  <c r="F705" i="78"/>
  <c r="F704" i="78"/>
  <c r="F703" i="78"/>
  <c r="F702" i="78"/>
  <c r="F701" i="78"/>
  <c r="F700" i="78"/>
  <c r="F699" i="78"/>
  <c r="F698" i="78"/>
  <c r="F697" i="78"/>
  <c r="F696" i="78"/>
  <c r="F695" i="78"/>
  <c r="F694" i="78"/>
  <c r="F693" i="78"/>
  <c r="F692" i="78"/>
  <c r="F691" i="78"/>
  <c r="F690" i="78"/>
  <c r="F689" i="78"/>
  <c r="F688" i="78"/>
  <c r="F687" i="78"/>
  <c r="F686" i="78"/>
  <c r="F685" i="78"/>
  <c r="F684" i="78"/>
  <c r="F683" i="78"/>
  <c r="F682" i="78"/>
  <c r="F681" i="78"/>
  <c r="F680" i="78"/>
  <c r="F679" i="78"/>
  <c r="F678" i="78"/>
  <c r="F677" i="78"/>
  <c r="F676" i="78"/>
  <c r="F675" i="78"/>
  <c r="F674" i="78"/>
  <c r="F673" i="78"/>
  <c r="F672" i="78"/>
  <c r="F671" i="78"/>
  <c r="F670" i="78"/>
  <c r="F669" i="78"/>
  <c r="F668" i="78"/>
  <c r="F667" i="78"/>
  <c r="F666" i="78"/>
  <c r="F665" i="78"/>
  <c r="F664" i="78"/>
  <c r="F663" i="78"/>
  <c r="F662" i="78"/>
  <c r="F661" i="78"/>
  <c r="F660" i="78"/>
  <c r="F659" i="78"/>
  <c r="F658" i="78"/>
  <c r="F657" i="78"/>
  <c r="F656" i="78"/>
  <c r="F655" i="78"/>
  <c r="F654" i="78"/>
  <c r="F653" i="78"/>
  <c r="F652" i="78"/>
  <c r="F651" i="78"/>
  <c r="F650" i="78"/>
  <c r="F649" i="78"/>
  <c r="F648" i="78"/>
  <c r="F647" i="78"/>
  <c r="F646" i="78"/>
  <c r="F645" i="78"/>
  <c r="F644" i="78"/>
  <c r="F643" i="78"/>
  <c r="F642" i="78"/>
  <c r="F641" i="78"/>
  <c r="F640" i="78"/>
  <c r="F639" i="78"/>
  <c r="F638" i="78"/>
  <c r="F637" i="78"/>
  <c r="F636" i="78"/>
  <c r="F635" i="78"/>
  <c r="F634" i="78"/>
  <c r="F633" i="78"/>
  <c r="F632" i="78"/>
  <c r="F631" i="78"/>
  <c r="F630" i="78"/>
  <c r="F629" i="78"/>
  <c r="F628" i="78"/>
  <c r="F627" i="78"/>
  <c r="F626" i="78"/>
  <c r="F625" i="78"/>
  <c r="F624" i="78"/>
  <c r="F623" i="78"/>
  <c r="F622" i="78"/>
  <c r="F621" i="78"/>
  <c r="F620" i="78"/>
  <c r="F619" i="78"/>
  <c r="F618" i="78"/>
  <c r="F617" i="78"/>
  <c r="F616" i="78"/>
  <c r="F615" i="78"/>
  <c r="F614" i="78"/>
  <c r="F613" i="78"/>
  <c r="F612" i="78"/>
  <c r="F611" i="78"/>
  <c r="F610" i="78"/>
  <c r="F609" i="78"/>
  <c r="F608" i="78"/>
  <c r="F607" i="78"/>
  <c r="F606" i="78"/>
  <c r="F605" i="78"/>
  <c r="F604" i="78"/>
  <c r="F603" i="78"/>
  <c r="F602" i="78"/>
  <c r="F601" i="78"/>
  <c r="F600" i="78"/>
  <c r="F599" i="78"/>
  <c r="F598" i="78"/>
  <c r="F597" i="78"/>
  <c r="F596" i="78"/>
  <c r="F595" i="78"/>
  <c r="F594" i="78"/>
  <c r="F593" i="78"/>
  <c r="F592" i="78"/>
  <c r="F591" i="78"/>
  <c r="F590" i="78"/>
  <c r="F589" i="78"/>
  <c r="F588" i="78"/>
  <c r="F587" i="78"/>
  <c r="F586" i="78"/>
  <c r="F585" i="78"/>
  <c r="F584" i="78"/>
  <c r="F583" i="78"/>
  <c r="F582" i="78"/>
  <c r="F581" i="78"/>
  <c r="F580" i="78"/>
  <c r="F579" i="78"/>
  <c r="F578" i="78"/>
  <c r="F577" i="78"/>
  <c r="F576" i="78"/>
  <c r="F575" i="78"/>
  <c r="F574" i="78"/>
  <c r="F573" i="78"/>
  <c r="F572" i="78"/>
  <c r="F571" i="78"/>
  <c r="F570" i="78"/>
  <c r="F569" i="78"/>
  <c r="F568" i="78"/>
  <c r="F567" i="78"/>
  <c r="F566" i="78"/>
  <c r="F565" i="78"/>
  <c r="F564" i="78"/>
  <c r="F563" i="78"/>
  <c r="F562" i="78"/>
  <c r="F561" i="78"/>
  <c r="F560" i="78"/>
  <c r="F559" i="78"/>
  <c r="F558" i="78"/>
  <c r="F557" i="78"/>
  <c r="F556" i="78"/>
  <c r="F555" i="78"/>
  <c r="F554" i="78"/>
  <c r="F553" i="78"/>
  <c r="F552" i="78"/>
  <c r="F551" i="78"/>
  <c r="F550" i="78"/>
  <c r="F549" i="78"/>
  <c r="F548" i="78"/>
  <c r="F547" i="78"/>
  <c r="F546" i="78"/>
  <c r="F545" i="78"/>
  <c r="F544" i="78"/>
  <c r="F543" i="78"/>
  <c r="F542" i="78"/>
  <c r="F541" i="78"/>
  <c r="F540" i="78"/>
  <c r="F539" i="78"/>
  <c r="F538" i="78"/>
  <c r="F537" i="78"/>
  <c r="F536" i="78"/>
  <c r="F535" i="78"/>
  <c r="F534" i="78"/>
  <c r="F533" i="78"/>
  <c r="F532" i="78"/>
  <c r="F531" i="78"/>
  <c r="F530" i="78"/>
  <c r="F529" i="78"/>
  <c r="F528" i="78"/>
  <c r="F527" i="78"/>
  <c r="F526" i="78"/>
  <c r="F525" i="78"/>
  <c r="F524" i="78"/>
  <c r="F523" i="78"/>
  <c r="F522" i="78"/>
  <c r="F521" i="78"/>
  <c r="F520" i="78"/>
  <c r="F519" i="78"/>
  <c r="F518" i="78"/>
  <c r="F517" i="78"/>
  <c r="F516" i="78"/>
  <c r="F515" i="78"/>
  <c r="F514" i="78"/>
  <c r="F513" i="78"/>
  <c r="F512" i="78"/>
  <c r="F511" i="78"/>
  <c r="F510" i="78"/>
  <c r="F509" i="78"/>
  <c r="F508" i="78"/>
  <c r="F507" i="78"/>
  <c r="F506" i="78"/>
  <c r="F505" i="78"/>
  <c r="F504" i="78"/>
  <c r="F503" i="78"/>
  <c r="F502" i="78"/>
  <c r="F501" i="78"/>
  <c r="F500" i="78"/>
  <c r="F499" i="78"/>
  <c r="F498" i="78"/>
  <c r="F497" i="78"/>
  <c r="F496" i="78"/>
  <c r="F495" i="78"/>
  <c r="F494" i="78"/>
  <c r="F493" i="78"/>
  <c r="F492" i="78"/>
  <c r="F491" i="78"/>
  <c r="F490" i="78"/>
  <c r="F489" i="78"/>
  <c r="F488" i="78"/>
  <c r="F487" i="78"/>
  <c r="F486" i="78"/>
  <c r="F485" i="78"/>
  <c r="F484" i="78"/>
  <c r="F483" i="78"/>
  <c r="F482" i="78"/>
  <c r="F481" i="78"/>
  <c r="F480" i="78"/>
  <c r="F479" i="78"/>
  <c r="F478" i="78"/>
  <c r="F477" i="78"/>
  <c r="F476" i="78"/>
  <c r="F475" i="78"/>
  <c r="F474" i="78"/>
  <c r="F473" i="78"/>
  <c r="F472" i="78"/>
  <c r="F471" i="78"/>
  <c r="F470" i="78"/>
  <c r="F469" i="78"/>
  <c r="F468" i="78"/>
  <c r="F467" i="78"/>
  <c r="F466" i="78"/>
  <c r="F465" i="78"/>
  <c r="F464" i="78"/>
  <c r="F463" i="78"/>
  <c r="F462" i="78"/>
  <c r="F461" i="78"/>
  <c r="F460" i="78"/>
  <c r="F459" i="78"/>
  <c r="F458" i="78"/>
  <c r="F457" i="78"/>
  <c r="F456" i="78"/>
  <c r="F455" i="78"/>
  <c r="F454" i="78"/>
  <c r="F453" i="78"/>
  <c r="F452" i="78"/>
  <c r="F451" i="78"/>
  <c r="F450" i="78"/>
  <c r="F449" i="78"/>
  <c r="F448" i="78"/>
  <c r="F447" i="78"/>
  <c r="F446" i="78"/>
  <c r="F445" i="78"/>
  <c r="F444" i="78"/>
  <c r="F443" i="78"/>
  <c r="F442" i="78"/>
  <c r="F441" i="78"/>
  <c r="F440" i="78"/>
  <c r="F439" i="78"/>
  <c r="F438" i="78"/>
  <c r="F437" i="78"/>
  <c r="F436" i="78"/>
  <c r="F435" i="78"/>
  <c r="F434" i="78"/>
  <c r="F433" i="78"/>
  <c r="F432" i="78"/>
  <c r="F431" i="78"/>
  <c r="F430" i="78"/>
  <c r="F429" i="78"/>
  <c r="F428" i="78"/>
  <c r="F427" i="78"/>
  <c r="F426" i="78"/>
  <c r="F425" i="78"/>
  <c r="F424" i="78"/>
  <c r="F423" i="78"/>
  <c r="F422" i="78"/>
  <c r="F421" i="78"/>
  <c r="F420" i="78"/>
  <c r="F419" i="78"/>
  <c r="F418" i="78"/>
  <c r="F417" i="78"/>
  <c r="F416" i="78"/>
  <c r="F415" i="78"/>
  <c r="F414" i="78"/>
  <c r="F413" i="78"/>
  <c r="F412" i="78"/>
  <c r="F411" i="78"/>
  <c r="F410" i="78"/>
  <c r="F409" i="78"/>
  <c r="F408" i="78"/>
  <c r="F407" i="78"/>
  <c r="F406" i="78"/>
  <c r="F405" i="78"/>
  <c r="F404" i="78"/>
  <c r="F403" i="78"/>
  <c r="F402" i="78"/>
  <c r="F401" i="78"/>
  <c r="F400" i="78"/>
  <c r="F399" i="78"/>
  <c r="F398" i="78"/>
  <c r="F397" i="78"/>
  <c r="F396" i="78"/>
  <c r="F395" i="78"/>
  <c r="F394" i="78"/>
  <c r="F393" i="78"/>
  <c r="F392" i="78"/>
  <c r="F391" i="78"/>
  <c r="F390" i="78"/>
  <c r="F389" i="78"/>
  <c r="F388" i="78"/>
  <c r="F387" i="78"/>
  <c r="F386" i="78"/>
  <c r="F385" i="78"/>
  <c r="F384" i="78"/>
  <c r="F383" i="78"/>
  <c r="F382" i="78"/>
  <c r="F381" i="78"/>
  <c r="F380" i="78"/>
  <c r="F379" i="78"/>
  <c r="F378" i="78"/>
  <c r="F377" i="78"/>
  <c r="F376" i="78"/>
  <c r="F375" i="78"/>
  <c r="F374" i="78"/>
  <c r="F373" i="78"/>
  <c r="F372" i="78"/>
  <c r="F371" i="78"/>
  <c r="F370" i="78"/>
  <c r="F369" i="78"/>
  <c r="F368" i="78"/>
  <c r="F367" i="78"/>
  <c r="F366" i="78"/>
  <c r="F365" i="78"/>
  <c r="F364" i="78"/>
  <c r="F363" i="78"/>
  <c r="F362" i="78"/>
  <c r="F361" i="78"/>
  <c r="F360" i="78"/>
  <c r="F359" i="78"/>
  <c r="F358" i="78"/>
  <c r="F357" i="78"/>
  <c r="F356" i="78"/>
  <c r="F355" i="78"/>
  <c r="F354" i="78"/>
  <c r="F353" i="78"/>
  <c r="F352" i="78"/>
  <c r="F351" i="78"/>
  <c r="F350" i="78"/>
  <c r="F349" i="78"/>
  <c r="F348" i="78"/>
  <c r="F347" i="78"/>
  <c r="F346" i="78"/>
  <c r="F345" i="78"/>
  <c r="F344" i="78"/>
  <c r="F343" i="78"/>
  <c r="F342" i="78"/>
  <c r="F341" i="78"/>
  <c r="F340" i="78"/>
  <c r="F339" i="78"/>
  <c r="F338" i="78"/>
  <c r="F337" i="78"/>
  <c r="F336" i="78"/>
  <c r="F335" i="78"/>
  <c r="F334" i="78"/>
  <c r="F333" i="78"/>
  <c r="F332" i="78"/>
  <c r="F331" i="78"/>
  <c r="F330" i="78"/>
  <c r="F329" i="78"/>
  <c r="F328" i="78"/>
  <c r="F327" i="78"/>
  <c r="F326" i="78"/>
  <c r="F325" i="78"/>
  <c r="F324" i="78"/>
  <c r="F323" i="78"/>
  <c r="F322" i="78"/>
  <c r="F321" i="78"/>
  <c r="F320" i="78"/>
  <c r="F319" i="78"/>
  <c r="F318" i="78"/>
  <c r="F317" i="78"/>
  <c r="F316" i="78"/>
  <c r="F315" i="78"/>
  <c r="F314" i="78"/>
  <c r="F313" i="78"/>
  <c r="F312" i="78"/>
  <c r="F311" i="78"/>
  <c r="F310" i="78"/>
  <c r="F309" i="78"/>
  <c r="F308" i="78"/>
  <c r="F307" i="78"/>
  <c r="F306" i="78"/>
  <c r="F305" i="78"/>
  <c r="F304" i="78"/>
  <c r="F303" i="78"/>
  <c r="F302" i="78"/>
  <c r="F301" i="78"/>
  <c r="F300" i="78"/>
  <c r="F299" i="78"/>
  <c r="F298" i="78"/>
  <c r="F297" i="78"/>
  <c r="F296" i="78"/>
  <c r="F295" i="78"/>
  <c r="F903" i="78" s="1"/>
  <c r="F904" i="78" s="1"/>
  <c r="F294" i="78"/>
  <c r="D35" i="80"/>
  <c r="D34" i="80"/>
  <c r="C912" i="31" l="1"/>
  <c r="C904" i="31"/>
  <c r="C896" i="31"/>
  <c r="C888" i="31"/>
  <c r="C864" i="31"/>
  <c r="C856" i="31"/>
  <c r="C840" i="31"/>
  <c r="C832" i="31"/>
  <c r="C824" i="31"/>
  <c r="C796" i="31"/>
  <c r="C788" i="31"/>
  <c r="C784" i="31"/>
  <c r="C776" i="31"/>
  <c r="C768" i="31"/>
  <c r="C760" i="31"/>
  <c r="C752" i="31"/>
  <c r="C744" i="31"/>
  <c r="C736" i="31"/>
  <c r="C732" i="31"/>
  <c r="C724" i="31"/>
  <c r="C720" i="31"/>
  <c r="C712" i="31"/>
  <c r="C704" i="31"/>
  <c r="C696" i="31"/>
  <c r="C688" i="31"/>
  <c r="C684" i="31"/>
  <c r="C672" i="31"/>
  <c r="C664" i="31"/>
  <c r="C660" i="31"/>
  <c r="C652" i="31"/>
  <c r="C644" i="31"/>
  <c r="C636" i="31"/>
  <c r="C624" i="31"/>
  <c r="C616" i="31"/>
  <c r="C608" i="31"/>
  <c r="C600" i="31"/>
  <c r="C584" i="31"/>
  <c r="C576" i="31"/>
  <c r="C564" i="31"/>
  <c r="C556" i="31"/>
  <c r="C548" i="31"/>
  <c r="C544" i="31"/>
  <c r="C536" i="31"/>
  <c r="C532" i="31"/>
  <c r="C920" i="31"/>
  <c r="C880" i="31"/>
  <c r="C872" i="31"/>
  <c r="C848" i="31"/>
  <c r="C816" i="31"/>
  <c r="C808" i="31"/>
  <c r="C800" i="31"/>
  <c r="C792" i="31"/>
  <c r="C780" i="31"/>
  <c r="C772" i="31"/>
  <c r="C764" i="31"/>
  <c r="C756" i="31"/>
  <c r="C748" i="31"/>
  <c r="C740" i="31"/>
  <c r="C728" i="31"/>
  <c r="C716" i="31"/>
  <c r="C708" i="31"/>
  <c r="C700" i="31"/>
  <c r="C680" i="31"/>
  <c r="C668" i="31"/>
  <c r="C648" i="31"/>
  <c r="C640" i="31"/>
  <c r="C628" i="31"/>
  <c r="C620" i="31"/>
  <c r="C612" i="31"/>
  <c r="C604" i="31"/>
  <c r="C596" i="31"/>
  <c r="C588" i="31"/>
  <c r="C580" i="31"/>
  <c r="C572" i="31"/>
  <c r="C560" i="31"/>
  <c r="C552" i="31"/>
  <c r="C540" i="31"/>
  <c r="C799" i="31"/>
  <c r="C795" i="31"/>
  <c r="C791" i="31"/>
  <c r="C787" i="31"/>
  <c r="C783" i="31"/>
  <c r="C779" i="31"/>
  <c r="C775" i="31"/>
  <c r="C771" i="31"/>
  <c r="C767" i="31"/>
  <c r="C763" i="31"/>
  <c r="C759" i="31"/>
  <c r="C755" i="31"/>
  <c r="C751" i="31"/>
  <c r="C747" i="31"/>
  <c r="C743" i="31"/>
  <c r="C739" i="31"/>
  <c r="C735" i="31"/>
  <c r="C731" i="31"/>
  <c r="C727" i="31"/>
  <c r="C723" i="31"/>
  <c r="C719" i="31"/>
  <c r="C715" i="31"/>
  <c r="C711" i="31"/>
  <c r="C707" i="31"/>
  <c r="C703" i="31"/>
  <c r="C699" i="31"/>
  <c r="C695" i="31"/>
  <c r="C691" i="31"/>
  <c r="C683" i="31"/>
  <c r="C675" i="31"/>
  <c r="C667" i="31"/>
  <c r="C655" i="31"/>
  <c r="C647" i="31"/>
  <c r="C643" i="31"/>
  <c r="C639" i="31"/>
  <c r="C635" i="31"/>
  <c r="C631" i="31"/>
  <c r="C623" i="31"/>
  <c r="C615" i="31"/>
  <c r="C611" i="31"/>
  <c r="C607" i="31"/>
  <c r="C603" i="31"/>
  <c r="C599" i="31"/>
  <c r="C591" i="31"/>
  <c r="C583" i="31"/>
  <c r="C579" i="31"/>
  <c r="C575" i="31"/>
  <c r="C571" i="31"/>
  <c r="C567" i="31"/>
  <c r="C559" i="31"/>
  <c r="C555" i="31"/>
  <c r="C551" i="31"/>
  <c r="C543" i="31"/>
  <c r="C539" i="31"/>
  <c r="C535" i="31"/>
  <c r="C527" i="31"/>
  <c r="C18" i="80"/>
  <c r="D18" i="80" s="1"/>
  <c r="D121" i="80"/>
  <c r="K120" i="80"/>
  <c r="C92" i="80"/>
  <c r="C94" i="80"/>
  <c r="H111" i="80"/>
  <c r="D126" i="80" s="1"/>
  <c r="D127" i="80" s="1"/>
  <c r="A126" i="80"/>
  <c r="H109" i="80"/>
  <c r="D124" i="80" l="1"/>
  <c r="D125" i="80" s="1"/>
  <c r="H110" i="80"/>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C7" i="68" s="1"/>
  <c r="C5" i="68" s="1"/>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B21" i="71" s="1"/>
  <c r="Q21" i="71"/>
  <c r="P21" i="71"/>
  <c r="O21" i="71"/>
  <c r="C21" i="71"/>
  <c r="C20" i="71" s="1"/>
  <c r="Q22" i="71"/>
  <c r="F21" i="71"/>
  <c r="F20" i="71"/>
  <c r="F19" i="71" s="1"/>
  <c r="P22" i="71"/>
  <c r="O22" i="71"/>
  <c r="N22" i="71"/>
  <c r="B20" i="71"/>
  <c r="B19" i="71" s="1"/>
  <c r="B18" i="71" s="1"/>
  <c r="B17" i="71" s="1"/>
  <c r="B16" i="71" s="1"/>
  <c r="B15" i="71" s="1"/>
  <c r="B14" i="71" s="1"/>
  <c r="X21" i="71"/>
  <c r="A2" i="53"/>
  <c r="K59" i="67"/>
  <c r="P61" i="67" s="1"/>
  <c r="K59" i="15"/>
  <c r="P74" i="15"/>
  <c r="P61" i="15"/>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3" i="71"/>
  <c r="AB20" i="71" s="1"/>
  <c r="P23" i="71"/>
  <c r="O23" i="71"/>
  <c r="N23" i="71"/>
  <c r="A15" i="51"/>
  <c r="B12" i="72" s="1"/>
  <c r="C76" i="9"/>
  <c r="I107" i="40"/>
  <c r="K6" i="4"/>
  <c r="B22" i="31"/>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c r="AH9" i="43"/>
  <c r="AH12" i="43" s="1"/>
  <c r="AG9" i="43"/>
  <c r="AG10" i="43" s="1"/>
  <c r="AG12" i="43"/>
  <c r="AF9" i="43"/>
  <c r="AE9" i="43"/>
  <c r="AE12" i="43"/>
  <c r="AD9" i="43"/>
  <c r="AC9" i="43"/>
  <c r="AC12" i="43"/>
  <c r="AB9" i="43"/>
  <c r="AB12" i="43" s="1"/>
  <c r="AA9" i="43"/>
  <c r="AA12" i="43"/>
  <c r="Z9" i="43"/>
  <c r="Z12" i="43" s="1"/>
  <c r="AA10" i="43"/>
  <c r="AC10" i="43"/>
  <c r="AE10" i="43"/>
  <c r="AI10" i="43"/>
  <c r="Z10" i="43"/>
  <c r="AB10" i="43"/>
  <c r="AH10" i="43"/>
  <c r="K49" i="9"/>
  <c r="E107" i="9"/>
  <c r="A122" i="9"/>
  <c r="A8" i="52" s="1"/>
  <c r="B54" i="72" s="1"/>
  <c r="E111" i="9"/>
  <c r="A126" i="9"/>
  <c r="A12" i="52" s="1"/>
  <c r="B56" i="72" s="1"/>
  <c r="E109" i="9"/>
  <c r="A124" i="9" s="1"/>
  <c r="B44" i="72"/>
  <c r="B42" i="72"/>
  <c r="B69" i="72"/>
  <c r="B68" i="72"/>
  <c r="B63" i="72"/>
  <c r="B62" i="72"/>
  <c r="B16" i="72"/>
  <c r="B65" i="72"/>
  <c r="B60" i="72"/>
  <c r="B10" i="72"/>
  <c r="C53" i="10"/>
  <c r="B51" i="10"/>
  <c r="B19" i="72"/>
  <c r="A18" i="51"/>
  <c r="B13" i="72" s="1"/>
  <c r="C8" i="68"/>
  <c r="B49" i="48"/>
  <c r="B5" i="72"/>
  <c r="I19" i="43"/>
  <c r="D86" i="71"/>
  <c r="F85" i="71"/>
  <c r="E85" i="71"/>
  <c r="E84" i="71"/>
  <c r="E83" i="71" s="1"/>
  <c r="C85" i="71"/>
  <c r="D85" i="71"/>
  <c r="B85" i="71"/>
  <c r="B84" i="71" s="1"/>
  <c r="B83" i="71" s="1"/>
  <c r="F84" i="71"/>
  <c r="F83" i="71" s="1"/>
  <c r="D82" i="71"/>
  <c r="F81" i="71"/>
  <c r="E81" i="71"/>
  <c r="E80" i="71"/>
  <c r="E79" i="71" s="1"/>
  <c r="C81" i="71"/>
  <c r="D81" i="71"/>
  <c r="B81" i="71"/>
  <c r="F80" i="71"/>
  <c r="F79" i="71" s="1"/>
  <c r="B80" i="71"/>
  <c r="B79" i="71"/>
  <c r="D78" i="71"/>
  <c r="Q77" i="71"/>
  <c r="P77" i="71"/>
  <c r="O77" i="71"/>
  <c r="N77" i="71"/>
  <c r="F77" i="71"/>
  <c r="V77" i="71"/>
  <c r="E77" i="71"/>
  <c r="C77" i="71"/>
  <c r="T77" i="71"/>
  <c r="B77" i="71"/>
  <c r="S77" i="71" s="1"/>
  <c r="Q76" i="71"/>
  <c r="P76" i="71"/>
  <c r="O76" i="71"/>
  <c r="N76" i="71"/>
  <c r="F76" i="71"/>
  <c r="F75" i="71"/>
  <c r="Q75" i="71"/>
  <c r="P75" i="71"/>
  <c r="O75" i="71"/>
  <c r="N75" i="71"/>
  <c r="Q74" i="71"/>
  <c r="P74" i="71"/>
  <c r="O74" i="71"/>
  <c r="N74" i="71"/>
  <c r="D74" i="71"/>
  <c r="Q73" i="71"/>
  <c r="P73" i="71"/>
  <c r="O73" i="71"/>
  <c r="N73" i="71"/>
  <c r="F73" i="71"/>
  <c r="E73" i="71"/>
  <c r="U73" i="71" s="1"/>
  <c r="C73" i="71"/>
  <c r="D73" i="71" s="1"/>
  <c r="T73" i="71"/>
  <c r="B73" i="71"/>
  <c r="S73" i="71" s="1"/>
  <c r="Q72" i="71"/>
  <c r="P72" i="71"/>
  <c r="O72" i="71"/>
  <c r="N72" i="71"/>
  <c r="B72" i="71"/>
  <c r="B71" i="71" s="1"/>
  <c r="Q71" i="71"/>
  <c r="P71" i="71"/>
  <c r="O71" i="71"/>
  <c r="N71" i="71"/>
  <c r="Q70" i="71"/>
  <c r="P70" i="71"/>
  <c r="O70" i="71"/>
  <c r="N70" i="71"/>
  <c r="D70" i="71"/>
  <c r="Q69" i="71"/>
  <c r="P69" i="71"/>
  <c r="O69" i="71"/>
  <c r="N69" i="71"/>
  <c r="F69" i="71"/>
  <c r="V69" i="71" s="1"/>
  <c r="E69" i="71"/>
  <c r="U69" i="71"/>
  <c r="C69" i="71"/>
  <c r="B69" i="71"/>
  <c r="S69" i="71"/>
  <c r="Q68" i="71"/>
  <c r="P68" i="71"/>
  <c r="O68" i="71"/>
  <c r="N68" i="71"/>
  <c r="F68" i="71"/>
  <c r="F67" i="71" s="1"/>
  <c r="B68" i="71"/>
  <c r="B67" i="71"/>
  <c r="Q67" i="71"/>
  <c r="P67" i="71"/>
  <c r="O67" i="71"/>
  <c r="N67" i="71"/>
  <c r="Q66" i="71"/>
  <c r="P66" i="71"/>
  <c r="O66" i="71"/>
  <c r="N66" i="71"/>
  <c r="D66" i="71"/>
  <c r="F65" i="71"/>
  <c r="V65" i="71" s="1"/>
  <c r="E65" i="71"/>
  <c r="U65" i="71" s="1"/>
  <c r="P65" i="71"/>
  <c r="C65" i="71"/>
  <c r="B65" i="71"/>
  <c r="S65" i="71"/>
  <c r="F64" i="71"/>
  <c r="F63" i="71" s="1"/>
  <c r="Q63" i="71" s="1"/>
  <c r="B64" i="71"/>
  <c r="D62" i="71"/>
  <c r="Q61" i="71"/>
  <c r="P61" i="71"/>
  <c r="O61" i="71"/>
  <c r="N61" i="71"/>
  <c r="Q60" i="71"/>
  <c r="P60" i="71"/>
  <c r="O60" i="71"/>
  <c r="N60" i="71"/>
  <c r="Q59" i="71"/>
  <c r="P59" i="71"/>
  <c r="O59" i="71"/>
  <c r="N59" i="71"/>
  <c r="Q58" i="71"/>
  <c r="F59" i="71" s="1"/>
  <c r="F60" i="71"/>
  <c r="F61" i="71"/>
  <c r="V61" i="71" s="1"/>
  <c r="P58" i="71"/>
  <c r="E59" i="71"/>
  <c r="E60" i="71" s="1"/>
  <c r="O58" i="71"/>
  <c r="C59" i="71" s="1"/>
  <c r="D59" i="71" s="1"/>
  <c r="N58" i="71"/>
  <c r="B59" i="71"/>
  <c r="B60" i="71" s="1"/>
  <c r="B61" i="71" s="1"/>
  <c r="S61" i="71" s="1"/>
  <c r="D58" i="71"/>
  <c r="Q57" i="71"/>
  <c r="P57" i="71"/>
  <c r="O57" i="71"/>
  <c r="N57" i="71"/>
  <c r="Q56" i="71"/>
  <c r="P56" i="71"/>
  <c r="O56" i="71"/>
  <c r="N56" i="71"/>
  <c r="Q55" i="71"/>
  <c r="P55" i="71"/>
  <c r="O55" i="71"/>
  <c r="N55" i="71"/>
  <c r="Q54" i="71"/>
  <c r="F55" i="71" s="1"/>
  <c r="F56" i="71" s="1"/>
  <c r="F57" i="71"/>
  <c r="V57" i="71" s="1"/>
  <c r="P54" i="71"/>
  <c r="E55" i="71" s="1"/>
  <c r="O54" i="71"/>
  <c r="C55" i="71"/>
  <c r="D55" i="71" s="1"/>
  <c r="N54" i="71"/>
  <c r="B55" i="71" s="1"/>
  <c r="B56" i="71"/>
  <c r="B57" i="71"/>
  <c r="S57" i="71" s="1"/>
  <c r="D54" i="71"/>
  <c r="Q53" i="71"/>
  <c r="P53" i="71"/>
  <c r="O53" i="71"/>
  <c r="N53" i="71"/>
  <c r="Q52" i="71"/>
  <c r="P52" i="71"/>
  <c r="O52" i="71"/>
  <c r="N52" i="71"/>
  <c r="Q51" i="71"/>
  <c r="P51" i="71"/>
  <c r="E52" i="71" s="1"/>
  <c r="E53" i="71" s="1"/>
  <c r="U53" i="71" s="1"/>
  <c r="O51" i="71"/>
  <c r="N51" i="71"/>
  <c r="Q50" i="71"/>
  <c r="F51" i="71" s="1"/>
  <c r="F52" i="71" s="1"/>
  <c r="F53" i="71"/>
  <c r="V53" i="71"/>
  <c r="P50" i="71"/>
  <c r="E51" i="71" s="1"/>
  <c r="O50" i="71"/>
  <c r="C51" i="71" s="1"/>
  <c r="N50" i="71"/>
  <c r="B51" i="71" s="1"/>
  <c r="B52" i="71" s="1"/>
  <c r="B53" i="71"/>
  <c r="S53"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c r="B48" i="71" s="1"/>
  <c r="B49" i="71" s="1"/>
  <c r="S49" i="71"/>
  <c r="D46" i="71"/>
  <c r="T45" i="71"/>
  <c r="Q45" i="71"/>
  <c r="P45" i="71"/>
  <c r="O45" i="71"/>
  <c r="N45" i="71"/>
  <c r="D45" i="71"/>
  <c r="Q44" i="71"/>
  <c r="P44" i="71"/>
  <c r="O44" i="71"/>
  <c r="N44" i="71"/>
  <c r="Q43" i="71"/>
  <c r="P43" i="71"/>
  <c r="O43" i="71"/>
  <c r="N43" i="71"/>
  <c r="F43" i="71"/>
  <c r="F44" i="71"/>
  <c r="F45" i="71" s="1"/>
  <c r="V45" i="71" s="1"/>
  <c r="Q42" i="71"/>
  <c r="P42" i="71"/>
  <c r="E43" i="71" s="1"/>
  <c r="O42" i="71"/>
  <c r="C43" i="71" s="1"/>
  <c r="C44" i="71" s="1"/>
  <c r="N42" i="71"/>
  <c r="B43" i="71"/>
  <c r="B44" i="71" s="1"/>
  <c r="B45" i="71" s="1"/>
  <c r="S45" i="71"/>
  <c r="D42" i="71"/>
  <c r="Q41" i="71"/>
  <c r="P41" i="71"/>
  <c r="O41" i="71"/>
  <c r="N41" i="71"/>
  <c r="Q40" i="71"/>
  <c r="P40" i="71"/>
  <c r="O40" i="71"/>
  <c r="N40" i="71"/>
  <c r="Q39" i="71"/>
  <c r="P39" i="71"/>
  <c r="O39" i="71"/>
  <c r="N39" i="71"/>
  <c r="Q38" i="71"/>
  <c r="F39" i="71" s="1"/>
  <c r="F40" i="71" s="1"/>
  <c r="F41" i="71" s="1"/>
  <c r="V41" i="71" s="1"/>
  <c r="P38" i="71"/>
  <c r="E39" i="71"/>
  <c r="E40" i="71"/>
  <c r="E41" i="71" s="1"/>
  <c r="U41" i="71" s="1"/>
  <c r="O38" i="71"/>
  <c r="C39" i="71" s="1"/>
  <c r="N38" i="71"/>
  <c r="B39" i="71" s="1"/>
  <c r="B40" i="71"/>
  <c r="B41" i="71"/>
  <c r="S41" i="71" s="1"/>
  <c r="D38" i="71"/>
  <c r="Q37" i="71"/>
  <c r="P37" i="71"/>
  <c r="O37" i="71"/>
  <c r="N37" i="71"/>
  <c r="Q36" i="71"/>
  <c r="P36" i="71"/>
  <c r="AA36" i="71" s="1"/>
  <c r="O36" i="71"/>
  <c r="Y36" i="71"/>
  <c r="Z36" i="71" s="1"/>
  <c r="N36" i="71"/>
  <c r="X36" i="71"/>
  <c r="Q35" i="71"/>
  <c r="P35" i="71"/>
  <c r="O35" i="71"/>
  <c r="Y35" i="71"/>
  <c r="Z35" i="71" s="1"/>
  <c r="N35" i="71"/>
  <c r="Q34" i="71"/>
  <c r="P34" i="71"/>
  <c r="O34" i="71"/>
  <c r="C35" i="71" s="1"/>
  <c r="N34" i="71"/>
  <c r="D34" i="71"/>
  <c r="Q33" i="71"/>
  <c r="P33" i="71"/>
  <c r="O33" i="71"/>
  <c r="Y32" i="71" s="1"/>
  <c r="Z32" i="71" s="1"/>
  <c r="Y33" i="71"/>
  <c r="Z33" i="71" s="1"/>
  <c r="N33" i="71"/>
  <c r="Q32" i="71"/>
  <c r="P32" i="71"/>
  <c r="O32" i="71"/>
  <c r="N32" i="71"/>
  <c r="X32" i="71" s="1"/>
  <c r="Q31" i="71"/>
  <c r="P31" i="71"/>
  <c r="O31" i="71"/>
  <c r="Y31" i="71" s="1"/>
  <c r="Z31" i="71" s="1"/>
  <c r="N31" i="71"/>
  <c r="F33" i="71"/>
  <c r="V33" i="71"/>
  <c r="Q30" i="71"/>
  <c r="F31" i="71" s="1"/>
  <c r="F32" i="71" s="1"/>
  <c r="P30" i="71"/>
  <c r="O30" i="71"/>
  <c r="Y30" i="71" s="1"/>
  <c r="Z30" i="71" s="1"/>
  <c r="N30" i="71"/>
  <c r="X30" i="71" s="1"/>
  <c r="D30" i="71"/>
  <c r="Q29" i="71"/>
  <c r="P29" i="71"/>
  <c r="O29" i="71"/>
  <c r="N29" i="71"/>
  <c r="Q28" i="71"/>
  <c r="AB28" i="71" s="1"/>
  <c r="P28" i="71"/>
  <c r="O28" i="71"/>
  <c r="N28" i="71"/>
  <c r="Q27" i="71"/>
  <c r="P27" i="71"/>
  <c r="O27" i="71"/>
  <c r="Y27" i="71"/>
  <c r="Z27" i="71" s="1"/>
  <c r="N27" i="71"/>
  <c r="Q26" i="71"/>
  <c r="F27" i="71" s="1"/>
  <c r="F28" i="71" s="1"/>
  <c r="F29" i="71" s="1"/>
  <c r="V29" i="71" s="1"/>
  <c r="P26" i="71"/>
  <c r="O26" i="71"/>
  <c r="N26" i="71"/>
  <c r="D26" i="71"/>
  <c r="O25" i="71"/>
  <c r="Y22" i="71" s="1"/>
  <c r="Z22" i="71" s="1"/>
  <c r="N25" i="71"/>
  <c r="B27" i="71"/>
  <c r="B28" i="71"/>
  <c r="B29" i="71"/>
  <c r="S29" i="71" s="1"/>
  <c r="B35" i="71"/>
  <c r="B36" i="71" s="1"/>
  <c r="B37" i="71"/>
  <c r="S37" i="71" s="1"/>
  <c r="X34" i="71"/>
  <c r="N65" i="71"/>
  <c r="E31" i="71"/>
  <c r="AA30" i="71"/>
  <c r="C27" i="71"/>
  <c r="C31" i="71"/>
  <c r="D31" i="71" s="1"/>
  <c r="C32" i="71"/>
  <c r="C33" i="71" s="1"/>
  <c r="X31" i="71"/>
  <c r="AA31" i="71"/>
  <c r="AA32" i="71"/>
  <c r="X33" i="71"/>
  <c r="AA33" i="71"/>
  <c r="Y34" i="71"/>
  <c r="Z34" i="71" s="1"/>
  <c r="X35" i="71"/>
  <c r="AA35" i="71"/>
  <c r="B25" i="71"/>
  <c r="B24" i="71"/>
  <c r="B23" i="71" s="1"/>
  <c r="C28" i="71"/>
  <c r="C29" i="71" s="1"/>
  <c r="D29" i="71" s="1"/>
  <c r="D27" i="71"/>
  <c r="D35" i="71"/>
  <c r="D39" i="71"/>
  <c r="D44" i="71"/>
  <c r="D43" i="71"/>
  <c r="P25" i="71"/>
  <c r="E56" i="71"/>
  <c r="E57" i="71"/>
  <c r="U57" i="71" s="1"/>
  <c r="E61" i="71"/>
  <c r="U61" i="71"/>
  <c r="Q62" i="71"/>
  <c r="E64" i="71"/>
  <c r="Q25" i="71"/>
  <c r="F25" i="71" s="1"/>
  <c r="F24" i="71" s="1"/>
  <c r="F23" i="71" s="1"/>
  <c r="C56" i="71"/>
  <c r="C57" i="71" s="1"/>
  <c r="D57" i="71" s="1"/>
  <c r="C60" i="71"/>
  <c r="D60" i="71" s="1"/>
  <c r="N64" i="71"/>
  <c r="B63" i="71"/>
  <c r="Q64" i="71"/>
  <c r="T65" i="71"/>
  <c r="O65" i="71"/>
  <c r="D65" i="71"/>
  <c r="C64" i="71"/>
  <c r="Q65" i="71"/>
  <c r="C68" i="71"/>
  <c r="C67" i="71" s="1"/>
  <c r="D67" i="71" s="1"/>
  <c r="E68" i="71"/>
  <c r="E67" i="71" s="1"/>
  <c r="C72" i="71"/>
  <c r="D72" i="71" s="1"/>
  <c r="E72" i="71"/>
  <c r="E71" i="71"/>
  <c r="C76" i="71"/>
  <c r="D77" i="71"/>
  <c r="C80" i="71"/>
  <c r="C84" i="71"/>
  <c r="S25" i="71"/>
  <c r="AB23" i="71"/>
  <c r="C63" i="71"/>
  <c r="O64" i="71"/>
  <c r="D64" i="71"/>
  <c r="C61" i="71"/>
  <c r="D80" i="71"/>
  <c r="C79" i="71"/>
  <c r="D79" i="71"/>
  <c r="C71" i="71"/>
  <c r="D71" i="71"/>
  <c r="D84" i="71"/>
  <c r="C83" i="71"/>
  <c r="D83" i="71"/>
  <c r="D76" i="71"/>
  <c r="C75" i="71"/>
  <c r="D75" i="71"/>
  <c r="D68" i="71"/>
  <c r="P64" i="71"/>
  <c r="E63" i="71"/>
  <c r="O63" i="71"/>
  <c r="D63" i="71"/>
  <c r="O62" i="71"/>
  <c r="T29"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c r="D94" i="40"/>
  <c r="E94" i="40"/>
  <c r="F25" i="40"/>
  <c r="AA25" i="40" s="1"/>
  <c r="Q29" i="39"/>
  <c r="Z29" i="39" s="1"/>
  <c r="D102" i="39"/>
  <c r="E102" i="39" s="1"/>
  <c r="F102" i="39" s="1"/>
  <c r="G102" i="39" s="1"/>
  <c r="F29" i="39"/>
  <c r="AA29" i="39" s="1"/>
  <c r="Q18" i="36"/>
  <c r="Z18" i="36"/>
  <c r="D66" i="36"/>
  <c r="E66" i="36" s="1"/>
  <c r="F66" i="36" s="1"/>
  <c r="G66" i="36" s="1"/>
  <c r="H18" i="36"/>
  <c r="U18" i="36" s="1"/>
  <c r="AB18" i="36"/>
  <c r="F18" i="36"/>
  <c r="AA18" i="36" s="1"/>
  <c r="C18" i="36"/>
  <c r="Z18" i="35"/>
  <c r="Q18" i="35"/>
  <c r="D68" i="35"/>
  <c r="E68" i="35"/>
  <c r="F18" i="35"/>
  <c r="C18" i="35"/>
  <c r="Q21" i="37"/>
  <c r="Z21" i="37" s="1"/>
  <c r="D77" i="37"/>
  <c r="E77" i="37" s="1"/>
  <c r="F77" i="37" s="1"/>
  <c r="G77" i="37" s="1"/>
  <c r="C21" i="37"/>
  <c r="Z21" i="34"/>
  <c r="Q21" i="34"/>
  <c r="D84" i="34"/>
  <c r="E84" i="34"/>
  <c r="F21" i="34"/>
  <c r="C21" i="34"/>
  <c r="Q21" i="33"/>
  <c r="Z21" i="33" s="1"/>
  <c r="D83" i="33"/>
  <c r="E83" i="33" s="1"/>
  <c r="F83" i="33" s="1"/>
  <c r="G83" i="33" s="1"/>
  <c r="C21" i="33"/>
  <c r="C21" i="21"/>
  <c r="Q21" i="21"/>
  <c r="Z21" i="21" s="1"/>
  <c r="H19" i="21"/>
  <c r="D83" i="21"/>
  <c r="E83" i="21" s="1"/>
  <c r="F83" i="21" s="1"/>
  <c r="G83" i="21" s="1"/>
  <c r="F21" i="21"/>
  <c r="AA21" i="21" s="1"/>
  <c r="D81" i="21"/>
  <c r="G20" i="20"/>
  <c r="C22" i="20"/>
  <c r="B75" i="43"/>
  <c r="B55" i="43"/>
  <c r="B66" i="43"/>
  <c r="C29" i="39"/>
  <c r="S25" i="40"/>
  <c r="S18" i="36"/>
  <c r="F94" i="40"/>
  <c r="G94" i="40" s="1"/>
  <c r="H25" i="40"/>
  <c r="AB25" i="40" s="1"/>
  <c r="J25" i="40"/>
  <c r="H29" i="39"/>
  <c r="AB29" i="39" s="1"/>
  <c r="J29" i="39"/>
  <c r="AC29" i="39" s="1"/>
  <c r="J18" i="36"/>
  <c r="AC18" i="36" s="1"/>
  <c r="F68" i="35"/>
  <c r="G68" i="35" s="1"/>
  <c r="H18" i="35"/>
  <c r="AB18" i="35" s="1"/>
  <c r="J18" i="35"/>
  <c r="H21" i="37"/>
  <c r="F21" i="37"/>
  <c r="AA21" i="37" s="1"/>
  <c r="F84" i="34"/>
  <c r="H21" i="34"/>
  <c r="H21" i="33"/>
  <c r="U21" i="33" s="1"/>
  <c r="F21" i="33"/>
  <c r="S21" i="33" s="1"/>
  <c r="H1" i="69"/>
  <c r="AC25" i="40"/>
  <c r="W25" i="40"/>
  <c r="U25" i="40"/>
  <c r="U29" i="39"/>
  <c r="W29" i="39"/>
  <c r="W18" i="36"/>
  <c r="AB21" i="37"/>
  <c r="U21" i="37"/>
  <c r="S21" i="37"/>
  <c r="AB21" i="34"/>
  <c r="U21" i="34"/>
  <c r="AB21" i="33"/>
  <c r="AA21" i="33"/>
  <c r="J21" i="37"/>
  <c r="G84" i="34"/>
  <c r="J21" i="34"/>
  <c r="AC21" i="34" s="1"/>
  <c r="J21" i="33"/>
  <c r="H21" i="21"/>
  <c r="F38" i="69"/>
  <c r="E37" i="69"/>
  <c r="F36" i="69"/>
  <c r="F35" i="69"/>
  <c r="F21" i="69"/>
  <c r="F40" i="69" s="1"/>
  <c r="C21" i="69"/>
  <c r="F20" i="69"/>
  <c r="F39" i="69" s="1"/>
  <c r="E10" i="69"/>
  <c r="E9" i="69"/>
  <c r="C7" i="69"/>
  <c r="AC21" i="37"/>
  <c r="W21" i="37"/>
  <c r="AC21" i="33"/>
  <c r="W21" i="33"/>
  <c r="J21" i="21"/>
  <c r="W21" i="21" s="1"/>
  <c r="C40" i="69"/>
  <c r="F38" i="68"/>
  <c r="E37" i="68"/>
  <c r="F36" i="68"/>
  <c r="F35" i="68"/>
  <c r="F21" i="68"/>
  <c r="F40" i="68" s="1"/>
  <c r="C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F113" i="43"/>
  <c r="N99" i="43"/>
  <c r="N108" i="43" s="1"/>
  <c r="D99" i="43"/>
  <c r="D100" i="43" s="1"/>
  <c r="D108" i="43"/>
  <c r="E99" i="43"/>
  <c r="E108" i="43" s="1"/>
  <c r="F99" i="43"/>
  <c r="F108" i="43"/>
  <c r="G99" i="43"/>
  <c r="H99" i="43"/>
  <c r="H108" i="43" s="1"/>
  <c r="I99" i="43"/>
  <c r="J99" i="43"/>
  <c r="J108" i="43" s="1"/>
  <c r="K99" i="43"/>
  <c r="K108" i="43" s="1"/>
  <c r="L99" i="43"/>
  <c r="L100" i="43" s="1"/>
  <c r="L108" i="43"/>
  <c r="M99" i="43"/>
  <c r="M108" i="43" s="1"/>
  <c r="C99" i="43"/>
  <c r="C108" i="43"/>
  <c r="N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c r="K87" i="43"/>
  <c r="J87" i="43" s="1"/>
  <c r="M86" i="43"/>
  <c r="N86" i="43"/>
  <c r="K86" i="43"/>
  <c r="J86" i="43" s="1"/>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s="1"/>
  <c r="D73" i="43"/>
  <c r="M72" i="43"/>
  <c r="N72" i="43"/>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s="1"/>
  <c r="D55" i="43"/>
  <c r="M54" i="43"/>
  <c r="N54" i="43" s="1"/>
  <c r="K54" i="43"/>
  <c r="J54" i="43"/>
  <c r="D54" i="43"/>
  <c r="M53" i="43"/>
  <c r="N53" i="43" s="1"/>
  <c r="K53" i="43"/>
  <c r="J53" i="43"/>
  <c r="D53" i="43"/>
  <c r="M52" i="43"/>
  <c r="N52" i="43"/>
  <c r="K52" i="43"/>
  <c r="J52" i="43" s="1"/>
  <c r="D52" i="43"/>
  <c r="M51" i="43"/>
  <c r="N51" i="43"/>
  <c r="K51" i="43"/>
  <c r="J51" i="43" s="1"/>
  <c r="D51" i="43"/>
  <c r="M50" i="43"/>
  <c r="N50" i="43" s="1"/>
  <c r="K50" i="43"/>
  <c r="J50" i="43"/>
  <c r="D50" i="43"/>
  <c r="M49" i="43"/>
  <c r="N49" i="43" s="1"/>
  <c r="K49" i="43"/>
  <c r="J49" i="43"/>
  <c r="D49" i="43"/>
  <c r="M48" i="43"/>
  <c r="N48" i="43"/>
  <c r="K48" i="43"/>
  <c r="J48" i="43" s="1"/>
  <c r="D48" i="43"/>
  <c r="Q72" i="15"/>
  <c r="Q58" i="15"/>
  <c r="Q51" i="15"/>
  <c r="Q59" i="15"/>
  <c r="AE10" i="1"/>
  <c r="AE11" i="1"/>
  <c r="AE12" i="1"/>
  <c r="AE13" i="1"/>
  <c r="M47" i="15"/>
  <c r="AG8" i="1"/>
  <c r="AG9" i="1"/>
  <c r="AG10" i="1"/>
  <c r="AG11" i="1"/>
  <c r="AG12" i="1"/>
  <c r="AG13" i="1"/>
  <c r="J50" i="15"/>
  <c r="J51" i="15"/>
  <c r="D12" i="31"/>
  <c r="E12" i="31" s="1"/>
  <c r="F12" i="31" s="1"/>
  <c r="G12" i="31" s="1"/>
  <c r="H12" i="31" s="1"/>
  <c r="I12" i="31" s="1"/>
  <c r="J12" i="31" s="1"/>
  <c r="K12" i="31"/>
  <c r="L12" i="31" s="1"/>
  <c r="M12" i="31" s="1"/>
  <c r="N12" i="31" s="1"/>
  <c r="O12" i="31" s="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c r="D6" i="31"/>
  <c r="E6" i="31" s="1"/>
  <c r="F6" i="31" s="1"/>
  <c r="G6" i="31"/>
  <c r="H6" i="31" s="1"/>
  <c r="I6" i="31" s="1"/>
  <c r="J6" i="31" s="1"/>
  <c r="K6" i="31" s="1"/>
  <c r="L6" i="31" s="1"/>
  <c r="M6" i="31" s="1"/>
  <c r="N6" i="31" s="1"/>
  <c r="O6" i="31"/>
  <c r="P6" i="31" s="1"/>
  <c r="Q6" i="31" s="1"/>
  <c r="R6" i="31" s="1"/>
  <c r="S6" i="31" s="1"/>
  <c r="B2" i="1"/>
  <c r="C7" i="34" s="1"/>
  <c r="C59" i="34" s="1"/>
  <c r="D59" i="34" s="1"/>
  <c r="E59" i="34" s="1"/>
  <c r="F59" i="34" s="1"/>
  <c r="G59" i="34" s="1"/>
  <c r="H59" i="34" s="1"/>
  <c r="I59" i="34" s="1"/>
  <c r="J59" i="34" s="1"/>
  <c r="F15" i="4"/>
  <c r="F8" i="1"/>
  <c r="F9" i="1"/>
  <c r="G9" i="1" s="1"/>
  <c r="F10" i="1"/>
  <c r="F11" i="1"/>
  <c r="F12" i="1"/>
  <c r="F13" i="1"/>
  <c r="D6" i="1"/>
  <c r="D9" i="1"/>
  <c r="D10" i="1"/>
  <c r="D11" i="1"/>
  <c r="D12" i="1"/>
  <c r="D13" i="1"/>
  <c r="D7" i="1"/>
  <c r="D8" i="1"/>
  <c r="A7" i="1"/>
  <c r="B7" i="1" s="1"/>
  <c r="E7" i="1" s="1"/>
  <c r="A8" i="1"/>
  <c r="B8" i="1"/>
  <c r="E8" i="1"/>
  <c r="A9" i="1"/>
  <c r="A10" i="1"/>
  <c r="A11" i="1"/>
  <c r="A12" i="1"/>
  <c r="F3" i="35" s="1"/>
  <c r="A13" i="1"/>
  <c r="A6" i="1"/>
  <c r="B11" i="1"/>
  <c r="E11" i="1" s="1"/>
  <c r="K10" i="1"/>
  <c r="M10"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BC106" i="3"/>
  <c r="BB106" i="3"/>
  <c r="AZ106" i="3"/>
  <c r="AX106" i="3"/>
  <c r="AW106" i="3"/>
  <c r="AV106" i="3"/>
  <c r="AC106" i="3"/>
  <c r="H106" i="3"/>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Z92" i="3"/>
  <c r="AX92" i="3"/>
  <c r="AW92" i="3"/>
  <c r="AV92" i="3"/>
  <c r="AC92" i="3"/>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BB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Z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L461" i="3" s="1"/>
  <c r="AZ461" i="3" s="1"/>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BC449" i="3"/>
  <c r="BB449" i="3"/>
  <c r="AZ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BC445" i="3"/>
  <c r="BB445" i="3"/>
  <c r="AZ445" i="3"/>
  <c r="AX445" i="3"/>
  <c r="AW445" i="3"/>
  <c r="AV445" i="3"/>
  <c r="AC445" i="3"/>
  <c r="G445" i="3" s="1"/>
  <c r="H445" i="3"/>
  <c r="BT444" i="3"/>
  <c r="BS444" i="3"/>
  <c r="BR444" i="3"/>
  <c r="BQ444" i="3"/>
  <c r="BP444" i="3"/>
  <c r="BO444" i="3"/>
  <c r="BL444" i="3" s="1"/>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L437" i="3" s="1"/>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A434" i="3" s="1"/>
  <c r="AZ434" i="3" s="1"/>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BC432" i="3"/>
  <c r="BB432" i="3"/>
  <c r="AZ432" i="3"/>
  <c r="AX432" i="3"/>
  <c r="AW432" i="3"/>
  <c r="AV432" i="3"/>
  <c r="AC432" i="3"/>
  <c r="G432" i="3" s="1"/>
  <c r="H432" i="3"/>
  <c r="BT431" i="3"/>
  <c r="BS431" i="3"/>
  <c r="BR431" i="3"/>
  <c r="BQ431" i="3"/>
  <c r="BP431" i="3"/>
  <c r="BO431" i="3"/>
  <c r="BL431" i="3" s="1"/>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G425" i="3" s="1"/>
  <c r="H425" i="3"/>
  <c r="BT424" i="3"/>
  <c r="BS424" i="3"/>
  <c r="BR424" i="3"/>
  <c r="BQ424" i="3"/>
  <c r="BP424" i="3"/>
  <c r="BO424" i="3"/>
  <c r="BL424" i="3" s="1"/>
  <c r="BN424" i="3"/>
  <c r="BM424" i="3"/>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c r="BT421" i="3"/>
  <c r="BT5" i="3" s="1"/>
  <c r="BS421" i="3"/>
  <c r="BR421" i="3"/>
  <c r="BQ421" i="3"/>
  <c r="BP421" i="3"/>
  <c r="BO421" i="3"/>
  <c r="BN421" i="3"/>
  <c r="BM421" i="3"/>
  <c r="BL421" i="3"/>
  <c r="BK421" i="3"/>
  <c r="BJ421" i="3"/>
  <c r="BI421" i="3"/>
  <c r="BH421" i="3"/>
  <c r="BG421" i="3"/>
  <c r="BF421" i="3"/>
  <c r="BE421" i="3"/>
  <c r="BD421" i="3"/>
  <c r="BC421" i="3"/>
  <c r="BB421" i="3"/>
  <c r="AX421" i="3"/>
  <c r="AW421" i="3"/>
  <c r="AV421" i="3"/>
  <c r="AC421" i="3"/>
  <c r="G421" i="3" s="1"/>
  <c r="H421" i="3"/>
  <c r="BT420" i="3"/>
  <c r="BS420" i="3"/>
  <c r="BR420" i="3"/>
  <c r="BQ420" i="3"/>
  <c r="BP420" i="3"/>
  <c r="BO420" i="3"/>
  <c r="BL420" i="3" s="1"/>
  <c r="BN420" i="3"/>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BC414" i="3"/>
  <c r="BB414" i="3"/>
  <c r="AZ414" i="3"/>
  <c r="AX414" i="3"/>
  <c r="AW414" i="3"/>
  <c r="AV414" i="3"/>
  <c r="AC414" i="3"/>
  <c r="G414" i="3" s="1"/>
  <c r="H414" i="3"/>
  <c r="BT413" i="3"/>
  <c r="BS413" i="3"/>
  <c r="BR413" i="3"/>
  <c r="BQ413" i="3"/>
  <c r="BP413" i="3"/>
  <c r="BO413" i="3"/>
  <c r="BL413" i="3" s="1"/>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BC411" i="3"/>
  <c r="BB411" i="3"/>
  <c r="AZ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AZ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BC404" i="3"/>
  <c r="BB404" i="3"/>
  <c r="AZ404" i="3"/>
  <c r="AX404" i="3"/>
  <c r="AW404" i="3"/>
  <c r="AV404" i="3"/>
  <c r="AC404" i="3"/>
  <c r="G404" i="3" s="1"/>
  <c r="H404" i="3"/>
  <c r="BT403" i="3"/>
  <c r="BS403" i="3"/>
  <c r="BR403" i="3"/>
  <c r="BQ403" i="3"/>
  <c r="BP403" i="3"/>
  <c r="BO403" i="3"/>
  <c r="BL403" i="3" s="1"/>
  <c r="BN403" i="3"/>
  <c r="BM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c r="R35" i="4"/>
  <c r="Q35" i="4"/>
  <c r="P35" i="4"/>
  <c r="O35" i="4"/>
  <c r="N35" i="4"/>
  <c r="M35" i="4"/>
  <c r="L35" i="4"/>
  <c r="K34" i="4"/>
  <c r="T34" i="4"/>
  <c r="G13" i="1"/>
  <c r="I15" i="4"/>
  <c r="H15" i="4"/>
  <c r="G15" i="4"/>
  <c r="E15" i="4"/>
  <c r="D15" i="4"/>
  <c r="F7" i="1"/>
  <c r="L21" i="4"/>
  <c r="F19" i="4"/>
  <c r="F2" i="52"/>
  <c r="B50" i="72"/>
  <c r="D2" i="52"/>
  <c r="B46" i="72" s="1"/>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5" i="3" s="1"/>
  <c r="BM15" i="3"/>
  <c r="BM16" i="3"/>
  <c r="BL16" i="3" s="1"/>
  <c r="BM17" i="3"/>
  <c r="BO13" i="3"/>
  <c r="BO14" i="3"/>
  <c r="BO15" i="3"/>
  <c r="BL15" i="3" s="1"/>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B5" i="3" s="1"/>
  <c r="E8" i="6" s="1"/>
  <c r="BC14" i="3"/>
  <c r="BD14" i="3"/>
  <c r="BE14" i="3"/>
  <c r="BF14" i="3"/>
  <c r="BF5" i="3"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C18" i="9" s="1"/>
  <c r="D18" i="9" s="1"/>
  <c r="D17" i="9"/>
  <c r="I55" i="9"/>
  <c r="F55" i="9"/>
  <c r="O53" i="9" s="1"/>
  <c r="D89" i="9"/>
  <c r="C89" i="9"/>
  <c r="C87" i="9" s="1"/>
  <c r="C94"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c r="C26" i="35"/>
  <c r="C79" i="35" s="1"/>
  <c r="H26" i="35" s="1"/>
  <c r="J31" i="35"/>
  <c r="W31" i="35" s="1"/>
  <c r="H31" i="35"/>
  <c r="AB31" i="35" s="1"/>
  <c r="F31" i="35"/>
  <c r="AA31" i="35" s="1"/>
  <c r="D87" i="35"/>
  <c r="E87" i="35"/>
  <c r="F87" i="35" s="1"/>
  <c r="G87" i="35" s="1"/>
  <c r="H34" i="37"/>
  <c r="D101" i="37"/>
  <c r="F34" i="37"/>
  <c r="D99" i="37"/>
  <c r="E99" i="37" s="1"/>
  <c r="F99" i="37" s="1"/>
  <c r="G99" i="37" s="1"/>
  <c r="H99" i="37" s="1"/>
  <c r="I99" i="37"/>
  <c r="J99" i="37" s="1"/>
  <c r="K99" i="37" s="1"/>
  <c r="L99" i="37" s="1"/>
  <c r="M99" i="37" s="1"/>
  <c r="H42" i="34"/>
  <c r="J42" i="34"/>
  <c r="W42" i="34"/>
  <c r="F42" i="34"/>
  <c r="J38" i="34"/>
  <c r="W38" i="34"/>
  <c r="D114" i="34"/>
  <c r="F38" i="34"/>
  <c r="S38" i="34" s="1"/>
  <c r="D112" i="34"/>
  <c r="E112" i="34" s="1"/>
  <c r="F112" i="34" s="1"/>
  <c r="G112" i="34" s="1"/>
  <c r="H112" i="34" s="1"/>
  <c r="I112" i="34"/>
  <c r="J112" i="34" s="1"/>
  <c r="K112" i="34" s="1"/>
  <c r="L112" i="34" s="1"/>
  <c r="M112" i="34" s="1"/>
  <c r="F40" i="33"/>
  <c r="J41" i="33"/>
  <c r="D113" i="33"/>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c r="G113" i="40"/>
  <c r="H113" i="40" s="1"/>
  <c r="I113" i="40"/>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c r="B101" i="40"/>
  <c r="J31" i="40"/>
  <c r="AC31" i="40"/>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c r="F86" i="40" s="1"/>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s="1"/>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c r="F30" i="37"/>
  <c r="AA30" i="37" s="1"/>
  <c r="Q29" i="37"/>
  <c r="Z29" i="37" s="1"/>
  <c r="H29" i="37"/>
  <c r="AB29" i="37" s="1"/>
  <c r="Q28" i="37"/>
  <c r="Z28" i="37"/>
  <c r="Q27" i="37"/>
  <c r="Z27" i="37" s="1"/>
  <c r="Q26" i="37"/>
  <c r="Z26" i="37" s="1"/>
  <c r="J26" i="37"/>
  <c r="AC26" i="37" s="1"/>
  <c r="H26" i="37"/>
  <c r="AB26" i="37"/>
  <c r="F26" i="37"/>
  <c r="AA26" i="37" s="1"/>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c r="J81" i="36" s="1"/>
  <c r="K81" i="36" s="1"/>
  <c r="L81" i="36" s="1"/>
  <c r="M81" i="36" s="1"/>
  <c r="F79" i="36"/>
  <c r="E79" i="36"/>
  <c r="D79" i="36"/>
  <c r="C79" i="36"/>
  <c r="B93" i="36"/>
  <c r="H33" i="36" s="1"/>
  <c r="B91" i="36"/>
  <c r="F32"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c r="F68" i="36" s="1"/>
  <c r="G68" i="36" s="1"/>
  <c r="D64" i="36"/>
  <c r="E64" i="36" s="1"/>
  <c r="F64" i="36" s="1"/>
  <c r="G64" i="36" s="1"/>
  <c r="J16" i="36"/>
  <c r="D62" i="36"/>
  <c r="E62" i="36" s="1"/>
  <c r="F62" i="36"/>
  <c r="G62" i="36"/>
  <c r="B59" i="36"/>
  <c r="B57" i="36"/>
  <c r="J12" i="36"/>
  <c r="B55" i="36"/>
  <c r="F54" i="36"/>
  <c r="G54" i="36" s="1"/>
  <c r="H54" i="36" s="1"/>
  <c r="I54" i="36" s="1"/>
  <c r="C51" i="36"/>
  <c r="F9" i="36" s="1"/>
  <c r="AA9" i="36" s="1"/>
  <c r="P37" i="36"/>
  <c r="P36" i="36"/>
  <c r="V35" i="36"/>
  <c r="T35" i="36"/>
  <c r="R35" i="36"/>
  <c r="P35" i="36"/>
  <c r="Q34" i="36"/>
  <c r="Z34" i="36"/>
  <c r="Q33" i="36"/>
  <c r="Z33" i="36"/>
  <c r="Q32" i="36"/>
  <c r="Z32" i="36"/>
  <c r="Q31" i="36"/>
  <c r="Z31" i="36"/>
  <c r="Q30" i="36"/>
  <c r="Z30" i="36"/>
  <c r="Q29" i="36"/>
  <c r="Z29" i="36" s="1"/>
  <c r="Q28" i="36"/>
  <c r="Z28" i="36" s="1"/>
  <c r="J28" i="36"/>
  <c r="AC28" i="36"/>
  <c r="Q27" i="36"/>
  <c r="Z27" i="36" s="1"/>
  <c r="Q26" i="36"/>
  <c r="Z26" i="36" s="1"/>
  <c r="H26" i="36"/>
  <c r="AB26" i="36" s="1"/>
  <c r="Q25" i="36"/>
  <c r="Z25" i="36"/>
  <c r="Q24" i="36"/>
  <c r="Z24" i="36" s="1"/>
  <c r="H24" i="36"/>
  <c r="AB24" i="36" s="1"/>
  <c r="Q23" i="36"/>
  <c r="Z23" i="36" s="1"/>
  <c r="Q22" i="36"/>
  <c r="Z22" i="36" s="1"/>
  <c r="J22" i="36"/>
  <c r="AC22" i="36"/>
  <c r="Q20" i="36"/>
  <c r="Z20" i="36" s="1"/>
  <c r="Q16" i="36"/>
  <c r="Z16" i="36" s="1"/>
  <c r="Q14" i="36"/>
  <c r="Z14" i="36" s="1"/>
  <c r="Q13" i="36"/>
  <c r="Z13" i="36"/>
  <c r="Q12" i="36"/>
  <c r="Z12" i="36" s="1"/>
  <c r="H12" i="36"/>
  <c r="U12" i="36"/>
  <c r="Q11" i="36"/>
  <c r="Z11" i="36" s="1"/>
  <c r="Q10" i="36"/>
  <c r="Z10" i="36"/>
  <c r="F10" i="36"/>
  <c r="AA10" i="36" s="1"/>
  <c r="Q9" i="36"/>
  <c r="Z9" i="36" s="1"/>
  <c r="J9" i="36"/>
  <c r="AC9" i="36" s="1"/>
  <c r="H9" i="36"/>
  <c r="AB9" i="36"/>
  <c r="J8" i="36"/>
  <c r="H8" i="36"/>
  <c r="U8" i="36" s="1"/>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J34" i="35" s="1"/>
  <c r="B77" i="35"/>
  <c r="B75" i="35"/>
  <c r="J24" i="35"/>
  <c r="AC24" i="35" s="1"/>
  <c r="B73" i="35"/>
  <c r="H23" i="35"/>
  <c r="U23" i="35"/>
  <c r="B57" i="35"/>
  <c r="B61" i="35"/>
  <c r="B59" i="35"/>
  <c r="H12" i="35" s="1"/>
  <c r="U12" i="35" s="1"/>
  <c r="B131" i="34"/>
  <c r="B129" i="34"/>
  <c r="B127" i="34"/>
  <c r="B99" i="34"/>
  <c r="B97" i="34"/>
  <c r="B95" i="34"/>
  <c r="B93" i="34"/>
  <c r="B75" i="34"/>
  <c r="B73" i="34"/>
  <c r="B71" i="34"/>
  <c r="F12" i="34" s="1"/>
  <c r="B130" i="33"/>
  <c r="B128" i="33"/>
  <c r="B126" i="33"/>
  <c r="B98" i="33"/>
  <c r="B96" i="33"/>
  <c r="B94" i="33"/>
  <c r="B74" i="33"/>
  <c r="B72" i="33"/>
  <c r="B70" i="33"/>
  <c r="J12" i="33"/>
  <c r="D96" i="35"/>
  <c r="E96" i="35" s="1"/>
  <c r="F96" i="35" s="1"/>
  <c r="G96" i="35" s="1"/>
  <c r="D94" i="35"/>
  <c r="E94" i="35"/>
  <c r="F94" i="35" s="1"/>
  <c r="G94" i="35"/>
  <c r="H94" i="35" s="1"/>
  <c r="I94" i="35" s="1"/>
  <c r="J94" i="35" s="1"/>
  <c r="K94" i="35" s="1"/>
  <c r="L94" i="35" s="1"/>
  <c r="M94" i="35" s="1"/>
  <c r="D84" i="35"/>
  <c r="E84" i="35"/>
  <c r="F84" i="35" s="1"/>
  <c r="G84" i="35" s="1"/>
  <c r="H84" i="35" s="1"/>
  <c r="I84" i="35" s="1"/>
  <c r="J84" i="35"/>
  <c r="K84" i="35" s="1"/>
  <c r="L84" i="35" s="1"/>
  <c r="M84" i="35" s="1"/>
  <c r="D80" i="35"/>
  <c r="E80" i="35"/>
  <c r="F80" i="35" s="1"/>
  <c r="G80" i="35"/>
  <c r="H80" i="35" s="1"/>
  <c r="I80" i="35" s="1"/>
  <c r="J80" i="35" s="1"/>
  <c r="K80" i="35" s="1"/>
  <c r="L80" i="35" s="1"/>
  <c r="M80" i="35" s="1"/>
  <c r="D72" i="35"/>
  <c r="E72" i="35"/>
  <c r="F72" i="35" s="1"/>
  <c r="G72" i="35" s="1"/>
  <c r="D70" i="35"/>
  <c r="E70" i="35"/>
  <c r="F70" i="35" s="1"/>
  <c r="G70" i="35" s="1"/>
  <c r="D66" i="35"/>
  <c r="E66" i="35"/>
  <c r="F66" i="35"/>
  <c r="G66" i="35" s="1"/>
  <c r="D64" i="35"/>
  <c r="F56" i="35"/>
  <c r="G56" i="35" s="1"/>
  <c r="H56" i="35" s="1"/>
  <c r="I56" i="35"/>
  <c r="C53" i="35"/>
  <c r="P39" i="35"/>
  <c r="P38" i="35"/>
  <c r="V37" i="35"/>
  <c r="T37" i="35"/>
  <c r="R37" i="35"/>
  <c r="P37" i="35"/>
  <c r="Q36" i="35"/>
  <c r="Z36" i="35" s="1"/>
  <c r="Q35" i="35"/>
  <c r="Z35" i="35"/>
  <c r="Q34" i="35"/>
  <c r="Z34" i="35"/>
  <c r="Q33" i="35"/>
  <c r="Z33" i="35"/>
  <c r="Q32" i="35"/>
  <c r="Z32" i="35"/>
  <c r="H32" i="35"/>
  <c r="AB32" i="35"/>
  <c r="F32" i="35"/>
  <c r="AA32" i="35"/>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J23" i="35"/>
  <c r="AC23" i="35" s="1"/>
  <c r="Q22" i="35"/>
  <c r="Z22" i="35"/>
  <c r="Q20" i="35"/>
  <c r="Z20" i="35" s="1"/>
  <c r="Q16" i="35"/>
  <c r="Z16" i="35"/>
  <c r="Q14" i="35"/>
  <c r="Z14" i="35" s="1"/>
  <c r="Q13" i="35"/>
  <c r="Z13" i="35" s="1"/>
  <c r="Q12" i="35"/>
  <c r="Z12" i="35" s="1"/>
  <c r="J12" i="35"/>
  <c r="W12" i="35"/>
  <c r="F12" i="35"/>
  <c r="S12" i="35" s="1"/>
  <c r="Q11" i="35"/>
  <c r="Z11" i="35" s="1"/>
  <c r="Q10" i="35"/>
  <c r="Z10" i="35"/>
  <c r="Q9" i="35"/>
  <c r="Z9" i="35" s="1"/>
  <c r="J8" i="35"/>
  <c r="W8" i="35" s="1"/>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c r="L124" i="34" s="1"/>
  <c r="M124" i="34" s="1"/>
  <c r="H43" i="34"/>
  <c r="AB43" i="34"/>
  <c r="D118" i="34"/>
  <c r="E118" i="34" s="1"/>
  <c r="F118" i="34" s="1"/>
  <c r="G118" i="34" s="1"/>
  <c r="D116" i="34"/>
  <c r="E116" i="34"/>
  <c r="F116" i="34" s="1"/>
  <c r="G116" i="34" s="1"/>
  <c r="H116" i="34"/>
  <c r="I116" i="34" s="1"/>
  <c r="J116" i="34" s="1"/>
  <c r="K116" i="34" s="1"/>
  <c r="L116" i="34" s="1"/>
  <c r="M116" i="34" s="1"/>
  <c r="F110" i="34"/>
  <c r="E110" i="34"/>
  <c r="D110" i="34"/>
  <c r="C110" i="34"/>
  <c r="D109" i="34"/>
  <c r="E109" i="34"/>
  <c r="F109" i="34"/>
  <c r="G109" i="34"/>
  <c r="H109" i="34" s="1"/>
  <c r="I109" i="34" s="1"/>
  <c r="J109" i="34" s="1"/>
  <c r="K109" i="34" s="1"/>
  <c r="L109" i="34" s="1"/>
  <c r="M109" i="34"/>
  <c r="D107" i="34"/>
  <c r="E107" i="34" s="1"/>
  <c r="F107" i="34" s="1"/>
  <c r="G107" i="34" s="1"/>
  <c r="H107" i="34"/>
  <c r="I107" i="34" s="1"/>
  <c r="J107" i="34" s="1"/>
  <c r="K107" i="34" s="1"/>
  <c r="L107" i="34" s="1"/>
  <c r="M107" i="34" s="1"/>
  <c r="F35" i="34"/>
  <c r="AA35" i="34"/>
  <c r="M103" i="34"/>
  <c r="L103" i="34"/>
  <c r="K103" i="34"/>
  <c r="J103" i="34"/>
  <c r="I103" i="34"/>
  <c r="H103" i="34"/>
  <c r="G103" i="34"/>
  <c r="F103" i="34"/>
  <c r="E103" i="34"/>
  <c r="D103" i="34"/>
  <c r="C103" i="34"/>
  <c r="D102" i="34"/>
  <c r="E102" i="34"/>
  <c r="F102" i="34"/>
  <c r="G102" i="34" s="1"/>
  <c r="H102" i="34" s="1"/>
  <c r="I102" i="34" s="1"/>
  <c r="J102" i="34" s="1"/>
  <c r="K102" i="34" s="1"/>
  <c r="L102" i="34"/>
  <c r="M102" i="34" s="1"/>
  <c r="D92" i="34"/>
  <c r="E92" i="34" s="1"/>
  <c r="F92" i="34"/>
  <c r="G92" i="34"/>
  <c r="H92" i="34" s="1"/>
  <c r="I92" i="34" s="1"/>
  <c r="J92" i="34" s="1"/>
  <c r="K92" i="34" s="1"/>
  <c r="L92" i="34"/>
  <c r="M92" i="34" s="1"/>
  <c r="B91" i="34"/>
  <c r="B89" i="34"/>
  <c r="J27" i="34"/>
  <c r="D88" i="34"/>
  <c r="E88" i="34"/>
  <c r="F88" i="34" s="1"/>
  <c r="G88" i="34" s="1"/>
  <c r="H88" i="34" s="1"/>
  <c r="I88" i="34"/>
  <c r="J88" i="34" s="1"/>
  <c r="K88" i="34" s="1"/>
  <c r="L88" i="34" s="1"/>
  <c r="M88" i="34" s="1"/>
  <c r="D86" i="34"/>
  <c r="E86" i="34" s="1"/>
  <c r="F86" i="34" s="1"/>
  <c r="G86" i="34" s="1"/>
  <c r="D82" i="34"/>
  <c r="E82" i="34"/>
  <c r="F82" i="34" s="1"/>
  <c r="G82" i="34" s="1"/>
  <c r="D80" i="34"/>
  <c r="E80" i="34"/>
  <c r="F80" i="34"/>
  <c r="G80" i="34" s="1"/>
  <c r="D78" i="34"/>
  <c r="E78" i="34"/>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c r="F34" i="34"/>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H12" i="34"/>
  <c r="Q11" i="34"/>
  <c r="Z11" i="34" s="1"/>
  <c r="Q10" i="34"/>
  <c r="Z10" i="34"/>
  <c r="F10" i="34"/>
  <c r="AA10" i="34" s="1"/>
  <c r="Q9" i="34"/>
  <c r="Z9" i="34"/>
  <c r="J9" i="34"/>
  <c r="F9" i="34"/>
  <c r="AA9" i="34"/>
  <c r="J8" i="34"/>
  <c r="AC8" i="34" s="1"/>
  <c r="H8" i="34"/>
  <c r="U8" i="34"/>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F81" i="33" s="1"/>
  <c r="D79" i="33"/>
  <c r="E79" i="33"/>
  <c r="D77" i="33"/>
  <c r="E77" i="33" s="1"/>
  <c r="F77" i="33" s="1"/>
  <c r="G77" i="33"/>
  <c r="D69" i="33"/>
  <c r="E69" i="33" s="1"/>
  <c r="F69" i="33" s="1"/>
  <c r="G69" i="33"/>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c r="Q11" i="33"/>
  <c r="Z11" i="33" s="1"/>
  <c r="Q10" i="33"/>
  <c r="Z10" i="33"/>
  <c r="Q9" i="33"/>
  <c r="Z9" i="33" s="1"/>
  <c r="H9" i="33"/>
  <c r="J8" i="33"/>
  <c r="AC8" i="33" s="1"/>
  <c r="H8" i="33"/>
  <c r="AB8" i="33"/>
  <c r="F8" i="33"/>
  <c r="M102" i="21"/>
  <c r="D102" i="21"/>
  <c r="E102" i="21"/>
  <c r="F102" i="21"/>
  <c r="G102" i="21"/>
  <c r="H102" i="21"/>
  <c r="I102" i="21"/>
  <c r="J102" i="21"/>
  <c r="K102" i="21"/>
  <c r="L102" i="21"/>
  <c r="C102" i="21"/>
  <c r="C63" i="21"/>
  <c r="F9" i="21" s="1"/>
  <c r="G18" i="20"/>
  <c r="B88" i="43"/>
  <c r="G19" i="20"/>
  <c r="B85" i="43" s="1"/>
  <c r="G16" i="20"/>
  <c r="B82" i="43"/>
  <c r="G15" i="20"/>
  <c r="B81" i="43" s="1"/>
  <c r="C24" i="20"/>
  <c r="B73" i="43"/>
  <c r="C21" i="20"/>
  <c r="B74" i="43" s="1"/>
  <c r="C20" i="20"/>
  <c r="B77" i="43"/>
  <c r="C18" i="20"/>
  <c r="B71" i="43" s="1"/>
  <c r="C17" i="20"/>
  <c r="B59" i="43"/>
  <c r="C16" i="20"/>
  <c r="C17" i="39" s="1"/>
  <c r="C15" i="20"/>
  <c r="B70" i="43"/>
  <c r="E54" i="21"/>
  <c r="F54" i="21" s="1"/>
  <c r="I54" i="21"/>
  <c r="J54" i="21"/>
  <c r="G54" i="21"/>
  <c r="H54" i="21" s="1"/>
  <c r="D125" i="21"/>
  <c r="E125" i="21"/>
  <c r="F125" i="21" s="1"/>
  <c r="G125" i="21" s="1"/>
  <c r="D123" i="21"/>
  <c r="E123" i="21"/>
  <c r="F123" i="21" s="1"/>
  <c r="G123" i="21" s="1"/>
  <c r="F42" i="21"/>
  <c r="AA42" i="21" s="1"/>
  <c r="D119" i="21"/>
  <c r="E119" i="21" s="1"/>
  <c r="F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c r="G110" i="21" s="1"/>
  <c r="H110" i="21" s="1"/>
  <c r="I110" i="21" s="1"/>
  <c r="J110" i="21" s="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s="1"/>
  <c r="E81" i="21"/>
  <c r="F81" i="21"/>
  <c r="G81" i="21" s="1"/>
  <c r="D77" i="21"/>
  <c r="E77" i="21" s="1"/>
  <c r="B130" i="21"/>
  <c r="J46" i="21" s="1"/>
  <c r="W46" i="21" s="1"/>
  <c r="B128" i="21"/>
  <c r="J45" i="21" s="1"/>
  <c r="W45" i="21" s="1"/>
  <c r="B126" i="21"/>
  <c r="B98" i="21"/>
  <c r="H31" i="21" s="1"/>
  <c r="B96" i="21"/>
  <c r="B94" i="21"/>
  <c r="J29" i="21" s="1"/>
  <c r="AC29" i="21" s="1"/>
  <c r="B92" i="21"/>
  <c r="B90" i="21"/>
  <c r="B74" i="21"/>
  <c r="B72" i="2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J40" i="21"/>
  <c r="W40" i="21" s="1"/>
  <c r="H35" i="21"/>
  <c r="AB35" i="21" s="1"/>
  <c r="J8" i="21"/>
  <c r="AC8" i="21" s="1"/>
  <c r="H8" i="21"/>
  <c r="U8" i="21" s="1"/>
  <c r="H10" i="21"/>
  <c r="AB10" i="21" s="1"/>
  <c r="H39" i="21"/>
  <c r="U39" i="21" s="1"/>
  <c r="J34" i="21"/>
  <c r="W34" i="21" s="1"/>
  <c r="H36" i="21"/>
  <c r="F35" i="21"/>
  <c r="AA35" i="21" s="1"/>
  <c r="J10" i="21"/>
  <c r="AC10" i="21" s="1"/>
  <c r="H26" i="21"/>
  <c r="AB26" i="21" s="1"/>
  <c r="AB19" i="21"/>
  <c r="J19" i="21"/>
  <c r="W19" i="21" s="1"/>
  <c r="J12" i="21"/>
  <c r="AC12" i="21"/>
  <c r="H12" i="21"/>
  <c r="AB12" i="21" s="1"/>
  <c r="J26" i="21"/>
  <c r="W26" i="21"/>
  <c r="F26" i="21"/>
  <c r="S26" i="21" s="1"/>
  <c r="AB41" i="21"/>
  <c r="S41" i="21"/>
  <c r="AA41" i="21"/>
  <c r="F45" i="39"/>
  <c r="S45" i="39" s="1"/>
  <c r="J45" i="39"/>
  <c r="W45" i="39" s="1"/>
  <c r="J44" i="39"/>
  <c r="AC44" i="39" s="1"/>
  <c r="F36" i="39"/>
  <c r="H36" i="39"/>
  <c r="AB36" i="39" s="1"/>
  <c r="J35" i="39"/>
  <c r="F35" i="39"/>
  <c r="AA35" i="39" s="1"/>
  <c r="J36" i="39"/>
  <c r="AC36" i="39" s="1"/>
  <c r="U9" i="39"/>
  <c r="W40" i="39"/>
  <c r="W25" i="37"/>
  <c r="U30" i="37"/>
  <c r="W31" i="37"/>
  <c r="F103" i="37"/>
  <c r="G103" i="37" s="1"/>
  <c r="H103" i="37" s="1"/>
  <c r="I103" i="37" s="1"/>
  <c r="J103" i="37" s="1"/>
  <c r="K103" i="37" s="1"/>
  <c r="L103" i="37" s="1"/>
  <c r="M103" i="37" s="1"/>
  <c r="F39" i="37"/>
  <c r="F29" i="36"/>
  <c r="AA29" i="36"/>
  <c r="F16" i="36"/>
  <c r="AA16" i="36" s="1"/>
  <c r="U9" i="36"/>
  <c r="W28" i="36"/>
  <c r="S30" i="36"/>
  <c r="AA31" i="36"/>
  <c r="AC31" i="36"/>
  <c r="W31" i="36"/>
  <c r="U31" i="36"/>
  <c r="J33" i="36"/>
  <c r="W33" i="36"/>
  <c r="H22" i="35"/>
  <c r="AB22" i="35" s="1"/>
  <c r="W28" i="35"/>
  <c r="S31" i="35"/>
  <c r="F36" i="34"/>
  <c r="J35" i="34"/>
  <c r="U34" i="34"/>
  <c r="H39" i="33"/>
  <c r="AB39" i="33" s="1"/>
  <c r="F26" i="33"/>
  <c r="AA26" i="33"/>
  <c r="U33" i="33"/>
  <c r="U35" i="33"/>
  <c r="S40" i="33"/>
  <c r="W39" i="33"/>
  <c r="H39" i="37"/>
  <c r="AB39" i="37"/>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J17" i="39"/>
  <c r="J27" i="39"/>
  <c r="AC27" i="39" s="1"/>
  <c r="F27" i="39"/>
  <c r="F11" i="21"/>
  <c r="S11" i="21" s="1"/>
  <c r="S34" i="21"/>
  <c r="C25" i="39"/>
  <c r="C21" i="39"/>
  <c r="H11" i="39"/>
  <c r="S40" i="39"/>
  <c r="C15" i="39"/>
  <c r="H32" i="33"/>
  <c r="AB32" i="33" s="1"/>
  <c r="H11" i="21"/>
  <c r="U11" i="21" s="1"/>
  <c r="J11" i="21"/>
  <c r="W11" i="21" s="1"/>
  <c r="H37" i="40"/>
  <c r="U37" i="40" s="1"/>
  <c r="H36" i="40"/>
  <c r="F35" i="40"/>
  <c r="AA35" i="40" s="1"/>
  <c r="H23" i="40"/>
  <c r="H17" i="40"/>
  <c r="U17" i="40" s="1"/>
  <c r="J15" i="40"/>
  <c r="W15" i="40" s="1"/>
  <c r="J11" i="40"/>
  <c r="W11" i="40" s="1"/>
  <c r="AB8" i="39"/>
  <c r="AB12" i="33"/>
  <c r="AB12" i="35"/>
  <c r="AB12" i="36"/>
  <c r="W32" i="40"/>
  <c r="S44" i="39"/>
  <c r="F37" i="39"/>
  <c r="AA37" i="39" s="1"/>
  <c r="J34" i="36"/>
  <c r="W34" i="36" s="1"/>
  <c r="U30" i="36"/>
  <c r="J30" i="35"/>
  <c r="W30" i="35" s="1"/>
  <c r="H30" i="35"/>
  <c r="AB30" i="35"/>
  <c r="F22" i="35"/>
  <c r="AA22" i="35" s="1"/>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S10" i="36"/>
  <c r="AB8" i="36"/>
  <c r="S8" i="36"/>
  <c r="F23" i="35"/>
  <c r="AA23" i="35" s="1"/>
  <c r="J32" i="35"/>
  <c r="AC32" i="35"/>
  <c r="J16" i="35"/>
  <c r="AC16" i="35" s="1"/>
  <c r="H16" i="35"/>
  <c r="U16" i="35"/>
  <c r="F16" i="35"/>
  <c r="S16" i="35" s="1"/>
  <c r="H33" i="35"/>
  <c r="AB33" i="35" s="1"/>
  <c r="J20" i="35"/>
  <c r="W20" i="35" s="1"/>
  <c r="F35" i="37"/>
  <c r="S35" i="37"/>
  <c r="E101" i="37"/>
  <c r="F101" i="37" s="1"/>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s="1"/>
  <c r="F37" i="34"/>
  <c r="AA37" i="34"/>
  <c r="S35" i="34"/>
  <c r="F28" i="34"/>
  <c r="AA28" i="34" s="1"/>
  <c r="F27" i="34"/>
  <c r="F25" i="34"/>
  <c r="S25" i="34" s="1"/>
  <c r="H23" i="34"/>
  <c r="J23" i="34"/>
  <c r="F19" i="34"/>
  <c r="H17" i="34"/>
  <c r="U17" i="34" s="1"/>
  <c r="F15" i="34"/>
  <c r="J15" i="34"/>
  <c r="H15" i="34"/>
  <c r="S9" i="34"/>
  <c r="W8" i="34"/>
  <c r="J28" i="34"/>
  <c r="W28" i="34" s="1"/>
  <c r="F41" i="33"/>
  <c r="AA41" i="33" s="1"/>
  <c r="S38" i="33"/>
  <c r="E113" i="33"/>
  <c r="F32" i="33"/>
  <c r="AA32" i="33" s="1"/>
  <c r="J19" i="33"/>
  <c r="AC19" i="33" s="1"/>
  <c r="J15" i="33"/>
  <c r="AC15" i="33" s="1"/>
  <c r="F11" i="33"/>
  <c r="AA11" i="33" s="1"/>
  <c r="S26" i="33"/>
  <c r="U40" i="33"/>
  <c r="W40" i="33"/>
  <c r="U8" i="33"/>
  <c r="F37" i="40"/>
  <c r="AA37" i="40"/>
  <c r="F36" i="40"/>
  <c r="AA36" i="40" s="1"/>
  <c r="H28" i="40"/>
  <c r="U28" i="40"/>
  <c r="F23" i="40"/>
  <c r="AA23" i="40" s="1"/>
  <c r="F17" i="40"/>
  <c r="AA17" i="40"/>
  <c r="J17" i="40"/>
  <c r="W17" i="40" s="1"/>
  <c r="F15" i="40"/>
  <c r="S15" i="40"/>
  <c r="H15" i="40"/>
  <c r="AB15" i="40" s="1"/>
  <c r="AC11" i="40"/>
  <c r="S12" i="36"/>
  <c r="AA12" i="36"/>
  <c r="AB30" i="36"/>
  <c r="AC34" i="36"/>
  <c r="U30" i="35"/>
  <c r="U33" i="35"/>
  <c r="H33" i="37"/>
  <c r="AB33" i="37" s="1"/>
  <c r="F33" i="37"/>
  <c r="AA33" i="37" s="1"/>
  <c r="U34" i="37"/>
  <c r="W33" i="37"/>
  <c r="S34" i="37"/>
  <c r="AA34" i="37"/>
  <c r="J43" i="34"/>
  <c r="AB42" i="34"/>
  <c r="J40" i="34"/>
  <c r="H38" i="34"/>
  <c r="AB38" i="34" s="1"/>
  <c r="J36" i="34"/>
  <c r="W36" i="34"/>
  <c r="H37" i="34"/>
  <c r="U37" i="34" s="1"/>
  <c r="H25" i="34"/>
  <c r="AB25" i="34"/>
  <c r="J25" i="34"/>
  <c r="AC25" i="34" s="1"/>
  <c r="F23" i="34"/>
  <c r="AA23" i="34" s="1"/>
  <c r="J19" i="34"/>
  <c r="AC19" i="34" s="1"/>
  <c r="F17" i="34"/>
  <c r="AA17" i="34" s="1"/>
  <c r="J17" i="34"/>
  <c r="W17" i="34" s="1"/>
  <c r="AB17" i="34"/>
  <c r="AA15" i="34"/>
  <c r="S15" i="34"/>
  <c r="F113" i="33"/>
  <c r="G113" i="33" s="1"/>
  <c r="H113" i="33" s="1"/>
  <c r="I113" i="33" s="1"/>
  <c r="J113" i="33"/>
  <c r="K113" i="33" s="1"/>
  <c r="L113" i="33" s="1"/>
  <c r="M113" i="33" s="1"/>
  <c r="H37" i="33"/>
  <c r="AB37" i="33" s="1"/>
  <c r="H15" i="33"/>
  <c r="AB15" i="33" s="1"/>
  <c r="H11" i="33"/>
  <c r="AB11" i="33" s="1"/>
  <c r="F28" i="40"/>
  <c r="AA28" i="40" s="1"/>
  <c r="AA42" i="34"/>
  <c r="S42" i="34"/>
  <c r="AC38" i="34"/>
  <c r="AA38" i="34"/>
  <c r="J37" i="34"/>
  <c r="AC37" i="34" s="1"/>
  <c r="J11" i="33"/>
  <c r="W11" i="33"/>
  <c r="S28" i="34"/>
  <c r="H123" i="21"/>
  <c r="I123" i="21" s="1"/>
  <c r="J123" i="21" s="1"/>
  <c r="K123" i="21" s="1"/>
  <c r="L123" i="21" s="1"/>
  <c r="M123" i="21" s="1"/>
  <c r="J42" i="21"/>
  <c r="AC42" i="21" s="1"/>
  <c r="H42" i="21"/>
  <c r="U42" i="21" s="1"/>
  <c r="J44" i="34"/>
  <c r="F44" i="34"/>
  <c r="AA44" i="34"/>
  <c r="J10" i="35"/>
  <c r="W10" i="35" s="1"/>
  <c r="J14" i="21"/>
  <c r="W14" i="21" s="1"/>
  <c r="F14" i="21"/>
  <c r="S14" i="21" s="1"/>
  <c r="H14" i="21"/>
  <c r="U14" i="21"/>
  <c r="H28" i="21"/>
  <c r="AB28" i="21" s="1"/>
  <c r="F28" i="21"/>
  <c r="AA28" i="21" s="1"/>
  <c r="J28" i="21"/>
  <c r="W28" i="21" s="1"/>
  <c r="H30" i="21"/>
  <c r="AB30" i="21" s="1"/>
  <c r="U30" i="21"/>
  <c r="F30" i="21"/>
  <c r="S30" i="21" s="1"/>
  <c r="J30" i="21"/>
  <c r="H44" i="21"/>
  <c r="U44" i="21" s="1"/>
  <c r="H46" i="21"/>
  <c r="U46" i="21" s="1"/>
  <c r="F46" i="21"/>
  <c r="AA46" i="21" s="1"/>
  <c r="G119" i="21"/>
  <c r="H119" i="21" s="1"/>
  <c r="I119" i="21" s="1"/>
  <c r="J119" i="21" s="1"/>
  <c r="K119" i="21" s="1"/>
  <c r="L119" i="21" s="1"/>
  <c r="M119" i="21" s="1"/>
  <c r="H26" i="33"/>
  <c r="U26" i="33"/>
  <c r="H28" i="33"/>
  <c r="U28" i="33" s="1"/>
  <c r="F28" i="33"/>
  <c r="AA28" i="33"/>
  <c r="J28" i="33"/>
  <c r="W28" i="33" s="1"/>
  <c r="F33" i="35"/>
  <c r="S33" i="35"/>
  <c r="J33" i="35"/>
  <c r="F30" i="35"/>
  <c r="S30" i="35"/>
  <c r="E89" i="35"/>
  <c r="F89" i="35" s="1"/>
  <c r="G89" i="35" s="1"/>
  <c r="H89" i="35"/>
  <c r="I89" i="35" s="1"/>
  <c r="J89" i="35" s="1"/>
  <c r="K89" i="35" s="1"/>
  <c r="L89" i="35" s="1"/>
  <c r="M89" i="35" s="1"/>
  <c r="H10" i="36"/>
  <c r="AB10" i="36" s="1"/>
  <c r="J14" i="36"/>
  <c r="AC14" i="36"/>
  <c r="H14" i="36"/>
  <c r="U14" i="36" s="1"/>
  <c r="F28" i="36"/>
  <c r="AA28" i="36" s="1"/>
  <c r="H27" i="21"/>
  <c r="AB27" i="21" s="1"/>
  <c r="H29" i="21"/>
  <c r="J31" i="21"/>
  <c r="AC31" i="21" s="1"/>
  <c r="F31" i="21"/>
  <c r="S31" i="21"/>
  <c r="F45" i="21"/>
  <c r="AA45" i="21" s="1"/>
  <c r="J13" i="33"/>
  <c r="H13" i="33"/>
  <c r="AB13" i="33"/>
  <c r="F13" i="33"/>
  <c r="S13" i="33" s="1"/>
  <c r="J29" i="33"/>
  <c r="AC29" i="33"/>
  <c r="H29" i="33"/>
  <c r="U29" i="33" s="1"/>
  <c r="F29" i="33"/>
  <c r="S29" i="33"/>
  <c r="J31" i="33"/>
  <c r="W31" i="33" s="1"/>
  <c r="H31" i="33"/>
  <c r="F31" i="33"/>
  <c r="H45" i="33"/>
  <c r="J45" i="33"/>
  <c r="W45" i="33"/>
  <c r="F45" i="33"/>
  <c r="AA45" i="33" s="1"/>
  <c r="J14" i="34"/>
  <c r="W14" i="34"/>
  <c r="F14" i="34"/>
  <c r="S14" i="34" s="1"/>
  <c r="H14" i="34"/>
  <c r="H30" i="34"/>
  <c r="F30" i="34"/>
  <c r="S30" i="34" s="1"/>
  <c r="J30" i="34"/>
  <c r="W30" i="34"/>
  <c r="H32" i="34"/>
  <c r="F32" i="34"/>
  <c r="J32" i="34"/>
  <c r="W32" i="34"/>
  <c r="H46" i="34"/>
  <c r="F46" i="34"/>
  <c r="J46" i="34"/>
  <c r="H11" i="35"/>
  <c r="J11" i="35"/>
  <c r="AC11" i="35"/>
  <c r="F11" i="35"/>
  <c r="S11" i="35" s="1"/>
  <c r="J26" i="36"/>
  <c r="W26" i="36"/>
  <c r="H28" i="36"/>
  <c r="U28" i="36" s="1"/>
  <c r="H32" i="36"/>
  <c r="AB32" i="36"/>
  <c r="J32" i="36"/>
  <c r="H11" i="36"/>
  <c r="U11" i="36" s="1"/>
  <c r="H13" i="36"/>
  <c r="J13" i="36"/>
  <c r="F13" i="36"/>
  <c r="S13" i="36" s="1"/>
  <c r="E89" i="37"/>
  <c r="F89" i="37" s="1"/>
  <c r="G89" i="37" s="1"/>
  <c r="H89" i="37" s="1"/>
  <c r="I89" i="37" s="1"/>
  <c r="J89" i="37" s="1"/>
  <c r="K89" i="37" s="1"/>
  <c r="L89" i="37"/>
  <c r="M89" i="37" s="1"/>
  <c r="J29" i="37"/>
  <c r="W29" i="37"/>
  <c r="F29" i="37"/>
  <c r="S29" i="37" s="1"/>
  <c r="F105" i="37"/>
  <c r="H36" i="37"/>
  <c r="AB36" i="37"/>
  <c r="F107" i="37"/>
  <c r="J37" i="37"/>
  <c r="AC37" i="37"/>
  <c r="H37" i="37"/>
  <c r="U37" i="37" s="1"/>
  <c r="J40" i="37"/>
  <c r="AC12" i="40"/>
  <c r="W12" i="40"/>
  <c r="H30" i="33"/>
  <c r="AB30" i="33" s="1"/>
  <c r="F30" i="33"/>
  <c r="J30" i="33"/>
  <c r="J46" i="33"/>
  <c r="AC46" i="33"/>
  <c r="F46" i="33"/>
  <c r="AA46" i="33"/>
  <c r="H46" i="33"/>
  <c r="AB46" i="33"/>
  <c r="J13" i="34"/>
  <c r="J29" i="34"/>
  <c r="F29" i="34"/>
  <c r="H29" i="34"/>
  <c r="AB29" i="34"/>
  <c r="H31" i="34"/>
  <c r="H45" i="34"/>
  <c r="U45" i="34"/>
  <c r="J45" i="34"/>
  <c r="W45" i="34" s="1"/>
  <c r="F45" i="34"/>
  <c r="S45" i="34" s="1"/>
  <c r="H47" i="34"/>
  <c r="U47" i="34" s="1"/>
  <c r="F13" i="35"/>
  <c r="J13" i="35"/>
  <c r="AC13" i="35" s="1"/>
  <c r="H13" i="35"/>
  <c r="U13" i="35"/>
  <c r="J25" i="35"/>
  <c r="W25" i="35" s="1"/>
  <c r="F25" i="35"/>
  <c r="S25" i="35" s="1"/>
  <c r="H25" i="35"/>
  <c r="AB25" i="35" s="1"/>
  <c r="J35" i="35"/>
  <c r="AC35" i="35"/>
  <c r="F35" i="35"/>
  <c r="AA35" i="35" s="1"/>
  <c r="H35" i="35"/>
  <c r="J25" i="36"/>
  <c r="W25" i="36" s="1"/>
  <c r="F25" i="36"/>
  <c r="S25" i="36"/>
  <c r="H25" i="36"/>
  <c r="AB25" i="36" s="1"/>
  <c r="H13" i="37"/>
  <c r="AB13" i="37" s="1"/>
  <c r="F13" i="37"/>
  <c r="J13" i="37"/>
  <c r="W13" i="37"/>
  <c r="F28" i="37"/>
  <c r="AA28" i="37" s="1"/>
  <c r="J28" i="37"/>
  <c r="H28" i="37"/>
  <c r="U28" i="37" s="1"/>
  <c r="H38" i="37"/>
  <c r="AB38" i="37"/>
  <c r="J38" i="37"/>
  <c r="AC38" i="37" s="1"/>
  <c r="F38" i="37"/>
  <c r="S38" i="37" s="1"/>
  <c r="F43" i="39"/>
  <c r="H43" i="39"/>
  <c r="J14" i="39"/>
  <c r="AC14" i="39" s="1"/>
  <c r="F14" i="39"/>
  <c r="H14" i="39"/>
  <c r="AB14" i="39"/>
  <c r="F12" i="40"/>
  <c r="AA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J14" i="37"/>
  <c r="AC14" i="37" s="1"/>
  <c r="J27" i="37"/>
  <c r="AC27" i="37"/>
  <c r="U46" i="33"/>
  <c r="J36" i="37"/>
  <c r="AC36" i="37"/>
  <c r="G105" i="37"/>
  <c r="AB11" i="36"/>
  <c r="J10" i="36"/>
  <c r="AC10" i="36"/>
  <c r="AB26" i="33"/>
  <c r="AA14" i="37"/>
  <c r="AC13" i="36"/>
  <c r="W13" i="36"/>
  <c r="W11" i="35"/>
  <c r="AC30" i="34"/>
  <c r="AA14" i="34"/>
  <c r="AB31" i="33"/>
  <c r="U31" i="33"/>
  <c r="W29" i="33"/>
  <c r="U13" i="33"/>
  <c r="AC28" i="21"/>
  <c r="S44" i="34"/>
  <c r="BA586" i="3"/>
  <c r="AZ586" i="3" s="1"/>
  <c r="F17" i="21"/>
  <c r="AA17" i="21"/>
  <c r="H17" i="21"/>
  <c r="AB17" i="21" s="1"/>
  <c r="F15" i="21"/>
  <c r="AB11" i="2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0" i="3"/>
  <c r="BL576" i="3"/>
  <c r="BL572" i="3"/>
  <c r="BL564" i="3"/>
  <c r="BL560" i="3"/>
  <c r="BL554" i="3"/>
  <c r="BL546" i="3"/>
  <c r="BL542" i="3"/>
  <c r="BL538" i="3"/>
  <c r="BL534" i="3"/>
  <c r="BL530" i="3"/>
  <c r="BL526" i="3"/>
  <c r="AZ526" i="3" s="1"/>
  <c r="BL522" i="3"/>
  <c r="BL516" i="3"/>
  <c r="AZ516" i="3" s="1"/>
  <c r="BL512" i="3"/>
  <c r="BL506" i="3"/>
  <c r="BL502" i="3"/>
  <c r="BL498" i="3"/>
  <c r="BL494" i="3"/>
  <c r="BL582" i="3"/>
  <c r="BL578" i="3"/>
  <c r="BL574"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78" i="3"/>
  <c r="AZ578" i="3"/>
  <c r="BA574" i="3"/>
  <c r="AZ574" i="3" s="1"/>
  <c r="BA570" i="3"/>
  <c r="BA566" i="3"/>
  <c r="AZ566" i="3" s="1"/>
  <c r="BA562" i="3"/>
  <c r="AZ562" i="3"/>
  <c r="BA558" i="3"/>
  <c r="AZ558" i="3"/>
  <c r="BA556" i="3"/>
  <c r="AZ556" i="3" s="1"/>
  <c r="BA554" i="3"/>
  <c r="AZ554" i="3" s="1"/>
  <c r="BA552" i="3"/>
  <c r="AZ552" i="3" s="1"/>
  <c r="BA548" i="3"/>
  <c r="BA546" i="3"/>
  <c r="BA544" i="3"/>
  <c r="BA542" i="3"/>
  <c r="AZ542" i="3" s="1"/>
  <c r="BA540" i="3"/>
  <c r="BA538" i="3"/>
  <c r="AZ538" i="3"/>
  <c r="BA536" i="3"/>
  <c r="AZ536" i="3" s="1"/>
  <c r="BA534" i="3"/>
  <c r="AZ534" i="3" s="1"/>
  <c r="BA532" i="3"/>
  <c r="AZ532" i="3" s="1"/>
  <c r="BA530" i="3"/>
  <c r="BA528" i="3"/>
  <c r="AZ528" i="3" s="1"/>
  <c r="BA526" i="3"/>
  <c r="BA524" i="3"/>
  <c r="AZ524" i="3" s="1"/>
  <c r="BA522" i="3"/>
  <c r="BA520" i="3"/>
  <c r="BA518" i="3"/>
  <c r="BA516" i="3"/>
  <c r="BA514" i="3"/>
  <c r="AZ514" i="3" s="1"/>
  <c r="BA512" i="3"/>
  <c r="AZ512" i="3" s="1"/>
  <c r="BA510" i="3"/>
  <c r="AZ510" i="3" s="1"/>
  <c r="BA508" i="3"/>
  <c r="AZ508" i="3" s="1"/>
  <c r="BA506" i="3"/>
  <c r="BA504" i="3"/>
  <c r="AZ504" i="3" s="1"/>
  <c r="BA502" i="3"/>
  <c r="BA500" i="3"/>
  <c r="BA498" i="3"/>
  <c r="AZ498" i="3" s="1"/>
  <c r="BA496" i="3"/>
  <c r="AZ496" i="3" s="1"/>
  <c r="BA494" i="3"/>
  <c r="BA587" i="3"/>
  <c r="BA583" i="3"/>
  <c r="AZ583" i="3" s="1"/>
  <c r="BA579" i="3"/>
  <c r="BA577" i="3"/>
  <c r="BA573" i="3"/>
  <c r="AZ573" i="3" s="1"/>
  <c r="BA571" i="3"/>
  <c r="BA569" i="3"/>
  <c r="BA565" i="3"/>
  <c r="BA563" i="3"/>
  <c r="BA561" i="3"/>
  <c r="BA555" i="3"/>
  <c r="AZ555" i="3" s="1"/>
  <c r="BA553" i="3"/>
  <c r="BA549" i="3"/>
  <c r="AZ549" i="3" s="1"/>
  <c r="BA547" i="3"/>
  <c r="BA545" i="3"/>
  <c r="AZ545" i="3" s="1"/>
  <c r="BA543" i="3"/>
  <c r="BA541" i="3"/>
  <c r="AZ541" i="3" s="1"/>
  <c r="BA539" i="3"/>
  <c r="BA537" i="3"/>
  <c r="AZ537" i="3" s="1"/>
  <c r="BA535" i="3"/>
  <c r="BA533" i="3"/>
  <c r="AZ533" i="3" s="1"/>
  <c r="BA531" i="3"/>
  <c r="BA529" i="3"/>
  <c r="AZ529" i="3" s="1"/>
  <c r="BA527" i="3"/>
  <c r="BA525" i="3"/>
  <c r="BA523" i="3"/>
  <c r="BA519" i="3"/>
  <c r="BA517" i="3"/>
  <c r="BA515" i="3"/>
  <c r="BA513" i="3"/>
  <c r="BA511" i="3"/>
  <c r="BA507" i="3"/>
  <c r="BA505" i="3"/>
  <c r="AZ505" i="3" s="1"/>
  <c r="BA503" i="3"/>
  <c r="BA501" i="3"/>
  <c r="BA499" i="3"/>
  <c r="BA497" i="3"/>
  <c r="AZ497" i="3" s="1"/>
  <c r="BA495" i="3"/>
  <c r="BA493" i="3"/>
  <c r="AZ493" i="3" s="1"/>
  <c r="G583" i="3"/>
  <c r="G581" i="3"/>
  <c r="G579" i="3"/>
  <c r="G577" i="3"/>
  <c r="G575" i="3"/>
  <c r="G573" i="3"/>
  <c r="G571" i="3"/>
  <c r="G569" i="3"/>
  <c r="G567" i="3"/>
  <c r="G563" i="3"/>
  <c r="G561" i="3"/>
  <c r="BL558" i="3"/>
  <c r="BA557" i="3"/>
  <c r="AC557" i="3"/>
  <c r="G557" i="3" s="1"/>
  <c r="BQ557" i="3"/>
  <c r="BL557" i="3"/>
  <c r="AZ557" i="3" s="1"/>
  <c r="BQ583" i="3"/>
  <c r="BL583" i="3" s="1"/>
  <c r="BQ581" i="3"/>
  <c r="BL581" i="3" s="1"/>
  <c r="BQ579" i="3"/>
  <c r="BQ577" i="3"/>
  <c r="BL577" i="3" s="1"/>
  <c r="BQ575" i="3"/>
  <c r="BL575" i="3" s="1"/>
  <c r="BQ573" i="3"/>
  <c r="BL573" i="3"/>
  <c r="BQ571" i="3"/>
  <c r="BQ569" i="3"/>
  <c r="BL569" i="3" s="1"/>
  <c r="BQ567" i="3"/>
  <c r="BL567" i="3" s="1"/>
  <c r="BQ565" i="3"/>
  <c r="BL565" i="3"/>
  <c r="BQ563" i="3"/>
  <c r="BQ561" i="3"/>
  <c r="BL561" i="3"/>
  <c r="AZ561" i="3" s="1"/>
  <c r="BQ559" i="3"/>
  <c r="BL559" i="3"/>
  <c r="G559" i="3"/>
  <c r="G555" i="3"/>
  <c r="G553" i="3"/>
  <c r="G549" i="3"/>
  <c r="G547" i="3"/>
  <c r="G545" i="3"/>
  <c r="G543" i="3"/>
  <c r="G541" i="3"/>
  <c r="G539" i="3"/>
  <c r="G537" i="3"/>
  <c r="BQ555" i="3"/>
  <c r="BL555" i="3"/>
  <c r="BQ553" i="3"/>
  <c r="BL553" i="3"/>
  <c r="AZ553" i="3"/>
  <c r="BQ551" i="3"/>
  <c r="BL551" i="3" s="1"/>
  <c r="BQ549" i="3"/>
  <c r="BQ547" i="3"/>
  <c r="BL547" i="3"/>
  <c r="AZ547" i="3" s="1"/>
  <c r="BQ545" i="3"/>
  <c r="BL545" i="3"/>
  <c r="BQ543" i="3"/>
  <c r="BL543" i="3"/>
  <c r="AZ543" i="3"/>
  <c r="BQ541" i="3"/>
  <c r="BL541" i="3" s="1"/>
  <c r="BQ539" i="3"/>
  <c r="BL539" i="3"/>
  <c r="AZ539" i="3" s="1"/>
  <c r="BQ537" i="3"/>
  <c r="BL537" i="3"/>
  <c r="BQ535" i="3"/>
  <c r="BL535" i="3"/>
  <c r="AZ535" i="3"/>
  <c r="BQ533" i="3"/>
  <c r="BL533" i="3" s="1"/>
  <c r="BQ531" i="3"/>
  <c r="BL531" i="3"/>
  <c r="AZ531" i="3" s="1"/>
  <c r="BQ529" i="3"/>
  <c r="BL529" i="3"/>
  <c r="BQ527" i="3"/>
  <c r="BL527" i="3"/>
  <c r="AZ527" i="3"/>
  <c r="BQ525" i="3"/>
  <c r="BL525" i="3" s="1"/>
  <c r="AZ525" i="3"/>
  <c r="BQ523" i="3"/>
  <c r="BL523" i="3"/>
  <c r="AZ523" i="3" s="1"/>
  <c r="BA521" i="3"/>
  <c r="AC521" i="3"/>
  <c r="G521" i="3" s="1"/>
  <c r="BQ521" i="3"/>
  <c r="BL521" i="3" s="1"/>
  <c r="AZ521" i="3" s="1"/>
  <c r="BL520" i="3"/>
  <c r="G519" i="3"/>
  <c r="G517" i="3"/>
  <c r="G515" i="3"/>
  <c r="G513" i="3"/>
  <c r="G511" i="3"/>
  <c r="BQ519" i="3"/>
  <c r="BL519" i="3" s="1"/>
  <c r="BQ517" i="3"/>
  <c r="BL517" i="3" s="1"/>
  <c r="AZ517" i="3" s="1"/>
  <c r="BQ515" i="3"/>
  <c r="BL515" i="3"/>
  <c r="BQ513" i="3"/>
  <c r="BL513" i="3" s="1"/>
  <c r="AZ513" i="3" s="1"/>
  <c r="BQ511" i="3"/>
  <c r="BL511" i="3" s="1"/>
  <c r="BA509" i="3"/>
  <c r="AC509" i="3"/>
  <c r="BQ509" i="3"/>
  <c r="BL509" i="3" s="1"/>
  <c r="AZ509" i="3" s="1"/>
  <c r="BL508" i="3"/>
  <c r="G507" i="3"/>
  <c r="G505" i="3"/>
  <c r="G503" i="3"/>
  <c r="G501" i="3"/>
  <c r="G499" i="3"/>
  <c r="G497" i="3"/>
  <c r="G495" i="3"/>
  <c r="BQ507" i="3"/>
  <c r="BL507" i="3" s="1"/>
  <c r="BQ505" i="3"/>
  <c r="BL505" i="3" s="1"/>
  <c r="BQ503" i="3"/>
  <c r="BL503" i="3"/>
  <c r="AZ503" i="3" s="1"/>
  <c r="BQ501" i="3"/>
  <c r="BL501" i="3" s="1"/>
  <c r="BQ499" i="3"/>
  <c r="BL499" i="3"/>
  <c r="AZ499" i="3" s="1"/>
  <c r="BQ497" i="3"/>
  <c r="BL497" i="3" s="1"/>
  <c r="BQ495" i="3"/>
  <c r="BQ493"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F39" i="33"/>
  <c r="AA39" i="33"/>
  <c r="E123" i="33"/>
  <c r="F42" i="33"/>
  <c r="AA42" i="33"/>
  <c r="H28" i="34"/>
  <c r="AB28" i="34" s="1"/>
  <c r="F14" i="36"/>
  <c r="AA14" i="36"/>
  <c r="F22" i="36"/>
  <c r="AA22" i="36" s="1"/>
  <c r="F26" i="36"/>
  <c r="S26" i="36"/>
  <c r="H27" i="34"/>
  <c r="AB27" i="34" s="1"/>
  <c r="H35" i="34"/>
  <c r="U35" i="34" s="1"/>
  <c r="F41" i="34"/>
  <c r="S41" i="34" s="1"/>
  <c r="H41" i="34"/>
  <c r="J41" i="34"/>
  <c r="AC41" i="34" s="1"/>
  <c r="F10" i="35"/>
  <c r="F24" i="35"/>
  <c r="AA24" i="35" s="1"/>
  <c r="H24" i="35"/>
  <c r="AB24" i="35" s="1"/>
  <c r="H23" i="37"/>
  <c r="U23" i="37" s="1"/>
  <c r="J32" i="37"/>
  <c r="AC32" i="37" s="1"/>
  <c r="F36" i="37"/>
  <c r="S36" i="37" s="1"/>
  <c r="F37" i="37"/>
  <c r="AA37" i="37" s="1"/>
  <c r="F31" i="40"/>
  <c r="AA31" i="40" s="1"/>
  <c r="H31" i="40"/>
  <c r="F32" i="40"/>
  <c r="S32" i="40" s="1"/>
  <c r="H32" i="40"/>
  <c r="AB32" i="40" s="1"/>
  <c r="J36" i="40"/>
  <c r="W36" i="40" s="1"/>
  <c r="AA41" i="34"/>
  <c r="H19" i="37"/>
  <c r="AB19" i="37"/>
  <c r="F123" i="33"/>
  <c r="G123" i="33"/>
  <c r="H123" i="33" s="1"/>
  <c r="I123" i="33" s="1"/>
  <c r="J123" i="33" s="1"/>
  <c r="K123" i="33"/>
  <c r="L123" i="33" s="1"/>
  <c r="M123" i="33" s="1"/>
  <c r="H42" i="33"/>
  <c r="AB42" i="33"/>
  <c r="J43" i="33"/>
  <c r="AC43" i="33" s="1"/>
  <c r="U43" i="33"/>
  <c r="U14" i="40"/>
  <c r="AC33" i="36"/>
  <c r="AA12" i="35"/>
  <c r="W23" i="35"/>
  <c r="W14" i="37"/>
  <c r="U33" i="37"/>
  <c r="U39" i="37"/>
  <c r="W26" i="37"/>
  <c r="AC8" i="37"/>
  <c r="U26" i="37"/>
  <c r="W37" i="34"/>
  <c r="AB37" i="34"/>
  <c r="AC36" i="34"/>
  <c r="AA13" i="33"/>
  <c r="AC31" i="33"/>
  <c r="AC45" i="33"/>
  <c r="U11" i="33"/>
  <c r="U19" i="21"/>
  <c r="U26" i="21"/>
  <c r="AC46" i="21"/>
  <c r="U12" i="21"/>
  <c r="AB38" i="21"/>
  <c r="F43" i="33"/>
  <c r="AA43" i="33"/>
  <c r="W15" i="34"/>
  <c r="AC15" i="34"/>
  <c r="W16" i="35"/>
  <c r="G107" i="37"/>
  <c r="H107" i="37"/>
  <c r="I107" i="37" s="1"/>
  <c r="J107" i="37" s="1"/>
  <c r="K107" i="37" s="1"/>
  <c r="L107" i="37"/>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c r="K94" i="37" s="1"/>
  <c r="L94" i="37" s="1"/>
  <c r="M94" i="37" s="1"/>
  <c r="H31" i="37"/>
  <c r="F71" i="37"/>
  <c r="G71" i="37" s="1"/>
  <c r="J15" i="37"/>
  <c r="U12" i="37"/>
  <c r="AT6" i="3"/>
  <c r="H5" i="3"/>
  <c r="AA25" i="21"/>
  <c r="C12" i="43"/>
  <c r="H19" i="40"/>
  <c r="U19" i="40"/>
  <c r="F88" i="40"/>
  <c r="G88" i="40"/>
  <c r="F19" i="40"/>
  <c r="S19" i="40"/>
  <c r="AC13" i="40"/>
  <c r="W23" i="39"/>
  <c r="AC43" i="39"/>
  <c r="W43" i="39"/>
  <c r="U45" i="39"/>
  <c r="AB45" i="39"/>
  <c r="AB44" i="39"/>
  <c r="U44" i="39"/>
  <c r="G100" i="39"/>
  <c r="H37" i="39"/>
  <c r="AB37" i="39" s="1"/>
  <c r="AC37" i="39"/>
  <c r="W37" i="39"/>
  <c r="H25" i="39"/>
  <c r="AB25" i="39" s="1"/>
  <c r="J25" i="39"/>
  <c r="F25" i="39"/>
  <c r="AA25" i="39" s="1"/>
  <c r="F15" i="39"/>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6"/>
  <c r="C46" i="36" s="1"/>
  <c r="D46" i="36" s="1"/>
  <c r="E46" i="36" s="1"/>
  <c r="F46" i="36" s="1"/>
  <c r="G46" i="36" s="1"/>
  <c r="H46" i="36" s="1"/>
  <c r="I46" i="36" s="1"/>
  <c r="W35" i="40"/>
  <c r="J11" i="39"/>
  <c r="W11" i="39"/>
  <c r="F11" i="39"/>
  <c r="AA11" i="39"/>
  <c r="S11" i="39"/>
  <c r="G4" i="4"/>
  <c r="I4" i="4"/>
  <c r="F59" i="43"/>
  <c r="H62" i="43"/>
  <c r="AZ20" i="3"/>
  <c r="AZ24" i="3"/>
  <c r="BL549" i="3"/>
  <c r="AZ494" i="3"/>
  <c r="AZ502" i="3"/>
  <c r="AZ522" i="3"/>
  <c r="AZ530" i="3"/>
  <c r="AZ546" i="3"/>
  <c r="G546" i="3"/>
  <c r="G524" i="3"/>
  <c r="G303" i="3"/>
  <c r="BL304" i="3"/>
  <c r="AZ304" i="3" s="1"/>
  <c r="G305" i="3"/>
  <c r="BL306" i="3"/>
  <c r="BA308" i="3"/>
  <c r="AZ308" i="3"/>
  <c r="BA309" i="3"/>
  <c r="BL309" i="3"/>
  <c r="G310" i="3"/>
  <c r="BA311" i="3"/>
  <c r="AZ311" i="3" s="1"/>
  <c r="G319" i="3"/>
  <c r="BL320" i="3"/>
  <c r="G321" i="3"/>
  <c r="BL322" i="3"/>
  <c r="BA324" i="3"/>
  <c r="AZ324" i="3"/>
  <c r="BA325" i="3"/>
  <c r="BL325" i="3"/>
  <c r="AZ325" i="3" s="1"/>
  <c r="G326" i="3"/>
  <c r="BA327" i="3"/>
  <c r="AZ327" i="3" s="1"/>
  <c r="G335" i="3"/>
  <c r="BL336" i="3"/>
  <c r="AZ336" i="3" s="1"/>
  <c r="G337" i="3"/>
  <c r="BL338" i="3"/>
  <c r="BA340" i="3"/>
  <c r="AZ340" i="3"/>
  <c r="BA341" i="3"/>
  <c r="BL341" i="3"/>
  <c r="BA343" i="3"/>
  <c r="AZ343" i="3" s="1"/>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AZ391" i="3" s="1"/>
  <c r="BA393" i="3"/>
  <c r="AZ393" i="3"/>
  <c r="BA394" i="3"/>
  <c r="BL394" i="3"/>
  <c r="AZ394" i="3" s="1"/>
  <c r="G113" i="3"/>
  <c r="BA115" i="3"/>
  <c r="AZ115" i="3" s="1"/>
  <c r="BL116" i="3"/>
  <c r="G117" i="3"/>
  <c r="BA119" i="3"/>
  <c r="AZ119" i="3"/>
  <c r="BL120" i="3"/>
  <c r="G121" i="3"/>
  <c r="BA123" i="3"/>
  <c r="AZ123" i="3"/>
  <c r="BL124" i="3"/>
  <c r="AZ124" i="3"/>
  <c r="G125" i="3"/>
  <c r="BA127" i="3"/>
  <c r="AZ127" i="3" s="1"/>
  <c r="BL128" i="3"/>
  <c r="G129" i="3"/>
  <c r="BA131" i="3"/>
  <c r="AZ131" i="3" s="1"/>
  <c r="BL132" i="3"/>
  <c r="AZ132" i="3" s="1"/>
  <c r="G133" i="3"/>
  <c r="BA135" i="3"/>
  <c r="AZ135" i="3"/>
  <c r="BL136" i="3"/>
  <c r="AZ136" i="3" s="1"/>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G165" i="3"/>
  <c r="BA167" i="3"/>
  <c r="AZ167" i="3"/>
  <c r="BL168" i="3"/>
  <c r="AZ168" i="3" s="1"/>
  <c r="G169" i="3"/>
  <c r="BA171" i="3"/>
  <c r="AZ171" i="3"/>
  <c r="BL172" i="3"/>
  <c r="AZ172" i="3"/>
  <c r="G173" i="3"/>
  <c r="BA175" i="3"/>
  <c r="AZ175" i="3" s="1"/>
  <c r="BL176" i="3"/>
  <c r="AZ176" i="3" s="1"/>
  <c r="G177" i="3"/>
  <c r="BA179" i="3"/>
  <c r="AZ179" i="3" s="1"/>
  <c r="BL180" i="3"/>
  <c r="AZ180" i="3" s="1"/>
  <c r="G181" i="3"/>
  <c r="BA183" i="3"/>
  <c r="BL184" i="3"/>
  <c r="G185" i="3"/>
  <c r="BA187" i="3"/>
  <c r="AZ187" i="3"/>
  <c r="BL188" i="3"/>
  <c r="AZ188" i="3"/>
  <c r="G189" i="3"/>
  <c r="BA191" i="3"/>
  <c r="AZ191" i="3" s="1"/>
  <c r="BL192" i="3"/>
  <c r="G193" i="3"/>
  <c r="BA195" i="3"/>
  <c r="AZ195" i="3" s="1"/>
  <c r="BL196" i="3"/>
  <c r="AZ196" i="3" s="1"/>
  <c r="G197" i="3"/>
  <c r="BA199" i="3"/>
  <c r="AZ199" i="3"/>
  <c r="BL200" i="3"/>
  <c r="AZ200" i="3" s="1"/>
  <c r="G201" i="3"/>
  <c r="BA203" i="3"/>
  <c r="BL204" i="3"/>
  <c r="AZ204" i="3"/>
  <c r="AZ39" i="3"/>
  <c r="AZ47" i="3"/>
  <c r="AZ51" i="3"/>
  <c r="AZ59" i="3"/>
  <c r="AZ67" i="3"/>
  <c r="AZ75" i="3"/>
  <c r="AZ152" i="3"/>
  <c r="AZ160" i="3"/>
  <c r="AZ184" i="3"/>
  <c r="AZ192" i="3"/>
  <c r="AZ89" i="3"/>
  <c r="AZ93" i="3"/>
  <c r="AZ97" i="3"/>
  <c r="AZ101" i="3"/>
  <c r="AZ109" i="3"/>
  <c r="AZ120" i="3"/>
  <c r="AZ128" i="3"/>
  <c r="G534" i="3"/>
  <c r="G530" i="3"/>
  <c r="G522" i="3"/>
  <c r="G516" i="3"/>
  <c r="G512" i="3"/>
  <c r="G506" i="3"/>
  <c r="G498" i="3"/>
  <c r="G494" i="3"/>
  <c r="G16" i="3"/>
  <c r="G15" i="3"/>
  <c r="BA304" i="3"/>
  <c r="BA305" i="3"/>
  <c r="AZ305" i="3"/>
  <c r="BL305" i="3"/>
  <c r="G306" i="3"/>
  <c r="G309" i="3"/>
  <c r="BL310" i="3"/>
  <c r="AZ310" i="3" s="1"/>
  <c r="BA312" i="3"/>
  <c r="AZ312" i="3"/>
  <c r="BA313" i="3"/>
  <c r="AZ313" i="3" s="1"/>
  <c r="BL313" i="3"/>
  <c r="G314" i="3"/>
  <c r="G317" i="3"/>
  <c r="BL318" i="3"/>
  <c r="BA320" i="3"/>
  <c r="AZ320" i="3"/>
  <c r="BA321" i="3"/>
  <c r="AZ321" i="3"/>
  <c r="BL321" i="3"/>
  <c r="G322" i="3"/>
  <c r="G325" i="3"/>
  <c r="BL326" i="3"/>
  <c r="BA328" i="3"/>
  <c r="AZ328" i="3"/>
  <c r="BA329" i="3"/>
  <c r="AZ329" i="3" s="1"/>
  <c r="BL329" i="3"/>
  <c r="G330" i="3"/>
  <c r="G333" i="3"/>
  <c r="BL334" i="3"/>
  <c r="BA336" i="3"/>
  <c r="BA337" i="3"/>
  <c r="AZ337" i="3"/>
  <c r="BL337" i="3"/>
  <c r="G338" i="3"/>
  <c r="G341" i="3"/>
  <c r="BA342" i="3"/>
  <c r="AZ342" i="3" s="1"/>
  <c r="BL342" i="3"/>
  <c r="BA344" i="3"/>
  <c r="AZ344" i="3" s="1"/>
  <c r="BL344" i="3"/>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4" i="3"/>
  <c r="AZ158" i="3"/>
  <c r="AZ166" i="3"/>
  <c r="AZ174" i="3"/>
  <c r="AZ178" i="3"/>
  <c r="AZ182" i="3"/>
  <c r="AZ186" i="3"/>
  <c r="AZ190" i="3"/>
  <c r="AZ194" i="3"/>
  <c r="AZ198" i="3"/>
  <c r="AZ202" i="3"/>
  <c r="AZ206" i="3"/>
  <c r="BA16" i="3"/>
  <c r="AZ16" i="3" s="1"/>
  <c r="BL303" i="3"/>
  <c r="AZ303" i="3" s="1"/>
  <c r="G304" i="3"/>
  <c r="BA306" i="3"/>
  <c r="AZ306" i="3" s="1"/>
  <c r="BL307" i="3"/>
  <c r="AZ307" i="3" s="1"/>
  <c r="G308" i="3"/>
  <c r="BA310" i="3"/>
  <c r="BL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BL335" i="3"/>
  <c r="AZ335" i="3" s="1"/>
  <c r="G336" i="3"/>
  <c r="BA338" i="3"/>
  <c r="AZ338" i="3" s="1"/>
  <c r="BL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BL366" i="3"/>
  <c r="AZ366" i="3" s="1"/>
  <c r="G367" i="3"/>
  <c r="BA369" i="3"/>
  <c r="AZ369" i="3"/>
  <c r="BL370" i="3"/>
  <c r="G371" i="3"/>
  <c r="BA373" i="3"/>
  <c r="AZ373" i="3"/>
  <c r="BL374" i="3"/>
  <c r="AZ374" i="3"/>
  <c r="G375" i="3"/>
  <c r="BA377" i="3"/>
  <c r="AZ377" i="3" s="1"/>
  <c r="AZ233" i="3"/>
  <c r="AZ237" i="3"/>
  <c r="AZ241" i="3"/>
  <c r="AZ257" i="3"/>
  <c r="AZ261" i="3"/>
  <c r="AZ265" i="3"/>
  <c r="AZ273" i="3"/>
  <c r="BA379" i="3"/>
  <c r="AZ379" i="3"/>
  <c r="BL380" i="3"/>
  <c r="G381" i="3"/>
  <c r="BA383" i="3"/>
  <c r="AZ383" i="3"/>
  <c r="BL384" i="3"/>
  <c r="G385" i="3"/>
  <c r="BA387" i="3"/>
  <c r="AZ387" i="3"/>
  <c r="BL388" i="3"/>
  <c r="G389" i="3"/>
  <c r="BA391" i="3"/>
  <c r="BL392" i="3"/>
  <c r="G393" i="3"/>
  <c r="AZ263" i="3"/>
  <c r="AZ275" i="3"/>
  <c r="AZ291" i="3"/>
  <c r="AZ299" i="3"/>
  <c r="BJ5" i="3"/>
  <c r="AZ309" i="3"/>
  <c r="AZ317" i="3"/>
  <c r="AZ341" i="3"/>
  <c r="AC5" i="3"/>
  <c r="AZ506" i="3"/>
  <c r="G548" i="3"/>
  <c r="G538" i="3"/>
  <c r="G520" i="3"/>
  <c r="G502" i="3"/>
  <c r="BS5" i="3"/>
  <c r="BN5" i="3"/>
  <c r="BI5" i="3"/>
  <c r="BE5" i="3"/>
  <c r="G17" i="3"/>
  <c r="BA17" i="3"/>
  <c r="AZ17" i="3" s="1"/>
  <c r="AZ350" i="3"/>
  <c r="AZ352" i="3"/>
  <c r="AZ356" i="3"/>
  <c r="AZ364" i="3"/>
  <c r="AZ368" i="3"/>
  <c r="BA15" i="3"/>
  <c r="AZ15" i="3" s="1"/>
  <c r="BR5" i="3"/>
  <c r="G28" i="6" s="1"/>
  <c r="AZ384" i="3"/>
  <c r="AZ392" i="3"/>
  <c r="G509" i="3"/>
  <c r="BL493" i="3"/>
  <c r="AZ491" i="3"/>
  <c r="AZ376" i="3"/>
  <c r="AZ382" i="3"/>
  <c r="F36" i="43"/>
  <c r="F81" i="43"/>
  <c r="H113" i="43"/>
  <c r="F48" i="43"/>
  <c r="H52" i="43"/>
  <c r="F70" i="43"/>
  <c r="H73" i="43"/>
  <c r="M11" i="43"/>
  <c r="D17" i="43"/>
  <c r="F39" i="43"/>
  <c r="I17" i="43"/>
  <c r="F35" i="43"/>
  <c r="J17" i="43"/>
  <c r="F6" i="1"/>
  <c r="G6" i="1" s="1"/>
  <c r="U17" i="39"/>
  <c r="U43" i="21"/>
  <c r="AC35" i="21"/>
  <c r="U10" i="21"/>
  <c r="AC11" i="39"/>
  <c r="AZ501" i="3"/>
  <c r="W37" i="37"/>
  <c r="W44" i="34"/>
  <c r="AC44" i="34"/>
  <c r="S15" i="37"/>
  <c r="U12" i="40"/>
  <c r="J37" i="33"/>
  <c r="AC17" i="34"/>
  <c r="F106" i="33"/>
  <c r="G106" i="33"/>
  <c r="H106" i="33" s="1"/>
  <c r="I106" i="33"/>
  <c r="J106" i="33" s="1"/>
  <c r="K106" i="33" s="1"/>
  <c r="L106" i="33" s="1"/>
  <c r="M106" i="33" s="1"/>
  <c r="J34" i="33"/>
  <c r="W34" i="33"/>
  <c r="F33" i="34"/>
  <c r="S33" i="34"/>
  <c r="W12" i="36"/>
  <c r="AC12" i="36"/>
  <c r="H20" i="36"/>
  <c r="U20" i="36"/>
  <c r="J20" i="36"/>
  <c r="W20" i="36"/>
  <c r="W24" i="36"/>
  <c r="J27" i="36"/>
  <c r="W27" i="36" s="1"/>
  <c r="AB25" i="37"/>
  <c r="AC33" i="40"/>
  <c r="F111" i="40"/>
  <c r="G111" i="40" s="1"/>
  <c r="H111" i="40"/>
  <c r="I111" i="40" s="1"/>
  <c r="J111" i="40"/>
  <c r="K111" i="40" s="1"/>
  <c r="L111" i="40"/>
  <c r="M111" i="40" s="1"/>
  <c r="H35" i="40"/>
  <c r="H35" i="37"/>
  <c r="U35" i="37" s="1"/>
  <c r="H20" i="35"/>
  <c r="U20" i="35"/>
  <c r="F20" i="35"/>
  <c r="AA20" i="35"/>
  <c r="AB23" i="35"/>
  <c r="AB29" i="36"/>
  <c r="U29" i="36"/>
  <c r="H32" i="37"/>
  <c r="F96" i="37"/>
  <c r="G96" i="37" s="1"/>
  <c r="H27" i="40"/>
  <c r="U27" i="40"/>
  <c r="J27" i="40"/>
  <c r="AC27" i="40"/>
  <c r="F27" i="40"/>
  <c r="S27" i="40"/>
  <c r="J30" i="40"/>
  <c r="AC30" i="40"/>
  <c r="F30" i="40"/>
  <c r="AA30" i="40"/>
  <c r="AC21" i="40"/>
  <c r="S11" i="40"/>
  <c r="E98" i="40"/>
  <c r="F98" i="40" s="1"/>
  <c r="G98" i="40" s="1"/>
  <c r="H98" i="40" s="1"/>
  <c r="I98" i="40" s="1"/>
  <c r="J98" i="40" s="1"/>
  <c r="K98" i="40"/>
  <c r="L98" i="40" s="1"/>
  <c r="M98" i="40" s="1"/>
  <c r="F10" i="33"/>
  <c r="S10" i="33"/>
  <c r="F34" i="33"/>
  <c r="S34" i="33"/>
  <c r="H34" i="33"/>
  <c r="U34" i="33"/>
  <c r="F35" i="33"/>
  <c r="S35" i="33"/>
  <c r="F39" i="34"/>
  <c r="S39" i="34"/>
  <c r="J39" i="34"/>
  <c r="W39" i="34"/>
  <c r="F40" i="34"/>
  <c r="S40" i="34"/>
  <c r="F43" i="34"/>
  <c r="AA43" i="34"/>
  <c r="H44" i="34"/>
  <c r="AB44" i="34"/>
  <c r="AC38" i="39"/>
  <c r="F39" i="39"/>
  <c r="J39" i="39"/>
  <c r="AC39" i="39" s="1"/>
  <c r="E96" i="39"/>
  <c r="F96" i="39" s="1"/>
  <c r="G96" i="39" s="1"/>
  <c r="AZ353" i="3"/>
  <c r="AZ386" i="3"/>
  <c r="C40" i="11"/>
  <c r="AZ215" i="3"/>
  <c r="AZ227" i="3"/>
  <c r="AZ235" i="3"/>
  <c r="AZ248" i="3"/>
  <c r="AZ259" i="3"/>
  <c r="AZ280" i="3"/>
  <c r="AZ296" i="3"/>
  <c r="AZ117" i="3"/>
  <c r="AZ130" i="3"/>
  <c r="AZ133" i="3"/>
  <c r="AZ21" i="3"/>
  <c r="AZ29" i="3"/>
  <c r="AZ31" i="3"/>
  <c r="AZ33" i="3"/>
  <c r="AZ42" i="3"/>
  <c r="AZ72" i="3"/>
  <c r="AZ74" i="3"/>
  <c r="AZ77" i="3"/>
  <c r="AZ82" i="3"/>
  <c r="AZ86" i="3"/>
  <c r="AZ94" i="3"/>
  <c r="H75" i="43"/>
  <c r="H50" i="43"/>
  <c r="I20" i="43"/>
  <c r="F23" i="39"/>
  <c r="AA23" i="39"/>
  <c r="H27" i="36"/>
  <c r="U27" i="36"/>
  <c r="F27" i="36"/>
  <c r="AA27" i="36"/>
  <c r="H33" i="34"/>
  <c r="U33" i="34"/>
  <c r="F32" i="37"/>
  <c r="AA32" i="37"/>
  <c r="H96" i="37"/>
  <c r="I96" i="37" s="1"/>
  <c r="J96" i="37"/>
  <c r="K96" i="37" s="1"/>
  <c r="L96" i="37"/>
  <c r="M96" i="37" s="1"/>
  <c r="F20" i="36"/>
  <c r="J33" i="34"/>
  <c r="AC33" i="34" s="1"/>
  <c r="H23" i="39"/>
  <c r="U23" i="39" s="1"/>
  <c r="D48" i="9"/>
  <c r="M52" i="9" s="1"/>
  <c r="K9" i="1"/>
  <c r="M9" i="1" s="1"/>
  <c r="AE9" i="1"/>
  <c r="AC26" i="33"/>
  <c r="W26" i="33"/>
  <c r="W27" i="34"/>
  <c r="AC27" i="34"/>
  <c r="AB34" i="36"/>
  <c r="U34" i="36"/>
  <c r="AB33" i="36"/>
  <c r="U33" i="36"/>
  <c r="AC12" i="39"/>
  <c r="W12" i="39"/>
  <c r="AZ401" i="3"/>
  <c r="AZ412" i="3"/>
  <c r="AZ417" i="3"/>
  <c r="AZ428" i="3"/>
  <c r="AZ433" i="3"/>
  <c r="AZ465" i="3"/>
  <c r="W12" i="33"/>
  <c r="AC12" i="33"/>
  <c r="AA32" i="36"/>
  <c r="S32" i="36"/>
  <c r="AZ551" i="3"/>
  <c r="AZ408" i="3"/>
  <c r="AZ437" i="3"/>
  <c r="AZ441" i="3"/>
  <c r="AZ457" i="3"/>
  <c r="AZ473" i="3"/>
  <c r="AA39" i="34"/>
  <c r="BL14" i="3"/>
  <c r="U30" i="33"/>
  <c r="S19" i="39"/>
  <c r="F12" i="33"/>
  <c r="H12" i="39"/>
  <c r="F39" i="40"/>
  <c r="AA39" i="40" s="1"/>
  <c r="AZ367" i="3"/>
  <c r="AZ224" i="3"/>
  <c r="AZ250" i="3"/>
  <c r="AZ254" i="3"/>
  <c r="AZ281" i="3"/>
  <c r="AZ286" i="3"/>
  <c r="AZ149" i="3"/>
  <c r="AZ165" i="3"/>
  <c r="AZ173" i="3"/>
  <c r="AZ181" i="3"/>
  <c r="AZ189" i="3"/>
  <c r="AZ197" i="3"/>
  <c r="AZ19" i="3"/>
  <c r="AZ26" i="3"/>
  <c r="S12" i="1"/>
  <c r="AQ12" i="1" s="1"/>
  <c r="R12" i="1"/>
  <c r="B12" i="1"/>
  <c r="E12" i="1" s="1"/>
  <c r="S10" i="1"/>
  <c r="T10" i="1" s="1"/>
  <c r="R10" i="1"/>
  <c r="B10" i="1"/>
  <c r="E10" i="1"/>
  <c r="AZ80" i="3"/>
  <c r="AZ84" i="3"/>
  <c r="AZ88" i="3"/>
  <c r="AZ107" i="3"/>
  <c r="AZ111" i="3"/>
  <c r="K12" i="1"/>
  <c r="M12" i="1" s="1"/>
  <c r="O12" i="1" s="1"/>
  <c r="S13" i="1"/>
  <c r="T13" i="1" s="1"/>
  <c r="R13" i="1"/>
  <c r="S11" i="1"/>
  <c r="AQ11" i="1" s="1"/>
  <c r="R11" i="1"/>
  <c r="S9" i="1"/>
  <c r="T9" i="1" s="1"/>
  <c r="R9" i="1"/>
  <c r="J51" i="67"/>
  <c r="C42" i="1"/>
  <c r="H100" i="43"/>
  <c r="AC34" i="33"/>
  <c r="AA34" i="33"/>
  <c r="J100" i="43"/>
  <c r="AB37" i="40"/>
  <c r="S35" i="40"/>
  <c r="AC36" i="40"/>
  <c r="AA32" i="40"/>
  <c r="S17" i="40"/>
  <c r="S23" i="40"/>
  <c r="AC17" i="40"/>
  <c r="AC15" i="40"/>
  <c r="AB27" i="40"/>
  <c r="S30" i="40"/>
  <c r="AA19" i="40"/>
  <c r="S28" i="40"/>
  <c r="AA27" i="40"/>
  <c r="U21" i="40"/>
  <c r="AB19" i="40"/>
  <c r="U37" i="39"/>
  <c r="S37" i="39"/>
  <c r="U35" i="39"/>
  <c r="F32" i="39"/>
  <c r="AA32" i="39" s="1"/>
  <c r="F106" i="39"/>
  <c r="G106" i="39" s="1"/>
  <c r="H106" i="39" s="1"/>
  <c r="I106" i="39" s="1"/>
  <c r="J106" i="39" s="1"/>
  <c r="K106" i="39" s="1"/>
  <c r="L106" i="39" s="1"/>
  <c r="M106" i="39" s="1"/>
  <c r="U25" i="39"/>
  <c r="AB27" i="39"/>
  <c r="J21" i="39"/>
  <c r="W21" i="39" s="1"/>
  <c r="F21" i="39"/>
  <c r="G94" i="39"/>
  <c r="H21" i="39"/>
  <c r="U21" i="39" s="1"/>
  <c r="S17" i="39"/>
  <c r="AA12" i="39"/>
  <c r="S9" i="39"/>
  <c r="U14" i="39"/>
  <c r="AC13" i="39"/>
  <c r="AC27" i="36"/>
  <c r="AB27" i="36"/>
  <c r="U26" i="36"/>
  <c r="S33" i="36"/>
  <c r="S27" i="36"/>
  <c r="AA26" i="36"/>
  <c r="AA34" i="36"/>
  <c r="S29" i="36"/>
  <c r="AC26" i="36"/>
  <c r="W14" i="36"/>
  <c r="AB14" i="36"/>
  <c r="U22" i="36"/>
  <c r="S16" i="36"/>
  <c r="AA25" i="36"/>
  <c r="S24" i="36"/>
  <c r="U24" i="36"/>
  <c r="AB20" i="36"/>
  <c r="U16" i="36"/>
  <c r="S14" i="36"/>
  <c r="U10" i="36"/>
  <c r="W10" i="36"/>
  <c r="AA25" i="35"/>
  <c r="S23" i="35"/>
  <c r="W24" i="35"/>
  <c r="AB13" i="35"/>
  <c r="U28" i="35"/>
  <c r="AB27" i="35"/>
  <c r="U32" i="35"/>
  <c r="AA33" i="35"/>
  <c r="AC30" i="35"/>
  <c r="S32" i="35"/>
  <c r="AA36" i="35"/>
  <c r="W32" i="35"/>
  <c r="S28" i="35"/>
  <c r="AB16" i="35"/>
  <c r="U22" i="35"/>
  <c r="S20" i="35"/>
  <c r="AC20" i="35"/>
  <c r="S22" i="35"/>
  <c r="AA11" i="35"/>
  <c r="AC12" i="35"/>
  <c r="W13" i="35"/>
  <c r="H9" i="35"/>
  <c r="U9" i="35" s="1"/>
  <c r="F26" i="35"/>
  <c r="AA26" i="35" s="1"/>
  <c r="S25" i="37"/>
  <c r="W27" i="37"/>
  <c r="S26" i="37"/>
  <c r="AC9" i="37"/>
  <c r="AC29" i="37"/>
  <c r="U29" i="37"/>
  <c r="S32" i="37"/>
  <c r="W30" i="37"/>
  <c r="AA38" i="37"/>
  <c r="W38" i="37"/>
  <c r="AC35" i="37"/>
  <c r="W39" i="37"/>
  <c r="S30" i="37"/>
  <c r="S37" i="37"/>
  <c r="J17" i="37"/>
  <c r="G73" i="37"/>
  <c r="F17" i="37"/>
  <c r="AA17" i="37"/>
  <c r="AB17" i="37"/>
  <c r="F75" i="37"/>
  <c r="F19" i="37"/>
  <c r="F79" i="37"/>
  <c r="G79" i="37" s="1"/>
  <c r="F23" i="37"/>
  <c r="S23" i="37"/>
  <c r="U15" i="37"/>
  <c r="AC13" i="37"/>
  <c r="U9" i="37"/>
  <c r="AA12" i="37"/>
  <c r="AA9" i="37"/>
  <c r="H10" i="37"/>
  <c r="AB10" i="37" s="1"/>
  <c r="H60" i="37"/>
  <c r="F63" i="37"/>
  <c r="F11" i="37"/>
  <c r="S11" i="37"/>
  <c r="W25" i="34"/>
  <c r="AB8" i="34"/>
  <c r="AA33" i="34"/>
  <c r="U44" i="34"/>
  <c r="U43" i="34"/>
  <c r="AC39" i="34"/>
  <c r="W41" i="34"/>
  <c r="AC42" i="34"/>
  <c r="AB35" i="34"/>
  <c r="U39" i="34"/>
  <c r="S43" i="34"/>
  <c r="AA45" i="34"/>
  <c r="W34" i="34"/>
  <c r="AA25" i="34"/>
  <c r="U28" i="34"/>
  <c r="S17" i="34"/>
  <c r="U27" i="34"/>
  <c r="S23" i="34"/>
  <c r="S10" i="34"/>
  <c r="H67" i="34"/>
  <c r="H10" i="34"/>
  <c r="F11" i="34"/>
  <c r="S11" i="34"/>
  <c r="F70" i="34"/>
  <c r="W42" i="33"/>
  <c r="AA35" i="33"/>
  <c r="S27" i="33"/>
  <c r="S32" i="33"/>
  <c r="AA29" i="33"/>
  <c r="AB29" i="33"/>
  <c r="W38" i="33"/>
  <c r="H41" i="33"/>
  <c r="F121" i="33"/>
  <c r="G121" i="33" s="1"/>
  <c r="H121" i="33"/>
  <c r="I121" i="33" s="1"/>
  <c r="J121" i="33"/>
  <c r="K121" i="33" s="1"/>
  <c r="L121" i="33" s="1"/>
  <c r="M121" i="33" s="1"/>
  <c r="U42" i="33"/>
  <c r="S42" i="33"/>
  <c r="F36" i="33"/>
  <c r="G111" i="33"/>
  <c r="G108" i="33"/>
  <c r="H108" i="33" s="1"/>
  <c r="I108" i="33"/>
  <c r="J108" i="33" s="1"/>
  <c r="K108" i="33" s="1"/>
  <c r="L108" i="33" s="1"/>
  <c r="M108" i="33" s="1"/>
  <c r="J35" i="33"/>
  <c r="S37" i="33"/>
  <c r="AA37" i="33"/>
  <c r="S39" i="33"/>
  <c r="F101" i="33"/>
  <c r="G101" i="33"/>
  <c r="H101" i="33" s="1"/>
  <c r="I101" i="33"/>
  <c r="J101" i="33" s="1"/>
  <c r="K101" i="33" s="1"/>
  <c r="L101" i="33" s="1"/>
  <c r="M101" i="33" s="1"/>
  <c r="J32" i="33"/>
  <c r="S46" i="33"/>
  <c r="S43" i="33"/>
  <c r="F91" i="33"/>
  <c r="H27" i="33"/>
  <c r="F87" i="33"/>
  <c r="H25" i="33"/>
  <c r="AB25" i="33" s="1"/>
  <c r="F25" i="33"/>
  <c r="J23" i="33"/>
  <c r="F85" i="33"/>
  <c r="H23" i="33"/>
  <c r="U23" i="33" s="1"/>
  <c r="F19" i="33"/>
  <c r="S19" i="33" s="1"/>
  <c r="W19" i="33"/>
  <c r="J17" i="33"/>
  <c r="F79" i="33"/>
  <c r="G79" i="33" s="1"/>
  <c r="S15" i="33"/>
  <c r="W15" i="33"/>
  <c r="I66" i="33"/>
  <c r="J10" i="33"/>
  <c r="H10" i="33"/>
  <c r="AA10" i="33"/>
  <c r="AC11" i="33"/>
  <c r="W43" i="21"/>
  <c r="W41" i="21"/>
  <c r="AB39" i="21"/>
  <c r="AA43" i="21"/>
  <c r="AA38" i="21"/>
  <c r="AA36" i="21"/>
  <c r="AC40" i="21"/>
  <c r="J15" i="21"/>
  <c r="W15" i="21"/>
  <c r="F77" i="21"/>
  <c r="G77" i="21"/>
  <c r="F23" i="21"/>
  <c r="S23" i="21"/>
  <c r="E85" i="21"/>
  <c r="AC11" i="21"/>
  <c r="AA14" i="21"/>
  <c r="AB8" i="21"/>
  <c r="S8" i="21"/>
  <c r="M3" i="43"/>
  <c r="M1" i="43"/>
  <c r="N8" i="43"/>
  <c r="D120" i="9"/>
  <c r="D121" i="9" s="1"/>
  <c r="D7" i="52" s="1"/>
  <c r="F34" i="67"/>
  <c r="F62" i="67" s="1"/>
  <c r="G13" i="3"/>
  <c r="BA13" i="3"/>
  <c r="AZ13" i="3" s="1"/>
  <c r="BL17" i="3"/>
  <c r="BL13" i="3"/>
  <c r="J56" i="9"/>
  <c r="J57" i="9" s="1"/>
  <c r="J59" i="9" s="1"/>
  <c r="J61" i="9" s="1"/>
  <c r="U29" i="34"/>
  <c r="E5" i="6"/>
  <c r="D9" i="11" s="1"/>
  <c r="C9" i="11" s="1"/>
  <c r="E32" i="6"/>
  <c r="L19" i="6"/>
  <c r="K1" i="12"/>
  <c r="E19" i="69"/>
  <c r="E1" i="73"/>
  <c r="G22" i="68"/>
  <c r="G26" i="12"/>
  <c r="G22" i="11"/>
  <c r="C100" i="43"/>
  <c r="E81" i="43"/>
  <c r="B79" i="43"/>
  <c r="E48" i="43"/>
  <c r="B46" i="43" s="1"/>
  <c r="E70" i="43"/>
  <c r="B68" i="43" s="1"/>
  <c r="F100" i="43"/>
  <c r="H17" i="43"/>
  <c r="H53" i="43"/>
  <c r="H78" i="43"/>
  <c r="H71" i="43"/>
  <c r="C17" i="43"/>
  <c r="F33" i="43"/>
  <c r="K17" i="43"/>
  <c r="F34" i="43"/>
  <c r="N6" i="43"/>
  <c r="C6" i="43"/>
  <c r="N3" i="43"/>
  <c r="F38" i="43"/>
  <c r="F37" i="43"/>
  <c r="M9" i="43"/>
  <c r="N5" i="43"/>
  <c r="M12" i="43"/>
  <c r="B19" i="53"/>
  <c r="B37" i="72" s="1"/>
  <c r="C7" i="39"/>
  <c r="C67" i="39" s="1"/>
  <c r="C69" i="39" s="1"/>
  <c r="C7" i="33"/>
  <c r="C58" i="33" s="1"/>
  <c r="C7" i="40"/>
  <c r="C63" i="40" s="1"/>
  <c r="G19" i="43"/>
  <c r="O19" i="43" s="1"/>
  <c r="C19" i="43" s="1"/>
  <c r="T35" i="4"/>
  <c r="A19" i="51" s="1"/>
  <c r="B14" i="72" s="1"/>
  <c r="C4" i="12"/>
  <c r="H66" i="43"/>
  <c r="H65" i="43"/>
  <c r="H64" i="43"/>
  <c r="H63" i="43"/>
  <c r="H55" i="43"/>
  <c r="H56" i="43"/>
  <c r="H72" i="43"/>
  <c r="L20" i="6"/>
  <c r="B6" i="1"/>
  <c r="E6" i="1" s="1"/>
  <c r="S8" i="1"/>
  <c r="T8" i="1" s="1"/>
  <c r="K11" i="1"/>
  <c r="M11" i="1" s="1"/>
  <c r="O11" i="1" s="1"/>
  <c r="AP6" i="1"/>
  <c r="B9" i="1"/>
  <c r="E9" i="1"/>
  <c r="K7" i="1"/>
  <c r="M7" i="1" s="1"/>
  <c r="G1" i="15"/>
  <c r="G1" i="67"/>
  <c r="U32"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S28" i="36"/>
  <c r="U32" i="36"/>
  <c r="W29" i="36"/>
  <c r="AC20" i="36"/>
  <c r="U25" i="36"/>
  <c r="AB28" i="36"/>
  <c r="AA13" i="36"/>
  <c r="W9" i="36"/>
  <c r="W22" i="36"/>
  <c r="S9" i="36"/>
  <c r="AB20" i="35"/>
  <c r="AC25" i="35"/>
  <c r="U25" i="35"/>
  <c r="S24" i="35"/>
  <c r="AA30" i="35"/>
  <c r="U24" i="35"/>
  <c r="S35" i="35"/>
  <c r="W35" i="35"/>
  <c r="AA16" i="35"/>
  <c r="AA35" i="37"/>
  <c r="W36" i="37"/>
  <c r="S27" i="37"/>
  <c r="S28" i="37"/>
  <c r="W32" i="37"/>
  <c r="U36" i="37"/>
  <c r="U38" i="37"/>
  <c r="AB37" i="37"/>
  <c r="S33" i="37"/>
  <c r="AC34" i="37"/>
  <c r="AA11" i="37"/>
  <c r="AA31" i="37"/>
  <c r="U19" i="37"/>
  <c r="AA29" i="37"/>
  <c r="AA8" i="37"/>
  <c r="U8" i="37"/>
  <c r="AA40" i="34"/>
  <c r="AB40" i="34"/>
  <c r="U19" i="34"/>
  <c r="W19" i="34"/>
  <c r="AB33"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S30" i="33"/>
  <c r="AA30" i="33"/>
  <c r="AC30" i="33"/>
  <c r="W30" i="33"/>
  <c r="S31" i="33"/>
  <c r="AA31" i="33"/>
  <c r="W13" i="33"/>
  <c r="AC13" i="33"/>
  <c r="U15" i="33"/>
  <c r="S11" i="33"/>
  <c r="U37" i="33"/>
  <c r="AC28" i="33"/>
  <c r="S28" i="33"/>
  <c r="W8" i="33"/>
  <c r="AB42" i="21"/>
  <c r="U28" i="21"/>
  <c r="AA11" i="21"/>
  <c r="S45" i="21"/>
  <c r="I101" i="21"/>
  <c r="J101" i="21"/>
  <c r="K101" i="21" s="1"/>
  <c r="L101" i="21" s="1"/>
  <c r="M101" i="21" s="1"/>
  <c r="F33" i="21"/>
  <c r="J33" i="21"/>
  <c r="H33" i="21"/>
  <c r="F37" i="21"/>
  <c r="AA37" i="21" s="1"/>
  <c r="AA26" i="21"/>
  <c r="AB14" i="21"/>
  <c r="AB46" i="21"/>
  <c r="U40" i="21"/>
  <c r="AB31" i="21"/>
  <c r="U31" i="21"/>
  <c r="AC15" i="21"/>
  <c r="W8" i="21"/>
  <c r="S35" i="21"/>
  <c r="AB37" i="21"/>
  <c r="J37" i="21"/>
  <c r="W37" i="21"/>
  <c r="H15" i="21"/>
  <c r="U15" i="21" s="1"/>
  <c r="J17" i="21"/>
  <c r="AC17" i="21" s="1"/>
  <c r="AC19" i="21"/>
  <c r="AC14" i="21"/>
  <c r="S46" i="21"/>
  <c r="H45" i="21"/>
  <c r="U45" i="21"/>
  <c r="F29" i="21"/>
  <c r="AA29" i="21" s="1"/>
  <c r="AC38" i="21"/>
  <c r="H32" i="21"/>
  <c r="H9" i="21"/>
  <c r="J9" i="21"/>
  <c r="W9" i="21" s="1"/>
  <c r="J32" i="21"/>
  <c r="F32" i="21"/>
  <c r="AA31" i="21"/>
  <c r="U17" i="21"/>
  <c r="W29" i="21"/>
  <c r="S19" i="21"/>
  <c r="K141" i="21"/>
  <c r="K144" i="21"/>
  <c r="K143" i="21"/>
  <c r="U27" i="21"/>
  <c r="AB25" i="21"/>
  <c r="AB44" i="21"/>
  <c r="AA30" i="21"/>
  <c r="W42" i="21"/>
  <c r="AC45" i="21"/>
  <c r="F10" i="21"/>
  <c r="K145" i="21"/>
  <c r="W17" i="21"/>
  <c r="W25" i="21"/>
  <c r="W31" i="21"/>
  <c r="S17" i="21"/>
  <c r="AC26" i="21"/>
  <c r="S28" i="21"/>
  <c r="AC34" i="21"/>
  <c r="W10" i="21"/>
  <c r="W12" i="21"/>
  <c r="W30" i="40"/>
  <c r="C19" i="39"/>
  <c r="C15" i="40"/>
  <c r="C17" i="40"/>
  <c r="C23" i="40"/>
  <c r="C21" i="40"/>
  <c r="U30" i="40"/>
  <c r="B54" i="43"/>
  <c r="B65" i="43"/>
  <c r="B49" i="43"/>
  <c r="B52" i="43"/>
  <c r="B56" i="43"/>
  <c r="B60" i="43"/>
  <c r="B63" i="43"/>
  <c r="B67" i="43"/>
  <c r="D23" i="15"/>
  <c r="D22" i="15"/>
  <c r="E4" i="4"/>
  <c r="B5" i="62" s="1"/>
  <c r="B73" i="72" s="1"/>
  <c r="C4" i="4"/>
  <c r="D9" i="69"/>
  <c r="C9" i="69" s="1"/>
  <c r="D19" i="12"/>
  <c r="C19" i="12" s="1"/>
  <c r="E7" i="70"/>
  <c r="S12" i="33"/>
  <c r="AA12" i="33"/>
  <c r="J32" i="39"/>
  <c r="H32" i="39"/>
  <c r="AB32" i="39" s="1"/>
  <c r="AA21" i="39"/>
  <c r="S21" i="39"/>
  <c r="AB9" i="35"/>
  <c r="S17" i="37"/>
  <c r="J19" i="37"/>
  <c r="AC19" i="37" s="1"/>
  <c r="G75" i="37"/>
  <c r="S19" i="37"/>
  <c r="AA19" i="37"/>
  <c r="AA23" i="37"/>
  <c r="J23" i="37"/>
  <c r="J10" i="37"/>
  <c r="I60" i="37"/>
  <c r="G63" i="37"/>
  <c r="H63" i="37" s="1"/>
  <c r="I63" i="37" s="1"/>
  <c r="J63" i="37" s="1"/>
  <c r="K63" i="37" s="1"/>
  <c r="L63" i="37" s="1"/>
  <c r="M63" i="37" s="1"/>
  <c r="H11" i="37"/>
  <c r="U10" i="37"/>
  <c r="G70" i="34"/>
  <c r="H70" i="34" s="1"/>
  <c r="I70" i="34" s="1"/>
  <c r="J70" i="34" s="1"/>
  <c r="K70" i="34" s="1"/>
  <c r="L70" i="34" s="1"/>
  <c r="M70" i="34" s="1"/>
  <c r="H11" i="34"/>
  <c r="AB10" i="34"/>
  <c r="U10" i="34"/>
  <c r="J10" i="34"/>
  <c r="AC10" i="34" s="1"/>
  <c r="I67" i="34"/>
  <c r="AB41" i="33"/>
  <c r="U41" i="33"/>
  <c r="W35" i="33"/>
  <c r="AC35" i="33"/>
  <c r="H111" i="33"/>
  <c r="I111" i="33"/>
  <c r="J111" i="33" s="1"/>
  <c r="K111" i="33" s="1"/>
  <c r="L111" i="33" s="1"/>
  <c r="M111" i="33" s="1"/>
  <c r="J36" i="33"/>
  <c r="AC36" i="33" s="1"/>
  <c r="H36" i="33"/>
  <c r="AC32" i="33"/>
  <c r="W32" i="33"/>
  <c r="G91" i="33"/>
  <c r="H91" i="33" s="1"/>
  <c r="I91" i="33" s="1"/>
  <c r="J91" i="33" s="1"/>
  <c r="K91" i="33" s="1"/>
  <c r="L91" i="33" s="1"/>
  <c r="M91" i="33" s="1"/>
  <c r="J27" i="33"/>
  <c r="U25" i="33"/>
  <c r="S25" i="33"/>
  <c r="AA25" i="33"/>
  <c r="G87" i="33"/>
  <c r="H87" i="33" s="1"/>
  <c r="I87" i="33" s="1"/>
  <c r="J87" i="33" s="1"/>
  <c r="K87" i="33"/>
  <c r="L87" i="33" s="1"/>
  <c r="M87" i="33" s="1"/>
  <c r="J25" i="33"/>
  <c r="AC25" i="33" s="1"/>
  <c r="AB23" i="33"/>
  <c r="F23" i="33"/>
  <c r="AA23" i="33" s="1"/>
  <c r="G85" i="33"/>
  <c r="AA19" i="33"/>
  <c r="H19" i="33"/>
  <c r="U19" i="33" s="1"/>
  <c r="G81" i="33"/>
  <c r="H17" i="33"/>
  <c r="AB17" i="33" s="1"/>
  <c r="F17" i="33"/>
  <c r="W17" i="33"/>
  <c r="AC17" i="33"/>
  <c r="U10" i="33"/>
  <c r="AB10" i="33"/>
  <c r="AC10" i="33"/>
  <c r="W10" i="33"/>
  <c r="AC37" i="21"/>
  <c r="S37" i="21"/>
  <c r="AA23" i="21"/>
  <c r="AB15" i="21"/>
  <c r="J23" i="21"/>
  <c r="F85" i="21"/>
  <c r="G85" i="21" s="1"/>
  <c r="H23" i="21"/>
  <c r="AB23" i="21" s="1"/>
  <c r="D6" i="52"/>
  <c r="AP7" i="1"/>
  <c r="AB45" i="21"/>
  <c r="AC33" i="21"/>
  <c r="W33" i="21"/>
  <c r="S33" i="21"/>
  <c r="AA33" i="21"/>
  <c r="W32" i="21"/>
  <c r="AC32" i="21"/>
  <c r="AB9" i="21"/>
  <c r="U9" i="21"/>
  <c r="AA32" i="21"/>
  <c r="S32" i="21"/>
  <c r="AC9" i="21"/>
  <c r="AB32" i="21"/>
  <c r="U32" i="21"/>
  <c r="AA10" i="21"/>
  <c r="S10" i="21"/>
  <c r="E6" i="70"/>
  <c r="U32" i="39"/>
  <c r="AC32" i="39"/>
  <c r="W32" i="39"/>
  <c r="W23" i="37"/>
  <c r="AC23" i="37"/>
  <c r="AB11" i="37"/>
  <c r="U11" i="37"/>
  <c r="J11" i="37"/>
  <c r="W10" i="37"/>
  <c r="AC10" i="37"/>
  <c r="U11" i="34"/>
  <c r="AB11" i="34"/>
  <c r="W10" i="34"/>
  <c r="J11" i="34"/>
  <c r="W36" i="33"/>
  <c r="U36" i="33"/>
  <c r="AB36" i="33"/>
  <c r="W27" i="33"/>
  <c r="AC27" i="33"/>
  <c r="W25" i="33"/>
  <c r="AB19" i="33"/>
  <c r="AA17" i="33"/>
  <c r="S17" i="33"/>
  <c r="U17" i="33"/>
  <c r="U23" i="21"/>
  <c r="AC23" i="21"/>
  <c r="W23" i="21"/>
  <c r="AC11" i="37"/>
  <c r="W11" i="37"/>
  <c r="W11" i="34"/>
  <c r="AC11" i="34"/>
  <c r="F34" i="11"/>
  <c r="C36" i="11" s="1"/>
  <c r="F11" i="12"/>
  <c r="C23" i="12" s="1"/>
  <c r="F34" i="68"/>
  <c r="R8" i="1"/>
  <c r="AE7" i="1"/>
  <c r="AG7" i="1" s="1"/>
  <c r="AE8" i="1"/>
  <c r="H109" i="9"/>
  <c r="H110" i="9" s="1"/>
  <c r="D18" i="53" s="1"/>
  <c r="B35" i="72" s="1"/>
  <c r="D124" i="9"/>
  <c r="H14" i="74" s="1"/>
  <c r="B7" i="74" s="1"/>
  <c r="D10" i="52"/>
  <c r="H112" i="9"/>
  <c r="D21" i="53" s="1"/>
  <c r="B39" i="72" s="1"/>
  <c r="H111" i="9"/>
  <c r="D19" i="53" s="1"/>
  <c r="AD3" i="7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s="1"/>
  <c r="D20" i="71"/>
  <c r="D21" i="71"/>
  <c r="U21" i="71"/>
  <c r="S21" i="71"/>
  <c r="T21" i="71"/>
  <c r="AB19" i="71"/>
  <c r="X17" i="71"/>
  <c r="X16" i="71"/>
  <c r="AA17" i="71"/>
  <c r="AA16" i="71"/>
  <c r="X20" i="71"/>
  <c r="Y16" i="71"/>
  <c r="Z16" i="71" s="1"/>
  <c r="AB17" i="71"/>
  <c r="AB16" i="71"/>
  <c r="S17" i="71"/>
  <c r="F18" i="71"/>
  <c r="F17" i="71" s="1"/>
  <c r="F16" i="71" s="1"/>
  <c r="F15" i="71" s="1"/>
  <c r="F14" i="71" s="1"/>
  <c r="Y17" i="71"/>
  <c r="Z17" i="71" s="1"/>
  <c r="X3" i="71"/>
  <c r="C18" i="71"/>
  <c r="G20" i="43"/>
  <c r="E41" i="43"/>
  <c r="C41" i="43" s="1"/>
  <c r="F7" i="15"/>
  <c r="B10" i="76"/>
  <c r="F6" i="67"/>
  <c r="M23" i="67"/>
  <c r="D2" i="37"/>
  <c r="C76" i="15"/>
  <c r="M29" i="67"/>
  <c r="E13" i="76"/>
  <c r="E11" i="76"/>
  <c r="D2" i="21"/>
  <c r="F26" i="15"/>
  <c r="J15" i="67"/>
  <c r="F6" i="73"/>
  <c r="E12" i="76"/>
  <c r="M26" i="15"/>
  <c r="M27" i="15"/>
  <c r="M28" i="67"/>
  <c r="M29" i="15"/>
  <c r="E9" i="76"/>
  <c r="F42" i="67"/>
  <c r="M6" i="15"/>
  <c r="B12" i="76"/>
  <c r="D2" i="33"/>
  <c r="M24" i="67"/>
  <c r="F41" i="15"/>
  <c r="F26" i="67"/>
  <c r="F16" i="67"/>
  <c r="F5" i="73"/>
  <c r="D2" i="36"/>
  <c r="C76" i="67"/>
  <c r="L47" i="67"/>
  <c r="F43" i="15"/>
  <c r="E7" i="76"/>
  <c r="AO9" i="1"/>
  <c r="B13" i="76"/>
  <c r="F8" i="67"/>
  <c r="AO7" i="1"/>
  <c r="F41" i="67"/>
  <c r="D34" i="9"/>
  <c r="M6" i="67"/>
  <c r="F13" i="15"/>
  <c r="E2" i="68"/>
  <c r="F9" i="67"/>
  <c r="F36" i="15"/>
  <c r="F35" i="15"/>
  <c r="M9" i="67"/>
  <c r="L47" i="15"/>
  <c r="F8" i="15"/>
  <c r="M28" i="15"/>
  <c r="B11" i="76"/>
  <c r="AO11" i="1"/>
  <c r="B8" i="76"/>
  <c r="L48" i="67"/>
  <c r="F20" i="31"/>
  <c r="D35" i="9"/>
  <c r="F7" i="73"/>
  <c r="F7" i="67"/>
  <c r="F13" i="67"/>
  <c r="E8" i="76"/>
  <c r="F40" i="15"/>
  <c r="M22" i="67"/>
  <c r="F42" i="15"/>
  <c r="B7" i="76"/>
  <c r="F16" i="15"/>
  <c r="AO10" i="1"/>
  <c r="AO13" i="1"/>
  <c r="F3" i="73"/>
  <c r="B9" i="76"/>
  <c r="L48" i="15"/>
  <c r="F40" i="67"/>
  <c r="F43" i="67"/>
  <c r="AO8" i="1"/>
  <c r="J15" i="15"/>
  <c r="E2" i="69"/>
  <c r="D2" i="34"/>
  <c r="M26" i="67"/>
  <c r="AO12" i="1"/>
  <c r="F6" i="15"/>
  <c r="F9" i="15"/>
  <c r="F4" i="73"/>
  <c r="M9" i="15"/>
  <c r="M24" i="15"/>
  <c r="E10" i="76"/>
  <c r="M8" i="67"/>
  <c r="A24" i="51" l="1"/>
  <c r="B18" i="72" s="1"/>
  <c r="F66" i="67"/>
  <c r="F65" i="67"/>
  <c r="F64" i="67"/>
  <c r="U31" i="35"/>
  <c r="H87" i="35"/>
  <c r="H29" i="35"/>
  <c r="AB29" i="35" s="1"/>
  <c r="F29" i="35"/>
  <c r="S29" i="35" s="1"/>
  <c r="AA29" i="35"/>
  <c r="AB10" i="35"/>
  <c r="AC10" i="35"/>
  <c r="J14" i="35"/>
  <c r="F14" i="35"/>
  <c r="E64" i="35"/>
  <c r="AC8" i="35"/>
  <c r="S8" i="35"/>
  <c r="J26" i="35"/>
  <c r="AB26" i="35"/>
  <c r="U26" i="35"/>
  <c r="S26" i="35"/>
  <c r="F70" i="67"/>
  <c r="F34" i="15"/>
  <c r="F62" i="15" s="1"/>
  <c r="M20" i="67"/>
  <c r="C92" i="9"/>
  <c r="B41" i="1"/>
  <c r="F30" i="69" s="1"/>
  <c r="D93" i="9"/>
  <c r="F32" i="15"/>
  <c r="F60" i="15" s="1"/>
  <c r="M18" i="67"/>
  <c r="F28" i="15"/>
  <c r="C28" i="15" s="1"/>
  <c r="F52" i="9"/>
  <c r="F30" i="11"/>
  <c r="F54" i="9"/>
  <c r="F31" i="12"/>
  <c r="C31" i="12" s="1"/>
  <c r="F30" i="68"/>
  <c r="F48" i="68" s="1"/>
  <c r="F53" i="9"/>
  <c r="C40" i="68"/>
  <c r="E19" i="11"/>
  <c r="G22" i="69"/>
  <c r="D22" i="67"/>
  <c r="K6" i="1"/>
  <c r="M6" i="1" s="1"/>
  <c r="O6" i="1" s="1"/>
  <c r="G1" i="69"/>
  <c r="G1" i="68"/>
  <c r="T11" i="1"/>
  <c r="AQ8" i="1"/>
  <c r="BA14" i="3"/>
  <c r="AZ14" i="3" s="1"/>
  <c r="AR8" i="1"/>
  <c r="F27" i="6"/>
  <c r="E51" i="40"/>
  <c r="F101" i="43"/>
  <c r="F103" i="43" s="1"/>
  <c r="AA11" i="43"/>
  <c r="AA13" i="43" s="1"/>
  <c r="AD11" i="43"/>
  <c r="F22" i="43"/>
  <c r="M101" i="43"/>
  <c r="M103" i="43" s="1"/>
  <c r="D9" i="68"/>
  <c r="C9" i="68" s="1"/>
  <c r="Q16" i="1"/>
  <c r="F28" i="12" s="1"/>
  <c r="AI11" i="43"/>
  <c r="AI13" i="43" s="1"/>
  <c r="T12" i="1"/>
  <c r="E22" i="43"/>
  <c r="Y11" i="43"/>
  <c r="Y13" i="43" s="1"/>
  <c r="AB11" i="43"/>
  <c r="AB13" i="43" s="1"/>
  <c r="AR12" i="1"/>
  <c r="K101" i="43"/>
  <c r="K107" i="43" s="1"/>
  <c r="BG5" i="3"/>
  <c r="BH5" i="3"/>
  <c r="L27" i="6"/>
  <c r="AG11" i="43"/>
  <c r="AG13" i="43" s="1"/>
  <c r="AJ11" i="43"/>
  <c r="AJ13" i="43" s="1"/>
  <c r="D101" i="43"/>
  <c r="D104" i="43" s="1"/>
  <c r="O10" i="1"/>
  <c r="P10" i="1" s="1"/>
  <c r="O7" i="1"/>
  <c r="P7" i="1" s="1"/>
  <c r="O13" i="1"/>
  <c r="P13" i="1" s="1"/>
  <c r="H16" i="1"/>
  <c r="AR11" i="1"/>
  <c r="BK5" i="3"/>
  <c r="E2" i="70"/>
  <c r="E56" i="39"/>
  <c r="BO5" i="3"/>
  <c r="J22" i="43"/>
  <c r="AC11" i="43"/>
  <c r="AC13" i="43" s="1"/>
  <c r="Z7" i="43"/>
  <c r="AF11" i="43"/>
  <c r="E101" i="43"/>
  <c r="E102" i="43" s="1"/>
  <c r="H22" i="43"/>
  <c r="N101" i="43"/>
  <c r="N102" i="43" s="1"/>
  <c r="AE11" i="43"/>
  <c r="AE13" i="43" s="1"/>
  <c r="Z11" i="43"/>
  <c r="Z13" i="43" s="1"/>
  <c r="AH11" i="43"/>
  <c r="AH13" i="43" s="1"/>
  <c r="I101" i="43"/>
  <c r="I104" i="43" s="1"/>
  <c r="G7" i="1"/>
  <c r="G11" i="1"/>
  <c r="G8" i="1"/>
  <c r="C20" i="43"/>
  <c r="G10" i="1"/>
  <c r="D126" i="9"/>
  <c r="I14" i="74" s="1"/>
  <c r="B8" i="74" s="1"/>
  <c r="D125" i="9"/>
  <c r="D11" i="52" s="1"/>
  <c r="A118" i="9"/>
  <c r="A2" i="9"/>
  <c r="A4" i="52"/>
  <c r="B41" i="72" s="1"/>
  <c r="C24" i="12"/>
  <c r="C13" i="12"/>
  <c r="M47" i="9"/>
  <c r="C7" i="35"/>
  <c r="C48" i="35" s="1"/>
  <c r="D48" i="35" s="1"/>
  <c r="C77" i="9"/>
  <c r="C74" i="9" s="1"/>
  <c r="J1" i="73"/>
  <c r="C7" i="21"/>
  <c r="C58" i="21" s="1"/>
  <c r="D58" i="21" s="1"/>
  <c r="D12" i="52"/>
  <c r="D127" i="9"/>
  <c r="D13" i="52" s="1"/>
  <c r="B38" i="72"/>
  <c r="D20" i="53"/>
  <c r="B40" i="72" s="1"/>
  <c r="C36" i="69"/>
  <c r="C17" i="71"/>
  <c r="D18" i="71"/>
  <c r="AC19" i="39"/>
  <c r="W19" i="39"/>
  <c r="S23" i="33"/>
  <c r="AB35" i="37"/>
  <c r="W17" i="37"/>
  <c r="AC17" i="37"/>
  <c r="AR10" i="1"/>
  <c r="AQ10" i="1"/>
  <c r="S39" i="39"/>
  <c r="AA39" i="39"/>
  <c r="U31" i="37"/>
  <c r="AB31" i="37"/>
  <c r="U41" i="34"/>
  <c r="AB41" i="34"/>
  <c r="AB33" i="21"/>
  <c r="U33" i="21"/>
  <c r="W37" i="33"/>
  <c r="AC37" i="33"/>
  <c r="H83" i="43"/>
  <c r="H82" i="43"/>
  <c r="H85" i="43"/>
  <c r="H84" i="43"/>
  <c r="H86" i="43"/>
  <c r="H81" i="43"/>
  <c r="H87" i="43"/>
  <c r="H88" i="43"/>
  <c r="S15" i="21"/>
  <c r="AA15" i="21"/>
  <c r="S9" i="21"/>
  <c r="AA9" i="21"/>
  <c r="AA15" i="39"/>
  <c r="S15" i="39"/>
  <c r="W13" i="34"/>
  <c r="AC13" i="34"/>
  <c r="U29" i="21"/>
  <c r="AB29" i="21"/>
  <c r="AC30" i="21"/>
  <c r="W30" i="21"/>
  <c r="AA8" i="33"/>
  <c r="S8" i="33"/>
  <c r="AB9" i="33"/>
  <c r="U9" i="33"/>
  <c r="AB21" i="39"/>
  <c r="S39" i="40"/>
  <c r="AR9" i="1"/>
  <c r="AQ9" i="1"/>
  <c r="F102" i="43"/>
  <c r="O9" i="1"/>
  <c r="P9" i="1" s="1"/>
  <c r="D67" i="39"/>
  <c r="D69" i="39" s="1"/>
  <c r="D16" i="53"/>
  <c r="W19" i="37"/>
  <c r="S32" i="39"/>
  <c r="W23" i="40"/>
  <c r="M105" i="43"/>
  <c r="W23" i="33"/>
  <c r="AC23" i="33"/>
  <c r="U27" i="33"/>
  <c r="AB27" i="33"/>
  <c r="S36" i="33"/>
  <c r="AA36" i="33"/>
  <c r="U19" i="39"/>
  <c r="AR13" i="1"/>
  <c r="AQ13" i="1"/>
  <c r="BQ5" i="3"/>
  <c r="F28" i="6" s="1"/>
  <c r="AA43" i="39"/>
  <c r="S43" i="39"/>
  <c r="AB35" i="35"/>
  <c r="U35" i="35"/>
  <c r="AB31" i="34"/>
  <c r="U31" i="34"/>
  <c r="W32" i="36"/>
  <c r="AC32" i="36"/>
  <c r="U46" i="34"/>
  <c r="AB46" i="34"/>
  <c r="U45" i="33"/>
  <c r="AB45" i="33"/>
  <c r="AC33" i="35"/>
  <c r="W33" i="35"/>
  <c r="AB15" i="34"/>
  <c r="U15" i="34"/>
  <c r="AA27" i="34"/>
  <c r="S27" i="34"/>
  <c r="AC36" i="21"/>
  <c r="W36" i="21"/>
  <c r="BA421" i="3"/>
  <c r="AZ421" i="3" s="1"/>
  <c r="BD5" i="3"/>
  <c r="E13" i="6" s="1"/>
  <c r="BP5" i="3"/>
  <c r="G29" i="6" s="1"/>
  <c r="G30" i="6" s="1"/>
  <c r="G31" i="6" s="1"/>
  <c r="S29" i="21"/>
  <c r="P11" i="1"/>
  <c r="AB12" i="39"/>
  <c r="U12" i="39"/>
  <c r="AZ334" i="3"/>
  <c r="AZ515" i="3"/>
  <c r="AA14" i="40"/>
  <c r="S14" i="40"/>
  <c r="AC28" i="37"/>
  <c r="W28" i="37"/>
  <c r="S13" i="37"/>
  <c r="AA13" i="37"/>
  <c r="AA13" i="35"/>
  <c r="S13" i="35"/>
  <c r="AB13" i="36"/>
  <c r="U13" i="36"/>
  <c r="AB36" i="40"/>
  <c r="U36" i="40"/>
  <c r="AC35" i="39"/>
  <c r="W35" i="39"/>
  <c r="U36" i="21"/>
  <c r="AB36" i="21"/>
  <c r="AA39" i="21"/>
  <c r="S39" i="21"/>
  <c r="BA585" i="3"/>
  <c r="AZ585" i="3" s="1"/>
  <c r="BC5" i="3"/>
  <c r="E10" i="6" s="1"/>
  <c r="B113" i="43"/>
  <c r="C101" i="43"/>
  <c r="N104" i="46"/>
  <c r="L101" i="43"/>
  <c r="G101" i="43"/>
  <c r="J101" i="43"/>
  <c r="H101" i="43"/>
  <c r="G22" i="43"/>
  <c r="AC39" i="21"/>
  <c r="W39" i="21"/>
  <c r="H13" i="21"/>
  <c r="J13" i="21"/>
  <c r="F13" i="21"/>
  <c r="P12" i="1"/>
  <c r="N104" i="43"/>
  <c r="AA20" i="36"/>
  <c r="S20" i="36"/>
  <c r="AB32" i="37"/>
  <c r="U32" i="37"/>
  <c r="AB35" i="40"/>
  <c r="U35" i="40"/>
  <c r="F29" i="6"/>
  <c r="W15" i="37"/>
  <c r="AC15" i="37"/>
  <c r="U31" i="40"/>
  <c r="AB31" i="40"/>
  <c r="S10" i="35"/>
  <c r="AA10" i="35"/>
  <c r="AZ565" i="3"/>
  <c r="AZ518" i="3"/>
  <c r="AZ540" i="3"/>
  <c r="S29" i="34"/>
  <c r="AA29" i="34"/>
  <c r="AC40" i="37"/>
  <c r="W40" i="37"/>
  <c r="AC9" i="34"/>
  <c r="W9" i="34"/>
  <c r="J9" i="35"/>
  <c r="F9" i="35"/>
  <c r="H14" i="33"/>
  <c r="J14" i="33"/>
  <c r="F14" i="33"/>
  <c r="F44" i="33"/>
  <c r="H44" i="33"/>
  <c r="J44" i="33"/>
  <c r="H13" i="34"/>
  <c r="F13" i="34"/>
  <c r="F31" i="34"/>
  <c r="J31" i="34"/>
  <c r="F47" i="34"/>
  <c r="J47" i="34"/>
  <c r="AC8" i="36"/>
  <c r="W8" i="36"/>
  <c r="H23" i="36"/>
  <c r="J23" i="36"/>
  <c r="F23" i="36"/>
  <c r="W43" i="33"/>
  <c r="U13" i="37"/>
  <c r="AB33" i="40"/>
  <c r="AB28" i="37"/>
  <c r="AA36" i="37"/>
  <c r="AB23" i="37"/>
  <c r="S22" i="36"/>
  <c r="BL495" i="3"/>
  <c r="AZ495" i="3" s="1"/>
  <c r="AZ507" i="3"/>
  <c r="AZ577" i="3"/>
  <c r="AZ520" i="3"/>
  <c r="S12" i="40"/>
  <c r="U11" i="35"/>
  <c r="AB11" i="35"/>
  <c r="AB8" i="35"/>
  <c r="U8" i="35"/>
  <c r="AC22" i="35"/>
  <c r="W22" i="35"/>
  <c r="BL584" i="3"/>
  <c r="AZ584" i="3" s="1"/>
  <c r="BA581" i="3"/>
  <c r="AZ581" i="3" s="1"/>
  <c r="BA580" i="3"/>
  <c r="AZ580" i="3" s="1"/>
  <c r="BL579" i="3"/>
  <c r="AZ579" i="3" s="1"/>
  <c r="BA576" i="3"/>
  <c r="AZ576" i="3" s="1"/>
  <c r="BA575" i="3"/>
  <c r="AZ575" i="3" s="1"/>
  <c r="BA572" i="3"/>
  <c r="AZ572" i="3" s="1"/>
  <c r="BL571" i="3"/>
  <c r="AZ571" i="3" s="1"/>
  <c r="BL570" i="3"/>
  <c r="AZ570" i="3" s="1"/>
  <c r="BL568" i="3"/>
  <c r="BA568" i="3"/>
  <c r="BA567" i="3"/>
  <c r="AZ567" i="3" s="1"/>
  <c r="BA564" i="3"/>
  <c r="AZ564" i="3" s="1"/>
  <c r="BL563" i="3"/>
  <c r="AZ563" i="3" s="1"/>
  <c r="BA560" i="3"/>
  <c r="AZ560" i="3" s="1"/>
  <c r="BA559" i="3"/>
  <c r="AZ559" i="3" s="1"/>
  <c r="AZ511" i="3"/>
  <c r="AZ519" i="3"/>
  <c r="AZ569" i="3"/>
  <c r="U23" i="34"/>
  <c r="AB23" i="34"/>
  <c r="AB23" i="40"/>
  <c r="U23" i="40"/>
  <c r="S39" i="37"/>
  <c r="AA39" i="37"/>
  <c r="S36" i="39"/>
  <c r="AA36" i="39"/>
  <c r="BL587" i="3"/>
  <c r="AZ587" i="3" s="1"/>
  <c r="J27" i="21"/>
  <c r="F27" i="21"/>
  <c r="AC33" i="33"/>
  <c r="W33" i="33"/>
  <c r="AA34" i="34"/>
  <c r="S34" i="34"/>
  <c r="AC34" i="35"/>
  <c r="W34" i="35"/>
  <c r="W16" i="36"/>
  <c r="AC16" i="36"/>
  <c r="U35" i="21"/>
  <c r="K5" i="4"/>
  <c r="B47" i="48" s="1"/>
  <c r="AZ544" i="3"/>
  <c r="S45" i="33"/>
  <c r="U34" i="21"/>
  <c r="J44" i="21"/>
  <c r="F44" i="21"/>
  <c r="J9" i="33"/>
  <c r="F9" i="33"/>
  <c r="S12" i="34"/>
  <c r="AA12" i="34"/>
  <c r="J11" i="36"/>
  <c r="F11" i="36"/>
  <c r="AB14" i="37"/>
  <c r="U14" i="37"/>
  <c r="H40" i="37"/>
  <c r="F40" i="37"/>
  <c r="F31" i="39"/>
  <c r="J31" i="39"/>
  <c r="H31" i="39"/>
  <c r="S41" i="33"/>
  <c r="C27" i="39"/>
  <c r="S40" i="21"/>
  <c r="AC27" i="35"/>
  <c r="J12" i="34"/>
  <c r="BA550" i="3"/>
  <c r="BL548" i="3"/>
  <c r="AZ548" i="3" s="1"/>
  <c r="O8" i="1"/>
  <c r="H34" i="35"/>
  <c r="F34" i="35"/>
  <c r="H39" i="40"/>
  <c r="J39" i="40"/>
  <c r="BL550" i="3"/>
  <c r="H36" i="35"/>
  <c r="J36" i="35"/>
  <c r="G558" i="3"/>
  <c r="AZ226" i="3"/>
  <c r="AZ398" i="3"/>
  <c r="AZ430" i="3"/>
  <c r="AZ431" i="3"/>
  <c r="AZ440" i="3"/>
  <c r="AZ442" i="3"/>
  <c r="AZ444" i="3"/>
  <c r="AZ446" i="3"/>
  <c r="AZ447" i="3"/>
  <c r="AZ448" i="3"/>
  <c r="AZ450" i="3"/>
  <c r="F38" i="40"/>
  <c r="J38" i="40"/>
  <c r="G542" i="3"/>
  <c r="AZ399" i="3"/>
  <c r="AZ400" i="3"/>
  <c r="AZ402" i="3"/>
  <c r="AZ405" i="3"/>
  <c r="AZ409" i="3"/>
  <c r="AZ410" i="3"/>
  <c r="AZ413" i="3"/>
  <c r="AZ415" i="3"/>
  <c r="AZ436" i="3"/>
  <c r="AZ438" i="3"/>
  <c r="AZ443" i="3"/>
  <c r="AZ451" i="3"/>
  <c r="AZ470" i="3"/>
  <c r="AZ452" i="3"/>
  <c r="AZ456" i="3"/>
  <c r="AZ460" i="3"/>
  <c r="AZ462" i="3"/>
  <c r="AZ466" i="3"/>
  <c r="AZ471" i="3"/>
  <c r="AZ487" i="3"/>
  <c r="AZ492" i="3"/>
  <c r="AZ208" i="3"/>
  <c r="AZ216" i="3"/>
  <c r="AZ219" i="3"/>
  <c r="BA221" i="3"/>
  <c r="AZ221" i="3" s="1"/>
  <c r="BA223" i="3"/>
  <c r="AZ278" i="3"/>
  <c r="AZ290" i="3"/>
  <c r="AZ467" i="3"/>
  <c r="AZ469" i="3"/>
  <c r="AZ474" i="3"/>
  <c r="AZ476" i="3"/>
  <c r="AZ478" i="3"/>
  <c r="AZ480" i="3"/>
  <c r="AZ482" i="3"/>
  <c r="AZ484" i="3"/>
  <c r="AZ486" i="3"/>
  <c r="AZ488" i="3"/>
  <c r="BL354" i="3"/>
  <c r="AZ354" i="3" s="1"/>
  <c r="AZ211" i="3"/>
  <c r="AZ217" i="3"/>
  <c r="AZ220" i="3"/>
  <c r="BL226" i="3"/>
  <c r="BA234" i="3"/>
  <c r="AZ234" i="3" s="1"/>
  <c r="BL246" i="3"/>
  <c r="AZ246" i="3" s="1"/>
  <c r="BA251" i="3"/>
  <c r="AZ251" i="3" s="1"/>
  <c r="AZ252" i="3"/>
  <c r="BA256" i="3"/>
  <c r="AZ256" i="3" s="1"/>
  <c r="AZ270" i="3"/>
  <c r="AZ276" i="3"/>
  <c r="BA288" i="3"/>
  <c r="AZ288" i="3" s="1"/>
  <c r="AZ289" i="3"/>
  <c r="AZ129" i="3"/>
  <c r="BA453" i="3"/>
  <c r="AZ453" i="3" s="1"/>
  <c r="BL459" i="3"/>
  <c r="AZ459" i="3" s="1"/>
  <c r="G461" i="3"/>
  <c r="BL464" i="3"/>
  <c r="AZ464" i="3" s="1"/>
  <c r="BA468" i="3"/>
  <c r="AZ468" i="3" s="1"/>
  <c r="BL470" i="3"/>
  <c r="G472" i="3"/>
  <c r="BA475" i="3"/>
  <c r="AZ475" i="3" s="1"/>
  <c r="BA477" i="3"/>
  <c r="AZ477" i="3" s="1"/>
  <c r="BA479" i="3"/>
  <c r="AZ479" i="3" s="1"/>
  <c r="BA481" i="3"/>
  <c r="AZ481" i="3" s="1"/>
  <c r="BA483" i="3"/>
  <c r="AZ483" i="3" s="1"/>
  <c r="AZ485" i="3"/>
  <c r="AZ489" i="3"/>
  <c r="BA490" i="3"/>
  <c r="AZ490" i="3" s="1"/>
  <c r="G311" i="3"/>
  <c r="G315" i="3"/>
  <c r="G318" i="3"/>
  <c r="BL330" i="3"/>
  <c r="AZ330" i="3" s="1"/>
  <c r="BL333" i="3"/>
  <c r="AZ333" i="3" s="1"/>
  <c r="BA339" i="3"/>
  <c r="AZ339" i="3" s="1"/>
  <c r="G362" i="3"/>
  <c r="BL365" i="3"/>
  <c r="AZ365" i="3" s="1"/>
  <c r="G366" i="3"/>
  <c r="BA370" i="3"/>
  <c r="AZ370" i="3" s="1"/>
  <c r="BA388" i="3"/>
  <c r="AZ388" i="3" s="1"/>
  <c r="BL396" i="3"/>
  <c r="AZ396" i="3" s="1"/>
  <c r="G397" i="3"/>
  <c r="BA210" i="3"/>
  <c r="AZ210" i="3" s="1"/>
  <c r="AZ212" i="3"/>
  <c r="BA213" i="3"/>
  <c r="AZ213" i="3" s="1"/>
  <c r="G222" i="3"/>
  <c r="BL223" i="3"/>
  <c r="G224" i="3"/>
  <c r="BL225" i="3"/>
  <c r="AZ225" i="3" s="1"/>
  <c r="BA229" i="3"/>
  <c r="AZ229" i="3" s="1"/>
  <c r="AZ230" i="3"/>
  <c r="BA232" i="3"/>
  <c r="AZ232" i="3" s="1"/>
  <c r="BL236" i="3"/>
  <c r="AZ236" i="3" s="1"/>
  <c r="G237" i="3"/>
  <c r="BL238" i="3"/>
  <c r="AZ238" i="3" s="1"/>
  <c r="G239" i="3"/>
  <c r="BL240" i="3"/>
  <c r="AZ240" i="3" s="1"/>
  <c r="BL243" i="3"/>
  <c r="AZ243" i="3" s="1"/>
  <c r="G244" i="3"/>
  <c r="BL245" i="3"/>
  <c r="AZ245" i="3" s="1"/>
  <c r="BA249" i="3"/>
  <c r="AZ249" i="3" s="1"/>
  <c r="BA253" i="3"/>
  <c r="AZ253" i="3" s="1"/>
  <c r="AZ255" i="3"/>
  <c r="BL258" i="3"/>
  <c r="AZ258" i="3" s="1"/>
  <c r="G259" i="3"/>
  <c r="BL260" i="3"/>
  <c r="AZ260" i="3" s="1"/>
  <c r="BA269" i="3"/>
  <c r="AZ269" i="3" s="1"/>
  <c r="AZ272" i="3"/>
  <c r="BL274" i="3"/>
  <c r="BL283" i="3"/>
  <c r="AZ283" i="3" s="1"/>
  <c r="BL285" i="3"/>
  <c r="G262" i="3"/>
  <c r="BA266" i="3"/>
  <c r="AZ266" i="3" s="1"/>
  <c r="G272" i="3"/>
  <c r="BL279" i="3"/>
  <c r="AZ279" i="3" s="1"/>
  <c r="BA287" i="3"/>
  <c r="AZ287" i="3" s="1"/>
  <c r="BL293" i="3"/>
  <c r="BL295" i="3"/>
  <c r="AZ295" i="3" s="1"/>
  <c r="AZ300" i="3"/>
  <c r="BL301" i="3"/>
  <c r="BL113" i="3"/>
  <c r="AZ113" i="3" s="1"/>
  <c r="BL114" i="3"/>
  <c r="AZ114" i="3" s="1"/>
  <c r="BA116" i="3"/>
  <c r="AZ116" i="3" s="1"/>
  <c r="AZ122" i="3"/>
  <c r="BL129" i="3"/>
  <c r="AZ141" i="3"/>
  <c r="BL145" i="3"/>
  <c r="AZ145" i="3" s="1"/>
  <c r="BA150" i="3"/>
  <c r="AZ150" i="3" s="1"/>
  <c r="BA153" i="3"/>
  <c r="AZ153" i="3" s="1"/>
  <c r="BL157" i="3"/>
  <c r="AZ157" i="3" s="1"/>
  <c r="BL162" i="3"/>
  <c r="AZ162" i="3" s="1"/>
  <c r="BA164" i="3"/>
  <c r="AZ164" i="3" s="1"/>
  <c r="BA170" i="3"/>
  <c r="AZ170" i="3" s="1"/>
  <c r="AZ193" i="3"/>
  <c r="BL205" i="3"/>
  <c r="AZ205" i="3" s="1"/>
  <c r="AZ25" i="3"/>
  <c r="BA28" i="3"/>
  <c r="BL38" i="3"/>
  <c r="BL5" i="3" s="1"/>
  <c r="BA43" i="3"/>
  <c r="AZ43" i="3" s="1"/>
  <c r="AZ44" i="3"/>
  <c r="AZ48" i="3"/>
  <c r="BA49" i="3"/>
  <c r="AZ49" i="3" s="1"/>
  <c r="BA53" i="3"/>
  <c r="AZ53" i="3" s="1"/>
  <c r="BA54" i="3"/>
  <c r="AZ54" i="3" s="1"/>
  <c r="G265" i="3"/>
  <c r="BA271" i="3"/>
  <c r="AZ271" i="3" s="1"/>
  <c r="G275" i="3"/>
  <c r="G278" i="3"/>
  <c r="G283" i="3"/>
  <c r="G286" i="3"/>
  <c r="BL289" i="3"/>
  <c r="G291" i="3"/>
  <c r="BA293" i="3"/>
  <c r="AZ293" i="3" s="1"/>
  <c r="BL297" i="3"/>
  <c r="AZ297" i="3" s="1"/>
  <c r="G299" i="3"/>
  <c r="BA301" i="3"/>
  <c r="AZ134" i="3"/>
  <c r="AZ169" i="3"/>
  <c r="BL183" i="3"/>
  <c r="AZ183" i="3" s="1"/>
  <c r="BL203" i="3"/>
  <c r="AZ203" i="3" s="1"/>
  <c r="G204" i="3"/>
  <c r="AZ23" i="3"/>
  <c r="BL32" i="3"/>
  <c r="AZ32" i="3" s="1"/>
  <c r="BL35" i="3"/>
  <c r="AZ35" i="3" s="1"/>
  <c r="G36" i="3"/>
  <c r="BL37" i="3"/>
  <c r="AZ37" i="3" s="1"/>
  <c r="BA41" i="3"/>
  <c r="AZ41" i="3" s="1"/>
  <c r="BA45" i="3"/>
  <c r="AZ45" i="3" s="1"/>
  <c r="BA46" i="3"/>
  <c r="AZ46" i="3" s="1"/>
  <c r="BL56" i="3"/>
  <c r="AZ56" i="3" s="1"/>
  <c r="G57" i="3"/>
  <c r="BL58" i="3"/>
  <c r="AZ58" i="3" s="1"/>
  <c r="BL61" i="3"/>
  <c r="AZ61" i="3" s="1"/>
  <c r="G62" i="3"/>
  <c r="G64" i="3"/>
  <c r="BL65" i="3"/>
  <c r="AZ65" i="3" s="1"/>
  <c r="AZ70" i="3"/>
  <c r="N63" i="71"/>
  <c r="N62" i="71"/>
  <c r="BA264" i="3"/>
  <c r="AZ264" i="3" s="1"/>
  <c r="BL268" i="3"/>
  <c r="AZ268" i="3" s="1"/>
  <c r="BA274" i="3"/>
  <c r="BA277" i="3"/>
  <c r="AZ277" i="3" s="1"/>
  <c r="BA282" i="3"/>
  <c r="AZ282" i="3" s="1"/>
  <c r="BA285" i="3"/>
  <c r="AZ285" i="3" s="1"/>
  <c r="BL290" i="3"/>
  <c r="BA294" i="3"/>
  <c r="AZ294" i="3" s="1"/>
  <c r="BL298" i="3"/>
  <c r="AZ298" i="3" s="1"/>
  <c r="BA302" i="3"/>
  <c r="AZ302" i="3" s="1"/>
  <c r="AZ126" i="3"/>
  <c r="AZ137" i="3"/>
  <c r="AZ177" i="3"/>
  <c r="BL201" i="3"/>
  <c r="AZ201" i="3" s="1"/>
  <c r="AZ18" i="3"/>
  <c r="G29" i="3"/>
  <c r="BL30" i="3"/>
  <c r="AZ30" i="3" s="1"/>
  <c r="BA38" i="3"/>
  <c r="AZ38" i="3" s="1"/>
  <c r="G49" i="3"/>
  <c r="BL50" i="3"/>
  <c r="AZ50" i="3" s="1"/>
  <c r="G54" i="3"/>
  <c r="BL55" i="3"/>
  <c r="AZ55" i="3" s="1"/>
  <c r="AZ73" i="3"/>
  <c r="P62" i="71"/>
  <c r="P63" i="71"/>
  <c r="BA64" i="3"/>
  <c r="AZ64" i="3" s="1"/>
  <c r="BL68" i="3"/>
  <c r="AZ68" i="3" s="1"/>
  <c r="BA79" i="3"/>
  <c r="AZ79" i="3" s="1"/>
  <c r="AZ81" i="3"/>
  <c r="AZ87" i="3"/>
  <c r="BA91" i="3"/>
  <c r="AZ91" i="3" s="1"/>
  <c r="BL96" i="3"/>
  <c r="G101" i="3"/>
  <c r="G103" i="3"/>
  <c r="BA105" i="3"/>
  <c r="AZ105" i="3" s="1"/>
  <c r="BA108" i="3"/>
  <c r="AZ108" i="3" s="1"/>
  <c r="BA110" i="3"/>
  <c r="AZ110" i="3" s="1"/>
  <c r="AZ112" i="3"/>
  <c r="Y15" i="71"/>
  <c r="Z15" i="71" s="1"/>
  <c r="Y14" i="71"/>
  <c r="Z14" i="71" s="1"/>
  <c r="Y10" i="71"/>
  <c r="Z10" i="71" s="1"/>
  <c r="AB14" i="71"/>
  <c r="AB11" i="71"/>
  <c r="BL63" i="3"/>
  <c r="AZ63" i="3" s="1"/>
  <c r="G70" i="3"/>
  <c r="BA71" i="3"/>
  <c r="AZ71" i="3" s="1"/>
  <c r="BL73" i="3"/>
  <c r="G75" i="3"/>
  <c r="BL76" i="3"/>
  <c r="AZ76" i="3" s="1"/>
  <c r="AZ90" i="3"/>
  <c r="W18" i="35"/>
  <c r="AC18" i="35"/>
  <c r="B86" i="43"/>
  <c r="C25" i="40"/>
  <c r="AA18" i="35"/>
  <c r="S18" i="35"/>
  <c r="T61" i="71"/>
  <c r="D61" i="71"/>
  <c r="AA29" i="71"/>
  <c r="AA28" i="71"/>
  <c r="AF12" i="43"/>
  <c r="AF10" i="43"/>
  <c r="BL66" i="3"/>
  <c r="AZ66" i="3" s="1"/>
  <c r="G67" i="3"/>
  <c r="BA69" i="3"/>
  <c r="AZ69" i="3" s="1"/>
  <c r="G80" i="3"/>
  <c r="BL81" i="3"/>
  <c r="BL83" i="3"/>
  <c r="AZ83" i="3" s="1"/>
  <c r="BL85" i="3"/>
  <c r="AZ85" i="3" s="1"/>
  <c r="G92" i="3"/>
  <c r="AZ96" i="3"/>
  <c r="AZ98" i="3"/>
  <c r="BA100" i="3"/>
  <c r="AZ100" i="3" s="1"/>
  <c r="BA102" i="3"/>
  <c r="AZ102" i="3" s="1"/>
  <c r="G106" i="3"/>
  <c r="G109" i="3"/>
  <c r="G111" i="3"/>
  <c r="BL112" i="3"/>
  <c r="G108" i="43"/>
  <c r="G100" i="43"/>
  <c r="AA23" i="71"/>
  <c r="I108" i="43"/>
  <c r="I100" i="43"/>
  <c r="AB21" i="21"/>
  <c r="U21" i="21"/>
  <c r="P27" i="6"/>
  <c r="T57" i="71"/>
  <c r="X28" i="71"/>
  <c r="AB27" i="71"/>
  <c r="AB26" i="71"/>
  <c r="U77" i="71"/>
  <c r="E76" i="71"/>
  <c r="E75" i="71" s="1"/>
  <c r="X19" i="71"/>
  <c r="X18" i="71"/>
  <c r="AA15" i="71"/>
  <c r="E100" i="43"/>
  <c r="AB5" i="71"/>
  <c r="X5" i="71"/>
  <c r="Y5" i="71"/>
  <c r="Z5" i="71" s="1"/>
  <c r="AA5" i="71"/>
  <c r="D32" i="71"/>
  <c r="D56" i="71"/>
  <c r="X22" i="71"/>
  <c r="B31" i="71"/>
  <c r="B32" i="71" s="1"/>
  <c r="B33" i="71" s="1"/>
  <c r="S33" i="71" s="1"/>
  <c r="X29" i="71"/>
  <c r="F35" i="71"/>
  <c r="F36" i="71" s="1"/>
  <c r="F37" i="71" s="1"/>
  <c r="V37" i="71" s="1"/>
  <c r="AB31" i="71"/>
  <c r="AB30" i="71"/>
  <c r="AB34" i="71"/>
  <c r="AB32" i="71"/>
  <c r="AB29" i="71"/>
  <c r="C40" i="71"/>
  <c r="D51" i="71"/>
  <c r="C52" i="71"/>
  <c r="V73" i="71"/>
  <c r="F72" i="71"/>
  <c r="F71" i="71" s="1"/>
  <c r="AA21" i="34"/>
  <c r="S21" i="34"/>
  <c r="AA24" i="71"/>
  <c r="AA25" i="71"/>
  <c r="E25" i="71"/>
  <c r="AA22" i="71"/>
  <c r="T33" i="71"/>
  <c r="D33" i="71"/>
  <c r="Y23" i="71"/>
  <c r="Z23" i="71" s="1"/>
  <c r="Y25" i="71"/>
  <c r="Z25" i="71" s="1"/>
  <c r="Y19" i="71"/>
  <c r="Z19" i="71" s="1"/>
  <c r="C25" i="71"/>
  <c r="Y24" i="71"/>
  <c r="Z24" i="71" s="1"/>
  <c r="E27" i="71"/>
  <c r="E28" i="71" s="1"/>
  <c r="E29" i="71" s="1"/>
  <c r="U29" i="71" s="1"/>
  <c r="AA26" i="71"/>
  <c r="D47" i="71"/>
  <c r="C48" i="71"/>
  <c r="AB24" i="71"/>
  <c r="AB22" i="71"/>
  <c r="AA21" i="71"/>
  <c r="E21" i="71"/>
  <c r="AA3" i="71"/>
  <c r="W21" i="34"/>
  <c r="U18" i="35"/>
  <c r="X27" i="71"/>
  <c r="X26" i="71"/>
  <c r="X25" i="71"/>
  <c r="AB6" i="71"/>
  <c r="AD12" i="43"/>
  <c r="AD10" i="43"/>
  <c r="P74" i="67"/>
  <c r="AA19" i="71"/>
  <c r="AA20" i="71"/>
  <c r="AB15" i="71"/>
  <c r="Y9" i="71"/>
  <c r="Z9" i="71" s="1"/>
  <c r="S21" i="21"/>
  <c r="D28" i="71"/>
  <c r="AB25" i="71"/>
  <c r="X24" i="71"/>
  <c r="E32" i="71"/>
  <c r="E33" i="71" s="1"/>
  <c r="U33" i="71" s="1"/>
  <c r="Y28" i="71"/>
  <c r="Z28" i="71" s="1"/>
  <c r="C36" i="71"/>
  <c r="AB36" i="71"/>
  <c r="E44" i="71"/>
  <c r="E45" i="71" s="1"/>
  <c r="U45" i="71" s="1"/>
  <c r="B76" i="71"/>
  <c r="B75" i="71" s="1"/>
  <c r="N56" i="9"/>
  <c r="M56" i="9"/>
  <c r="AB21" i="71"/>
  <c r="AA18" i="71"/>
  <c r="X15" i="71"/>
  <c r="AA11" i="71"/>
  <c r="AA9" i="71"/>
  <c r="X23" i="71"/>
  <c r="Y26" i="71"/>
  <c r="Z26" i="71" s="1"/>
  <c r="AA27" i="71"/>
  <c r="Y29" i="71"/>
  <c r="Z29" i="71" s="1"/>
  <c r="AB33" i="71"/>
  <c r="E35" i="71"/>
  <c r="E36" i="71" s="1"/>
  <c r="E37" i="71" s="1"/>
  <c r="U37" i="71" s="1"/>
  <c r="AA34" i="71"/>
  <c r="AB35" i="71"/>
  <c r="Y7" i="71"/>
  <c r="Z7" i="71" s="1"/>
  <c r="Y6" i="71"/>
  <c r="Z6" i="71" s="1"/>
  <c r="E48" i="71"/>
  <c r="E49" i="71" s="1"/>
  <c r="U49" i="71" s="1"/>
  <c r="T69" i="71"/>
  <c r="D69" i="71"/>
  <c r="AJ10" i="43"/>
  <c r="Y21" i="71"/>
  <c r="Z21" i="71" s="1"/>
  <c r="Y20" i="71"/>
  <c r="Z20" i="71" s="1"/>
  <c r="Y18" i="71"/>
  <c r="Z18" i="71" s="1"/>
  <c r="X14" i="71"/>
  <c r="AA14" i="71"/>
  <c r="AB12" i="71"/>
  <c r="AB10" i="71"/>
  <c r="AB7" i="71"/>
  <c r="AB9" i="71"/>
  <c r="AB8" i="71"/>
  <c r="X8" i="71"/>
  <c r="X6" i="71"/>
  <c r="AB18" i="71"/>
  <c r="X12" i="71"/>
  <c r="Y8" i="71"/>
  <c r="Z8" i="71" s="1"/>
  <c r="Y11" i="71"/>
  <c r="Z11" i="71" s="1"/>
  <c r="AA10" i="71"/>
  <c r="X7" i="71"/>
  <c r="AA6" i="71"/>
  <c r="AA8" i="71"/>
  <c r="X10" i="71"/>
  <c r="AA12" i="71"/>
  <c r="AA7" i="71"/>
  <c r="X9" i="71"/>
  <c r="X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36" i="68"/>
  <c r="C6" i="67"/>
  <c r="B10" i="70"/>
  <c r="Q71" i="15"/>
  <c r="C34" i="15"/>
  <c r="F63" i="15"/>
  <c r="C62" i="15" s="1"/>
  <c r="J53" i="15"/>
  <c r="L56" i="15" s="1"/>
  <c r="J57" i="15"/>
  <c r="J55" i="15" s="1"/>
  <c r="J58" i="15" s="1"/>
  <c r="Q50" i="15" s="1"/>
  <c r="I54" i="15"/>
  <c r="I1" i="73"/>
  <c r="B39" i="1" s="1"/>
  <c r="F51" i="67"/>
  <c r="B12" i="70"/>
  <c r="J53" i="67"/>
  <c r="J57" i="67"/>
  <c r="J55" i="67" s="1"/>
  <c r="J58" i="67" s="1"/>
  <c r="Q50" i="67" s="1"/>
  <c r="L56" i="67"/>
  <c r="I54" i="67"/>
  <c r="F69" i="15"/>
  <c r="M7" i="15"/>
  <c r="F50" i="15"/>
  <c r="F51" i="15"/>
  <c r="F71" i="15"/>
  <c r="B7" i="70"/>
  <c r="C6" i="15"/>
  <c r="F69" i="67"/>
  <c r="B11" i="70"/>
  <c r="L59" i="15"/>
  <c r="N59" i="15"/>
  <c r="L58" i="15"/>
  <c r="M59" i="15"/>
  <c r="B8" i="70"/>
  <c r="Q71" i="67"/>
  <c r="F64" i="15"/>
  <c r="C27" i="67"/>
  <c r="F71" i="67"/>
  <c r="C27" i="15"/>
  <c r="B9" i="70"/>
  <c r="N59" i="67"/>
  <c r="L59" i="67"/>
  <c r="L58" i="67"/>
  <c r="M59" i="67"/>
  <c r="B13" i="70"/>
  <c r="M7" i="67"/>
  <c r="J6" i="67" s="1"/>
  <c r="F50" i="67"/>
  <c r="F68" i="67"/>
  <c r="F68" i="15"/>
  <c r="C16" i="15"/>
  <c r="D5" i="73"/>
  <c r="F38" i="15"/>
  <c r="C16" i="67"/>
  <c r="M22" i="15"/>
  <c r="D6" i="73"/>
  <c r="C17" i="67"/>
  <c r="C14" i="15"/>
  <c r="D3" i="73"/>
  <c r="M23" i="15"/>
  <c r="M21" i="15"/>
  <c r="F37" i="15"/>
  <c r="D7" i="73"/>
  <c r="D4" i="73"/>
  <c r="C17" i="15"/>
  <c r="C14" i="67"/>
  <c r="M8" i="15"/>
  <c r="U29" i="35" l="1"/>
  <c r="I87" i="35"/>
  <c r="J87" i="35" s="1"/>
  <c r="K87" i="35" s="1"/>
  <c r="L87" i="35" s="1"/>
  <c r="M87" i="35" s="1"/>
  <c r="J29" i="35"/>
  <c r="AA14" i="35"/>
  <c r="S14" i="35"/>
  <c r="H14" i="35"/>
  <c r="F64" i="35"/>
  <c r="G64" i="35" s="1"/>
  <c r="W14" i="35"/>
  <c r="AC14" i="35"/>
  <c r="AC26" i="35"/>
  <c r="W26" i="35"/>
  <c r="G16" i="1"/>
  <c r="F10" i="39" s="1"/>
  <c r="AA10" i="39" s="1"/>
  <c r="F48" i="69"/>
  <c r="C30" i="69"/>
  <c r="C48" i="69"/>
  <c r="C30" i="68"/>
  <c r="M18" i="15"/>
  <c r="C48" i="68"/>
  <c r="F48" i="9"/>
  <c r="O52" i="9" s="1"/>
  <c r="F32" i="67"/>
  <c r="F60" i="67" s="1"/>
  <c r="D68" i="9"/>
  <c r="F28" i="67"/>
  <c r="C28" i="67" s="1"/>
  <c r="C29" i="12"/>
  <c r="D28" i="12" s="1"/>
  <c r="C48" i="11"/>
  <c r="C30" i="11"/>
  <c r="F107" i="43"/>
  <c r="F105" i="43"/>
  <c r="F27" i="69"/>
  <c r="F45" i="69" s="1"/>
  <c r="M109" i="43"/>
  <c r="F106" i="43"/>
  <c r="P6" i="1"/>
  <c r="AD13" i="43"/>
  <c r="F27" i="11"/>
  <c r="C47" i="11" s="1"/>
  <c r="D45" i="11" s="1"/>
  <c r="K106" i="43"/>
  <c r="K105" i="43"/>
  <c r="D22" i="43"/>
  <c r="K103" i="43"/>
  <c r="K104" i="43"/>
  <c r="G109" i="43"/>
  <c r="E103" i="43"/>
  <c r="K102" i="43"/>
  <c r="M102" i="43"/>
  <c r="F104" i="43"/>
  <c r="K109" i="43"/>
  <c r="M104" i="43"/>
  <c r="M107" i="43"/>
  <c r="I105" i="43"/>
  <c r="M106" i="43"/>
  <c r="F109" i="43"/>
  <c r="D106" i="43"/>
  <c r="N109" i="43"/>
  <c r="D103" i="43"/>
  <c r="D109" i="43"/>
  <c r="AF13" i="43"/>
  <c r="N105" i="43"/>
  <c r="D102" i="43"/>
  <c r="F27" i="68"/>
  <c r="D105" i="43"/>
  <c r="D107" i="43"/>
  <c r="E12" i="6"/>
  <c r="E57" i="40" s="1"/>
  <c r="I109" i="43"/>
  <c r="C15" i="15"/>
  <c r="C18" i="15"/>
  <c r="E14" i="6"/>
  <c r="E11" i="6"/>
  <c r="E60" i="39" s="1"/>
  <c r="E15" i="6"/>
  <c r="E60" i="40" s="1"/>
  <c r="I106" i="43"/>
  <c r="I107" i="43"/>
  <c r="I103" i="43"/>
  <c r="I102" i="43"/>
  <c r="E107" i="43"/>
  <c r="E105" i="43"/>
  <c r="E104" i="43"/>
  <c r="E109" i="43"/>
  <c r="E106" i="43"/>
  <c r="N103" i="43"/>
  <c r="N106" i="43"/>
  <c r="N107" i="43"/>
  <c r="F10" i="40"/>
  <c r="S10" i="40" s="1"/>
  <c r="J10" i="40"/>
  <c r="W10" i="40" s="1"/>
  <c r="K1" i="73"/>
  <c r="J7" i="37"/>
  <c r="W7" i="37" s="1"/>
  <c r="F65" i="15"/>
  <c r="J20" i="15"/>
  <c r="F66" i="15"/>
  <c r="B12" i="71"/>
  <c r="B11" i="71" s="1"/>
  <c r="B10" i="71" s="1"/>
  <c r="B9" i="71" s="1"/>
  <c r="S13" i="71"/>
  <c r="W31" i="39"/>
  <c r="AC31" i="39"/>
  <c r="AA44" i="21"/>
  <c r="S44" i="21"/>
  <c r="AA27" i="21"/>
  <c r="S27" i="21"/>
  <c r="AC23" i="36"/>
  <c r="W23" i="36"/>
  <c r="AC47" i="34"/>
  <c r="W47" i="34"/>
  <c r="AA13" i="34"/>
  <c r="S13" i="34"/>
  <c r="AA44" i="33"/>
  <c r="S44" i="33"/>
  <c r="F30" i="6"/>
  <c r="F31" i="6" s="1"/>
  <c r="E28" i="6"/>
  <c r="J7" i="34"/>
  <c r="AZ301" i="3"/>
  <c r="AC39" i="40"/>
  <c r="W39" i="40"/>
  <c r="AZ550" i="3"/>
  <c r="AA31" i="39"/>
  <c r="S31" i="39"/>
  <c r="AC44" i="21"/>
  <c r="W44" i="21"/>
  <c r="W27" i="21"/>
  <c r="AC27" i="21"/>
  <c r="AB23" i="36"/>
  <c r="U23" i="36"/>
  <c r="S47" i="34"/>
  <c r="AA47" i="34"/>
  <c r="AB13" i="34"/>
  <c r="U13" i="34"/>
  <c r="S14" i="33"/>
  <c r="AA14" i="33"/>
  <c r="AC9" i="35"/>
  <c r="W9" i="35"/>
  <c r="AA13" i="21"/>
  <c r="S13" i="21"/>
  <c r="G104" i="43"/>
  <c r="G107" i="43"/>
  <c r="G106" i="43"/>
  <c r="G103" i="43"/>
  <c r="G105" i="43"/>
  <c r="G102" i="43"/>
  <c r="I115" i="43"/>
  <c r="J115" i="43" s="1"/>
  <c r="K115" i="43" s="1"/>
  <c r="L115" i="43" s="1"/>
  <c r="M115" i="43" s="1"/>
  <c r="B116" i="43"/>
  <c r="C116" i="43" s="1"/>
  <c r="I117" i="43"/>
  <c r="J117" i="43" s="1"/>
  <c r="K117" i="43" s="1"/>
  <c r="L117" i="43" s="1"/>
  <c r="M117" i="43" s="1"/>
  <c r="I116" i="43"/>
  <c r="J116" i="43" s="1"/>
  <c r="K116" i="43" s="1"/>
  <c r="L116" i="43" s="1"/>
  <c r="M116" i="43" s="1"/>
  <c r="D116" i="43"/>
  <c r="E116" i="43" s="1"/>
  <c r="F116" i="43" s="1"/>
  <c r="G116" i="43" s="1"/>
  <c r="H116" i="43" s="1"/>
  <c r="G118" i="43"/>
  <c r="H118" i="43" s="1"/>
  <c r="B118" i="43"/>
  <c r="C118" i="43" s="1"/>
  <c r="B117" i="43"/>
  <c r="C117" i="43" s="1"/>
  <c r="B115" i="43"/>
  <c r="I118" i="43"/>
  <c r="J118" i="43" s="1"/>
  <c r="K118" i="43" s="1"/>
  <c r="L118" i="43" s="1"/>
  <c r="M118" i="43" s="1"/>
  <c r="D115" i="43"/>
  <c r="E115" i="43" s="1"/>
  <c r="F115" i="43" s="1"/>
  <c r="G115" i="43" s="1"/>
  <c r="H115" i="43" s="1"/>
  <c r="D117" i="43"/>
  <c r="E117" i="43" s="1"/>
  <c r="F117" i="43" s="1"/>
  <c r="G117" i="43" s="1"/>
  <c r="H117" i="43" s="1"/>
  <c r="D118" i="43"/>
  <c r="E118" i="43" s="1"/>
  <c r="F118" i="43" s="1"/>
  <c r="E61" i="39"/>
  <c r="B34" i="72"/>
  <c r="D17" i="53"/>
  <c r="B36" i="72" s="1"/>
  <c r="C24" i="71"/>
  <c r="T25" i="71"/>
  <c r="D25" i="71"/>
  <c r="U25" i="71" s="1"/>
  <c r="AA9" i="35"/>
  <c r="S9" i="35"/>
  <c r="J102" i="43"/>
  <c r="J107" i="43"/>
  <c r="J104" i="43"/>
  <c r="J109" i="43"/>
  <c r="J105" i="43"/>
  <c r="J103" i="43"/>
  <c r="J106" i="43"/>
  <c r="C107" i="43"/>
  <c r="C103" i="43"/>
  <c r="C109" i="43"/>
  <c r="C105" i="43"/>
  <c r="C102" i="43"/>
  <c r="C106" i="43"/>
  <c r="C104" i="43"/>
  <c r="F7" i="36"/>
  <c r="S7" i="36" s="1"/>
  <c r="H7" i="36"/>
  <c r="F7" i="34"/>
  <c r="S7" i="34" s="1"/>
  <c r="C7" i="43"/>
  <c r="C37" i="71"/>
  <c r="D36" i="71"/>
  <c r="C53" i="71"/>
  <c r="D52" i="71"/>
  <c r="AZ28" i="3"/>
  <c r="BA5" i="3"/>
  <c r="E27" i="6" s="1"/>
  <c r="AZ223" i="3"/>
  <c r="AC38" i="40"/>
  <c r="W38" i="40"/>
  <c r="AC36" i="35"/>
  <c r="W36" i="35"/>
  <c r="U39" i="40"/>
  <c r="AB39" i="40"/>
  <c r="P8" i="1"/>
  <c r="AC12" i="34"/>
  <c r="W12" i="34"/>
  <c r="AA40" i="37"/>
  <c r="S40" i="37"/>
  <c r="AA11" i="36"/>
  <c r="S11" i="36"/>
  <c r="S9" i="33"/>
  <c r="AA9" i="33"/>
  <c r="E63" i="39"/>
  <c r="E59" i="40"/>
  <c r="AC31" i="34"/>
  <c r="W31" i="34"/>
  <c r="AC44" i="33"/>
  <c r="W44" i="33"/>
  <c r="AC14" i="33"/>
  <c r="W14" i="33"/>
  <c r="E29" i="6"/>
  <c r="K15" i="1" s="1"/>
  <c r="AC13" i="21"/>
  <c r="W13" i="21"/>
  <c r="L106" i="43"/>
  <c r="L103" i="43"/>
  <c r="L109" i="43"/>
  <c r="L102" i="43"/>
  <c r="L105" i="43"/>
  <c r="L107" i="43"/>
  <c r="L104" i="43"/>
  <c r="G5" i="3"/>
  <c r="B3" i="3" s="1"/>
  <c r="E70" i="3" s="1"/>
  <c r="C41" i="71"/>
  <c r="D40" i="71"/>
  <c r="U34" i="35"/>
  <c r="AB34" i="35"/>
  <c r="J6" i="15"/>
  <c r="J18" i="15" s="1"/>
  <c r="V21" i="71"/>
  <c r="E20" i="71"/>
  <c r="E19" i="71" s="1"/>
  <c r="E18" i="71" s="1"/>
  <c r="E17" i="71" s="1"/>
  <c r="C49" i="71"/>
  <c r="D48" i="71"/>
  <c r="V25" i="71"/>
  <c r="E24" i="71"/>
  <c r="E23" i="71" s="1"/>
  <c r="E103" i="3"/>
  <c r="AZ5" i="3"/>
  <c r="AZ274" i="3"/>
  <c r="S38" i="40"/>
  <c r="AA38" i="40"/>
  <c r="AB36" i="35"/>
  <c r="U36" i="35"/>
  <c r="AA34" i="35"/>
  <c r="S34" i="35"/>
  <c r="AB31" i="39"/>
  <c r="U31" i="39"/>
  <c r="U40" i="37"/>
  <c r="AB40" i="37"/>
  <c r="AC11" i="36"/>
  <c r="W11" i="36"/>
  <c r="AC9" i="33"/>
  <c r="W9" i="33"/>
  <c r="E62" i="39"/>
  <c r="E58" i="40"/>
  <c r="AZ568" i="3"/>
  <c r="AA23" i="36"/>
  <c r="S23" i="36"/>
  <c r="S31" i="34"/>
  <c r="AA31" i="34"/>
  <c r="U44" i="33"/>
  <c r="AB44" i="33"/>
  <c r="AB14" i="33"/>
  <c r="U14" i="33"/>
  <c r="U13" i="21"/>
  <c r="AB13" i="21"/>
  <c r="H102" i="43"/>
  <c r="H104" i="43"/>
  <c r="H105" i="43"/>
  <c r="H106" i="43"/>
  <c r="H109" i="43"/>
  <c r="H107" i="43"/>
  <c r="H103" i="43"/>
  <c r="C16" i="71"/>
  <c r="T17" i="71"/>
  <c r="D17" i="71"/>
  <c r="U17" i="71"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H7" i="33"/>
  <c r="J7" i="33"/>
  <c r="D65" i="40"/>
  <c r="E63" i="40"/>
  <c r="F48" i="35"/>
  <c r="AC7" i="37"/>
  <c r="V42" i="37" s="1"/>
  <c r="I42" i="37" s="1"/>
  <c r="AB7" i="36"/>
  <c r="T36" i="36" s="1"/>
  <c r="G36" i="36" s="1"/>
  <c r="U7" i="36"/>
  <c r="AB7" i="34"/>
  <c r="T49" i="34" s="1"/>
  <c r="G49" i="34" s="1"/>
  <c r="U7" i="34"/>
  <c r="AA7" i="34"/>
  <c r="R49" i="34" s="1"/>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C32" i="67"/>
  <c r="Q60" i="67"/>
  <c r="Q73" i="67"/>
  <c r="M28" i="43"/>
  <c r="N28" i="43"/>
  <c r="O28" i="43"/>
  <c r="P28" i="43"/>
  <c r="M11" i="67"/>
  <c r="J10" i="67" s="1"/>
  <c r="J5" i="67" s="1"/>
  <c r="F11" i="15"/>
  <c r="M11" i="15"/>
  <c r="F11" i="67"/>
  <c r="F1" i="15"/>
  <c r="Q52" i="15"/>
  <c r="J18" i="67"/>
  <c r="C32" i="15"/>
  <c r="F1" i="67"/>
  <c r="Q52" i="67"/>
  <c r="Q60" i="15"/>
  <c r="Q73" i="15"/>
  <c r="Q61" i="67"/>
  <c r="Q74" i="67"/>
  <c r="Q74" i="15"/>
  <c r="Q61" i="15"/>
  <c r="G1" i="73"/>
  <c r="AE6" i="1"/>
  <c r="AC29" i="35" l="1"/>
  <c r="W29" i="35"/>
  <c r="AB14" i="35"/>
  <c r="U14" i="35"/>
  <c r="AG6" i="1"/>
  <c r="J10" i="39"/>
  <c r="AC10" i="39" s="1"/>
  <c r="H10" i="40"/>
  <c r="U10" i="40" s="1"/>
  <c r="H10" i="39"/>
  <c r="AB10" i="39" s="1"/>
  <c r="C47" i="69"/>
  <c r="D45" i="69" s="1"/>
  <c r="C29" i="11"/>
  <c r="D27" i="11" s="1"/>
  <c r="W10" i="39"/>
  <c r="C29" i="69"/>
  <c r="D27" i="69" s="1"/>
  <c r="E397" i="3"/>
  <c r="S10" i="39"/>
  <c r="E259" i="3"/>
  <c r="E62" i="3"/>
  <c r="E64" i="39"/>
  <c r="E65" i="39" s="1"/>
  <c r="E16" i="6"/>
  <c r="C29" i="68"/>
  <c r="D27" i="68" s="1"/>
  <c r="F45" i="68"/>
  <c r="C47" i="68"/>
  <c r="D45" i="68" s="1"/>
  <c r="C19" i="15"/>
  <c r="C20" i="15" s="1"/>
  <c r="C26" i="15" s="1"/>
  <c r="AB10" i="40"/>
  <c r="E56" i="40"/>
  <c r="U10" i="39"/>
  <c r="C23" i="43"/>
  <c r="C21" i="43" s="1"/>
  <c r="C29" i="43" s="1"/>
  <c r="C30" i="43" s="1"/>
  <c r="E30" i="43" s="1"/>
  <c r="S4" i="43"/>
  <c r="T4" i="43" s="1"/>
  <c r="V4" i="43" s="1"/>
  <c r="S6" i="43"/>
  <c r="T6" i="43" s="1"/>
  <c r="V6" i="43" s="1"/>
  <c r="S3" i="43"/>
  <c r="T3" i="43" s="1"/>
  <c r="V3" i="43" s="1"/>
  <c r="S2" i="43"/>
  <c r="T2" i="43" s="1"/>
  <c r="V2" i="43" s="1"/>
  <c r="S5" i="43"/>
  <c r="T5" i="43" s="1"/>
  <c r="V5" i="43" s="1"/>
  <c r="S7" i="43"/>
  <c r="T7" i="43" s="1"/>
  <c r="V7" i="43" s="1"/>
  <c r="AA10" i="40"/>
  <c r="AC10" i="40"/>
  <c r="B40" i="1"/>
  <c r="F24" i="67" s="1"/>
  <c r="C24" i="67" s="1"/>
  <c r="AA7" i="36"/>
  <c r="R36" i="36" s="1"/>
  <c r="E125" i="3"/>
  <c r="E217" i="3"/>
  <c r="E526" i="3"/>
  <c r="E553" i="3"/>
  <c r="E268" i="3"/>
  <c r="E282" i="3"/>
  <c r="E322" i="3"/>
  <c r="N6" i="3"/>
  <c r="AJ6" i="3"/>
  <c r="E347" i="3"/>
  <c r="AA6" i="3"/>
  <c r="X6" i="3"/>
  <c r="E399" i="3"/>
  <c r="E336" i="3"/>
  <c r="E280" i="3"/>
  <c r="E246" i="3"/>
  <c r="E124" i="3"/>
  <c r="E293" i="3"/>
  <c r="E270" i="3"/>
  <c r="E390" i="3"/>
  <c r="E533" i="3"/>
  <c r="S6" i="3"/>
  <c r="AR6" i="3"/>
  <c r="E523" i="3"/>
  <c r="E561" i="3"/>
  <c r="E538" i="3"/>
  <c r="E418" i="3"/>
  <c r="E439" i="3"/>
  <c r="E338" i="3"/>
  <c r="E380" i="3"/>
  <c r="E321" i="3"/>
  <c r="E231" i="3"/>
  <c r="E298" i="3"/>
  <c r="E216" i="3"/>
  <c r="E185" i="3"/>
  <c r="E61" i="3"/>
  <c r="E135" i="3"/>
  <c r="E290" i="3"/>
  <c r="E161" i="3"/>
  <c r="E117" i="3"/>
  <c r="E207" i="3"/>
  <c r="E252" i="3"/>
  <c r="E271" i="3"/>
  <c r="E145" i="3"/>
  <c r="E164" i="3"/>
  <c r="E107" i="3"/>
  <c r="E313" i="3"/>
  <c r="E330" i="3"/>
  <c r="E519" i="3"/>
  <c r="K6" i="3"/>
  <c r="E532" i="3"/>
  <c r="Q6" i="3"/>
  <c r="E573" i="3"/>
  <c r="E560" i="3"/>
  <c r="E437" i="3"/>
  <c r="E69" i="3"/>
  <c r="E175" i="3"/>
  <c r="E304" i="3"/>
  <c r="E563" i="3"/>
  <c r="E343" i="3"/>
  <c r="E213" i="3"/>
  <c r="E445" i="3"/>
  <c r="E508" i="3"/>
  <c r="E302" i="3"/>
  <c r="E53" i="3"/>
  <c r="E261" i="3"/>
  <c r="E415" i="3"/>
  <c r="E501" i="3"/>
  <c r="E183" i="3"/>
  <c r="E260" i="3"/>
  <c r="E426" i="3"/>
  <c r="E503" i="3"/>
  <c r="E329" i="3"/>
  <c r="O6" i="3"/>
  <c r="E579" i="3"/>
  <c r="E359" i="3"/>
  <c r="E247" i="3"/>
  <c r="E205" i="3"/>
  <c r="E97" i="3"/>
  <c r="E314" i="3"/>
  <c r="E514" i="3"/>
  <c r="E518" i="3"/>
  <c r="E16" i="3"/>
  <c r="M6" i="3"/>
  <c r="E578" i="3"/>
  <c r="E434" i="3"/>
  <c r="E387" i="3"/>
  <c r="E382" i="3"/>
  <c r="E296" i="3"/>
  <c r="E215" i="3"/>
  <c r="E245" i="3"/>
  <c r="E136" i="3"/>
  <c r="E134" i="3"/>
  <c r="E188" i="3"/>
  <c r="E269" i="3"/>
  <c r="E180" i="3"/>
  <c r="E140" i="3"/>
  <c r="E77" i="3"/>
  <c r="E277" i="3"/>
  <c r="E199" i="3"/>
  <c r="E327" i="3"/>
  <c r="AD6" i="3"/>
  <c r="Z6" i="3"/>
  <c r="E564" i="3"/>
  <c r="E552" i="3"/>
  <c r="AO6"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35" i="3"/>
  <c r="E324" i="3"/>
  <c r="E342" i="3"/>
  <c r="E522" i="3"/>
  <c r="E35" i="3"/>
  <c r="E86" i="3"/>
  <c r="E34" i="3"/>
  <c r="E206" i="3"/>
  <c r="E232" i="3"/>
  <c r="E251" i="3"/>
  <c r="E370" i="3"/>
  <c r="AF6" i="3"/>
  <c r="E102" i="3"/>
  <c r="E113" i="3"/>
  <c r="E158" i="3"/>
  <c r="E287" i="3"/>
  <c r="E308" i="3"/>
  <c r="E326" i="3"/>
  <c r="E22" i="3"/>
  <c r="E83" i="3"/>
  <c r="E319" i="3"/>
  <c r="E395" i="3"/>
  <c r="E328" i="3"/>
  <c r="E388" i="3"/>
  <c r="E545" i="3"/>
  <c r="E569" i="3"/>
  <c r="E396" i="3"/>
  <c r="E285" i="3"/>
  <c r="E165" i="3"/>
  <c r="E353" i="3"/>
  <c r="E495" i="3"/>
  <c r="E570" i="3"/>
  <c r="E536" i="3"/>
  <c r="E423" i="3"/>
  <c r="E320" i="3"/>
  <c r="E294" i="3"/>
  <c r="E159" i="3"/>
  <c r="E99" i="3"/>
  <c r="E91" i="3"/>
  <c r="E122" i="3"/>
  <c r="E149" i="3"/>
  <c r="E223" i="3"/>
  <c r="E193" i="3"/>
  <c r="E379" i="3"/>
  <c r="E585" i="3"/>
  <c r="T6" i="3"/>
  <c r="E405" i="3"/>
  <c r="E458" i="3"/>
  <c r="E478" i="3"/>
  <c r="E487" i="3"/>
  <c r="E527" i="3"/>
  <c r="E414" i="3"/>
  <c r="E416" i="3"/>
  <c r="E457" i="3"/>
  <c r="E477" i="3"/>
  <c r="E374" i="3"/>
  <c r="E562" i="3"/>
  <c r="E505" i="3"/>
  <c r="E500" i="3"/>
  <c r="E571" i="3"/>
  <c r="AS6" i="3"/>
  <c r="E413" i="3"/>
  <c r="E450" i="3"/>
  <c r="E476" i="3"/>
  <c r="E520" i="3"/>
  <c r="E433" i="3"/>
  <c r="E447" i="3"/>
  <c r="E39" i="3"/>
  <c r="E72" i="3"/>
  <c r="E27" i="3"/>
  <c r="E162" i="3"/>
  <c r="E187" i="3"/>
  <c r="E150" i="3"/>
  <c r="E186" i="3"/>
  <c r="E240" i="3"/>
  <c r="E279" i="3"/>
  <c r="E210" i="3"/>
  <c r="E351" i="3"/>
  <c r="E331" i="3"/>
  <c r="E378" i="3"/>
  <c r="E384" i="3"/>
  <c r="E504" i="3"/>
  <c r="E31" i="3"/>
  <c r="E44" i="3"/>
  <c r="E110" i="3"/>
  <c r="E441" i="3"/>
  <c r="E521" i="3"/>
  <c r="E455" i="3"/>
  <c r="E65" i="3"/>
  <c r="E170" i="3"/>
  <c r="E142" i="3"/>
  <c r="E248" i="3"/>
  <c r="E219" i="3"/>
  <c r="E300" i="3"/>
  <c r="E386" i="3"/>
  <c r="E392" i="3"/>
  <c r="E23" i="3"/>
  <c r="E24" i="3"/>
  <c r="E112" i="3"/>
  <c r="E144" i="3"/>
  <c r="E250" i="3"/>
  <c r="E340" i="3"/>
  <c r="E381" i="3"/>
  <c r="E51" i="3"/>
  <c r="E118" i="3"/>
  <c r="E365" i="3"/>
  <c r="E513" i="3"/>
  <c r="E530" i="3"/>
  <c r="E172" i="3"/>
  <c r="E17" i="3"/>
  <c r="E509" i="3"/>
  <c r="E555" i="3"/>
  <c r="E410" i="3"/>
  <c r="E352" i="3"/>
  <c r="E229" i="3"/>
  <c r="E151" i="3"/>
  <c r="E358" i="3"/>
  <c r="E511" i="3"/>
  <c r="AN6" i="3"/>
  <c r="E586" i="3"/>
  <c r="AB6" i="3"/>
  <c r="E453" i="3"/>
  <c r="E368" i="3"/>
  <c r="E263" i="3"/>
  <c r="E230" i="3"/>
  <c r="E130" i="3"/>
  <c r="E236" i="3"/>
  <c r="E228" i="3"/>
  <c r="E157" i="3"/>
  <c r="E120" i="3"/>
  <c r="E212" i="3"/>
  <c r="E167" i="3"/>
  <c r="E173" i="3"/>
  <c r="E575" i="3"/>
  <c r="E493" i="3"/>
  <c r="U6" i="3"/>
  <c r="E515" i="3"/>
  <c r="E421" i="3"/>
  <c r="E448" i="3"/>
  <c r="E466" i="3"/>
  <c r="E481" i="3"/>
  <c r="P6" i="3"/>
  <c r="E430" i="3"/>
  <c r="E424" i="3"/>
  <c r="E443" i="3"/>
  <c r="E255" i="3"/>
  <c r="E344" i="3"/>
  <c r="AP6" i="3"/>
  <c r="AE6" i="3"/>
  <c r="E581" i="3"/>
  <c r="E517" i="3"/>
  <c r="E429" i="3"/>
  <c r="E444" i="3"/>
  <c r="E491" i="3"/>
  <c r="E496" i="3"/>
  <c r="E404" i="3"/>
  <c r="E479" i="3"/>
  <c r="E55" i="3"/>
  <c r="E88" i="3"/>
  <c r="E37" i="3"/>
  <c r="E73" i="3"/>
  <c r="E121" i="3"/>
  <c r="E152" i="3"/>
  <c r="E203" i="3"/>
  <c r="E166" i="3"/>
  <c r="E192" i="3"/>
  <c r="E256" i="3"/>
  <c r="E295" i="3"/>
  <c r="E241" i="3"/>
  <c r="E274" i="3"/>
  <c r="E316" i="3"/>
  <c r="E363" i="3"/>
  <c r="E394" i="3"/>
  <c r="E334" i="3"/>
  <c r="E389" i="3"/>
  <c r="E580" i="3"/>
  <c r="E30" i="3"/>
  <c r="E76" i="3"/>
  <c r="E32" i="3"/>
  <c r="E480" i="3"/>
  <c r="E462" i="3"/>
  <c r="E15" i="3"/>
  <c r="E467" i="3"/>
  <c r="E98" i="3"/>
  <c r="E100" i="3"/>
  <c r="E160" i="3"/>
  <c r="E163" i="3"/>
  <c r="E234" i="3"/>
  <c r="E249" i="3"/>
  <c r="E307" i="3"/>
  <c r="E325" i="3"/>
  <c r="E492" i="3"/>
  <c r="E66" i="3"/>
  <c r="E33" i="3"/>
  <c r="E127" i="3"/>
  <c r="E289" i="3"/>
  <c r="E355" i="3"/>
  <c r="Y6" i="3"/>
  <c r="E20" i="3"/>
  <c r="E81" i="3"/>
  <c r="E179" i="3"/>
  <c r="E309" i="3"/>
  <c r="E82" i="3"/>
  <c r="E305" i="3"/>
  <c r="E535" i="3"/>
  <c r="E516" i="3"/>
  <c r="E574" i="3"/>
  <c r="E227" i="3"/>
  <c r="E201" i="3"/>
  <c r="E568" i="3"/>
  <c r="E565" i="3"/>
  <c r="E114" i="3"/>
  <c r="E528" i="3"/>
  <c r="E153" i="3"/>
  <c r="E550" i="3"/>
  <c r="E539" i="3"/>
  <c r="E567" i="3"/>
  <c r="E431" i="3"/>
  <c r="E337" i="3"/>
  <c r="E143" i="3"/>
  <c r="E128" i="3"/>
  <c r="E385" i="3"/>
  <c r="E559" i="3"/>
  <c r="E551" i="3"/>
  <c r="AK6" i="3"/>
  <c r="E402" i="3"/>
  <c r="E350" i="3"/>
  <c r="E335" i="3"/>
  <c r="E196" i="3"/>
  <c r="E191" i="3"/>
  <c r="E254" i="3"/>
  <c r="E221" i="3"/>
  <c r="E89" i="3"/>
  <c r="E85" i="3"/>
  <c r="E238" i="3"/>
  <c r="E177" i="3"/>
  <c r="E141" i="3"/>
  <c r="E369" i="3"/>
  <c r="E576" i="3"/>
  <c r="E499" i="3"/>
  <c r="R6" i="3"/>
  <c r="E543" i="3"/>
  <c r="E411" i="3"/>
  <c r="E464" i="3"/>
  <c r="E474" i="3"/>
  <c r="E548" i="3"/>
  <c r="E398" i="3"/>
  <c r="E438" i="3"/>
  <c r="E432" i="3"/>
  <c r="E459" i="3"/>
  <c r="E288" i="3"/>
  <c r="E367" i="3"/>
  <c r="E566" i="3"/>
  <c r="W6" i="3"/>
  <c r="E547" i="3"/>
  <c r="E582" i="3"/>
  <c r="E537" i="3"/>
  <c r="E403" i="3"/>
  <c r="E460" i="3"/>
  <c r="E471" i="3"/>
  <c r="E546" i="3"/>
  <c r="E436" i="3"/>
  <c r="E475" i="3"/>
  <c r="E71" i="3"/>
  <c r="E90" i="3"/>
  <c r="E131" i="3"/>
  <c r="E168" i="3"/>
  <c r="E126" i="3"/>
  <c r="E155" i="3"/>
  <c r="E208" i="3"/>
  <c r="E297" i="3"/>
  <c r="E257" i="3"/>
  <c r="E348" i="3"/>
  <c r="E357" i="3"/>
  <c r="E317" i="3"/>
  <c r="E375" i="3"/>
  <c r="E14" i="3"/>
  <c r="AM6" i="3"/>
  <c r="E58" i="3"/>
  <c r="E93" i="3"/>
  <c r="E540" i="3"/>
  <c r="E473" i="3"/>
  <c r="E425" i="3"/>
  <c r="E47" i="3"/>
  <c r="E38" i="3"/>
  <c r="E195" i="3"/>
  <c r="E194" i="3"/>
  <c r="E267" i="3"/>
  <c r="E266" i="3"/>
  <c r="E339" i="3"/>
  <c r="E310" i="3"/>
  <c r="E584" i="3"/>
  <c r="E52" i="3"/>
  <c r="E87" i="3"/>
  <c r="E147" i="3"/>
  <c r="E233" i="3"/>
  <c r="E341" i="3"/>
  <c r="E50" i="3"/>
  <c r="E63" i="3"/>
  <c r="E154" i="3"/>
  <c r="E218" i="3"/>
  <c r="E373" i="3"/>
  <c r="AI6" i="3"/>
  <c r="E303" i="3"/>
  <c r="E148" i="3"/>
  <c r="E45" i="3"/>
  <c r="E312" i="3"/>
  <c r="E502" i="3"/>
  <c r="E541" i="3"/>
  <c r="E465" i="3"/>
  <c r="E557" i="3"/>
  <c r="E435" i="3"/>
  <c r="E454" i="3"/>
  <c r="E132" i="3"/>
  <c r="E214" i="3"/>
  <c r="E377" i="3"/>
  <c r="E544" i="3"/>
  <c r="E409" i="3"/>
  <c r="E46" i="3"/>
  <c r="E209" i="3"/>
  <c r="AQ6" i="3"/>
  <c r="E184" i="3"/>
  <c r="E19" i="3"/>
  <c r="E524" i="3"/>
  <c r="V6" i="3"/>
  <c r="E301" i="3"/>
  <c r="E181" i="3"/>
  <c r="E253" i="3"/>
  <c r="E525" i="3"/>
  <c r="E442" i="3"/>
  <c r="E406" i="3"/>
  <c r="E345" i="3"/>
  <c r="E554" i="3"/>
  <c r="E468" i="3"/>
  <c r="E28" i="3"/>
  <c r="E95" i="3"/>
  <c r="E171" i="3"/>
  <c r="E273" i="3"/>
  <c r="E349" i="3"/>
  <c r="E74" i="3"/>
  <c r="E484" i="3"/>
  <c r="E138" i="3"/>
  <c r="E84" i="3"/>
  <c r="E284" i="3"/>
  <c r="E176" i="3"/>
  <c r="E292" i="3"/>
  <c r="E264" i="3"/>
  <c r="E306" i="3"/>
  <c r="AG6" i="3"/>
  <c r="E449" i="3"/>
  <c r="E417" i="3"/>
  <c r="E79" i="3"/>
  <c r="E123" i="3"/>
  <c r="E21" i="3"/>
  <c r="E364" i="3"/>
  <c r="E485" i="3"/>
  <c r="E531" i="3"/>
  <c r="E182" i="3"/>
  <c r="E572" i="3"/>
  <c r="E354" i="3"/>
  <c r="E323" i="3"/>
  <c r="E407" i="3"/>
  <c r="E189" i="3"/>
  <c r="E116" i="3"/>
  <c r="E534" i="3"/>
  <c r="E400" i="3"/>
  <c r="I3" i="6"/>
  <c r="E577" i="3"/>
  <c r="E489" i="3"/>
  <c r="E56" i="3"/>
  <c r="E146" i="3"/>
  <c r="E211" i="3"/>
  <c r="E446" i="3"/>
  <c r="E137" i="3"/>
  <c r="E371" i="3"/>
  <c r="E48" i="3"/>
  <c r="I6" i="3"/>
  <c r="E156" i="3"/>
  <c r="E105" i="3"/>
  <c r="E587" i="3"/>
  <c r="E258" i="3"/>
  <c r="E59" i="3"/>
  <c r="E200" i="3"/>
  <c r="E68" i="3"/>
  <c r="E133" i="3"/>
  <c r="E583" i="3"/>
  <c r="E549" i="3"/>
  <c r="E529" i="3"/>
  <c r="E197" i="3"/>
  <c r="E393" i="3"/>
  <c r="E510" i="3"/>
  <c r="E383" i="3"/>
  <c r="E506" i="3"/>
  <c r="E169" i="3"/>
  <c r="E361" i="3"/>
  <c r="E57" i="3"/>
  <c r="E92" i="3"/>
  <c r="D37" i="71"/>
  <c r="T37" i="71"/>
  <c r="E204" i="3"/>
  <c r="D24" i="71"/>
  <c r="C23" i="71"/>
  <c r="D23" i="71" s="1"/>
  <c r="E542" i="3"/>
  <c r="E239" i="3"/>
  <c r="E54" i="3"/>
  <c r="J10" i="15"/>
  <c r="J5" i="15" s="1"/>
  <c r="J26" i="15" s="1"/>
  <c r="J29" i="15" s="1"/>
  <c r="E222" i="3"/>
  <c r="E111" i="3"/>
  <c r="D49" i="71"/>
  <c r="T49" i="71"/>
  <c r="E265" i="3"/>
  <c r="E109" i="3"/>
  <c r="E315" i="3"/>
  <c r="E64" i="3"/>
  <c r="E472" i="3"/>
  <c r="E67" i="3"/>
  <c r="E318" i="3"/>
  <c r="E278" i="3"/>
  <c r="E75" i="3"/>
  <c r="E30" i="6"/>
  <c r="E31" i="6" s="1"/>
  <c r="K24" i="6"/>
  <c r="M24" i="6" s="1"/>
  <c r="I24" i="6" s="1"/>
  <c r="S24" i="6" s="1"/>
  <c r="K14" i="1"/>
  <c r="K21" i="6"/>
  <c r="M21" i="6" s="1"/>
  <c r="I21" i="6" s="1"/>
  <c r="S21" i="6" s="1"/>
  <c r="K22" i="6"/>
  <c r="M22" i="6" s="1"/>
  <c r="I22" i="6" s="1"/>
  <c r="S22" i="6" s="1"/>
  <c r="K19" i="6"/>
  <c r="S6" i="1" s="1"/>
  <c r="K23" i="6"/>
  <c r="M23" i="6" s="1"/>
  <c r="I23" i="6" s="1"/>
  <c r="S23" i="6" s="1"/>
  <c r="K20" i="6"/>
  <c r="K25" i="6"/>
  <c r="M25" i="6" s="1"/>
  <c r="I25" i="6" s="1"/>
  <c r="S25" i="6" s="1"/>
  <c r="K26" i="6"/>
  <c r="M26" i="6" s="1"/>
  <c r="I26" i="6" s="1"/>
  <c r="S26" i="6" s="1"/>
  <c r="C15" i="71"/>
  <c r="D16" i="71"/>
  <c r="E311" i="3"/>
  <c r="E237" i="3"/>
  <c r="AY6" i="3"/>
  <c r="E3" i="6"/>
  <c r="E16" i="71"/>
  <c r="E15" i="71" s="1"/>
  <c r="E14" i="71" s="1"/>
  <c r="E13" i="71" s="1"/>
  <c r="V17" i="71"/>
  <c r="E36" i="3"/>
  <c r="E244" i="3"/>
  <c r="E275" i="3"/>
  <c r="E29" i="3"/>
  <c r="T53" i="71"/>
  <c r="D53" i="71"/>
  <c r="E262" i="3"/>
  <c r="E362" i="3"/>
  <c r="E291" i="3"/>
  <c r="E106" i="3"/>
  <c r="B8" i="71"/>
  <c r="B7" i="71" s="1"/>
  <c r="B6" i="71" s="1"/>
  <c r="B5" i="71" s="1"/>
  <c r="S9" i="71"/>
  <c r="U7" i="37"/>
  <c r="E366" i="3"/>
  <c r="E286" i="3"/>
  <c r="E49" i="3"/>
  <c r="E461" i="3"/>
  <c r="E101" i="3"/>
  <c r="T41" i="71"/>
  <c r="D41" i="71"/>
  <c r="E272" i="3"/>
  <c r="E299" i="3"/>
  <c r="E80" i="3"/>
  <c r="E283" i="3"/>
  <c r="C115" i="43"/>
  <c r="D113" i="43" s="1"/>
  <c r="E558" i="3"/>
  <c r="E224" i="3"/>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4" i="67"/>
  <c r="C53" i="67"/>
  <c r="C48" i="67" s="1"/>
  <c r="C10" i="67"/>
  <c r="C5" i="67" s="1"/>
  <c r="C53" i="15"/>
  <c r="C48" i="15" s="1"/>
  <c r="C10" i="15"/>
  <c r="C5" i="15" s="1"/>
  <c r="M27" i="67"/>
  <c r="M20" i="6" l="1"/>
  <c r="I20" i="6" s="1"/>
  <c r="S20" i="6" s="1"/>
  <c r="S7" i="1"/>
  <c r="S16" i="1" s="1"/>
  <c r="AQ6" i="1"/>
  <c r="T6" i="1"/>
  <c r="AR6" i="1"/>
  <c r="F25" i="12"/>
  <c r="C26" i="12" s="1"/>
  <c r="D25" i="12" s="1"/>
  <c r="F24" i="15"/>
  <c r="C24" i="15" s="1"/>
  <c r="H6" i="3"/>
  <c r="AC6" i="3"/>
  <c r="E29" i="43"/>
  <c r="F22" i="68"/>
  <c r="C26" i="68" s="1"/>
  <c r="D22" i="68" s="1"/>
  <c r="F22" i="11"/>
  <c r="C44" i="11" s="1"/>
  <c r="D41" i="11" s="1"/>
  <c r="F22" i="69"/>
  <c r="F41" i="69" s="1"/>
  <c r="J24" i="15"/>
  <c r="E12" i="71"/>
  <c r="E11" i="71" s="1"/>
  <c r="E10" i="71" s="1"/>
  <c r="E9" i="71" s="1"/>
  <c r="V13" i="71"/>
  <c r="K27" i="6"/>
  <c r="M19" i="6"/>
  <c r="E6" i="6"/>
  <c r="D14" i="12"/>
  <c r="D3" i="33"/>
  <c r="C17" i="4"/>
  <c r="B4" i="52" s="1"/>
  <c r="B43" i="72" s="1"/>
  <c r="D3" i="37"/>
  <c r="M18" i="9"/>
  <c r="B118" i="9" s="1"/>
  <c r="B14" i="74" s="1"/>
  <c r="B1" i="74" s="1"/>
  <c r="D3" i="34"/>
  <c r="D19" i="11"/>
  <c r="C19" i="11" s="1"/>
  <c r="D37" i="11"/>
  <c r="C37" i="11" s="1"/>
  <c r="D3" i="21"/>
  <c r="L18" i="9"/>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83" i="3"/>
  <c r="AY50" i="3"/>
  <c r="AY191" i="3"/>
  <c r="AY155" i="3"/>
  <c r="AY289" i="3"/>
  <c r="AY31" i="3"/>
  <c r="AY131" i="3"/>
  <c r="AY261" i="3"/>
  <c r="AY147" i="3"/>
  <c r="AY268" i="3"/>
  <c r="AY209" i="3"/>
  <c r="AY350" i="3"/>
  <c r="AY318" i="3"/>
  <c r="AY455" i="3"/>
  <c r="AY425" i="3"/>
  <c r="AY106" i="3"/>
  <c r="AY116" i="3"/>
  <c r="AY244" i="3"/>
  <c r="AY395" i="3"/>
  <c r="AY343" i="3"/>
  <c r="AY481" i="3"/>
  <c r="AY452" i="3"/>
  <c r="AY417" i="3"/>
  <c r="AY562" i="3"/>
  <c r="AY569" i="3"/>
  <c r="AY539" i="3"/>
  <c r="AY89" i="3"/>
  <c r="AY77" i="3"/>
  <c r="AY84" i="3"/>
  <c r="AY36" i="3"/>
  <c r="AY206" i="3"/>
  <c r="AY193" i="3"/>
  <c r="AY146" i="3"/>
  <c r="AY149" i="3"/>
  <c r="AY134" i="3"/>
  <c r="AY302" i="3"/>
  <c r="AY263" i="3"/>
  <c r="AY270" i="3"/>
  <c r="AY222" i="3"/>
  <c r="AY392" i="3"/>
  <c r="AY373" i="3"/>
  <c r="BS6" i="3"/>
  <c r="BJ6" i="3"/>
  <c r="AY88" i="3"/>
  <c r="AY40" i="3"/>
  <c r="AY197" i="3"/>
  <c r="AY161" i="3"/>
  <c r="AY279" i="3"/>
  <c r="AY274" i="3"/>
  <c r="AY215" i="3"/>
  <c r="AY356" i="3"/>
  <c r="AY317" i="3"/>
  <c r="AY324" i="3"/>
  <c r="AY467" i="3"/>
  <c r="AY457" i="3"/>
  <c r="AY438" i="3"/>
  <c r="AY435" i="3"/>
  <c r="AY581" i="3"/>
  <c r="AY580" i="3"/>
  <c r="BN6" i="3"/>
  <c r="AY546" i="3"/>
  <c r="AY552" i="3"/>
  <c r="AY508" i="3"/>
  <c r="AY514" i="3"/>
  <c r="AY523" i="3"/>
  <c r="AY49" i="3"/>
  <c r="AY37" i="3"/>
  <c r="AY174" i="3"/>
  <c r="AY122" i="3"/>
  <c r="AY282" i="3"/>
  <c r="AY250" i="3"/>
  <c r="AY385" i="3"/>
  <c r="AY345" i="3"/>
  <c r="AY305" i="3"/>
  <c r="AY304" i="3"/>
  <c r="AY484" i="3"/>
  <c r="AY445" i="3"/>
  <c r="AY418" i="3"/>
  <c r="AY423" i="3"/>
  <c r="AY505"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67" i="3"/>
  <c r="AY18" i="3"/>
  <c r="AY176" i="3"/>
  <c r="AY139" i="3"/>
  <c r="AY90" i="3"/>
  <c r="AY188" i="3"/>
  <c r="AY123" i="3"/>
  <c r="AY75" i="3"/>
  <c r="AY297" i="3"/>
  <c r="AY252" i="3"/>
  <c r="AY387" i="3"/>
  <c r="AY335" i="3"/>
  <c r="AY489" i="3"/>
  <c r="AY444" i="3"/>
  <c r="AY409" i="3"/>
  <c r="AY43" i="3"/>
  <c r="AY269" i="3"/>
  <c r="AY228" i="3"/>
  <c r="AY379" i="3"/>
  <c r="AY311" i="3"/>
  <c r="AY465" i="3"/>
  <c r="AY436" i="3"/>
  <c r="AY535" i="3"/>
  <c r="BK6" i="3"/>
  <c r="AY540" i="3"/>
  <c r="AY555" i="3"/>
  <c r="AY108" i="3"/>
  <c r="AY69" i="3"/>
  <c r="AY68" i="3"/>
  <c r="AY28" i="3"/>
  <c r="AY198" i="3"/>
  <c r="AY178" i="3"/>
  <c r="AY138" i="3"/>
  <c r="AY141" i="3"/>
  <c r="AY117" i="3"/>
  <c r="AY294" i="3"/>
  <c r="AY255" i="3"/>
  <c r="AY254" i="3"/>
  <c r="AY214" i="3"/>
  <c r="AY384" i="3"/>
  <c r="AY365" i="3"/>
  <c r="AY554" i="3"/>
  <c r="BB6" i="3"/>
  <c r="AY57" i="3"/>
  <c r="AY24" i="3"/>
  <c r="AY181" i="3"/>
  <c r="AY130" i="3"/>
  <c r="AY290" i="3"/>
  <c r="AY258" i="3"/>
  <c r="AY393" i="3"/>
  <c r="AY349" i="3"/>
  <c r="AY309" i="3"/>
  <c r="AY308" i="3"/>
  <c r="AY488" i="3"/>
  <c r="AY449" i="3"/>
  <c r="AY422" i="3"/>
  <c r="AY427" i="3"/>
  <c r="AY503" i="3"/>
  <c r="AY516" i="3"/>
  <c r="BF6" i="3"/>
  <c r="AY520" i="3"/>
  <c r="AY559" i="3"/>
  <c r="AY584" i="3"/>
  <c r="AY496" i="3"/>
  <c r="AY112" i="3"/>
  <c r="AY80" i="3"/>
  <c r="AY21" i="3"/>
  <c r="AY142" i="3"/>
  <c r="AY129" i="3"/>
  <c r="AY267" i="3"/>
  <c r="AY218" i="3"/>
  <c r="AY369" i="3"/>
  <c r="AY337" i="3"/>
  <c r="AY336" i="3"/>
  <c r="AY487" i="3"/>
  <c r="AY476" i="3"/>
  <c r="AY450" i="3"/>
  <c r="AY410" i="3"/>
  <c r="AY415"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82" i="3"/>
  <c r="AY23" i="3"/>
  <c r="AY160" i="3"/>
  <c r="AY132" i="3"/>
  <c r="AY59" i="3"/>
  <c r="AY183" i="3"/>
  <c r="AY292" i="3"/>
  <c r="AY58" i="3"/>
  <c r="AY284" i="3"/>
  <c r="AY220" i="3"/>
  <c r="AY371" i="3"/>
  <c r="AY319" i="3"/>
  <c r="AY486" i="3"/>
  <c r="AY428" i="3"/>
  <c r="AY497" i="3"/>
  <c r="AY199" i="3"/>
  <c r="AY245" i="3"/>
  <c r="AY212" i="3"/>
  <c r="AY355" i="3"/>
  <c r="AY342" i="3"/>
  <c r="AY478" i="3"/>
  <c r="AY404" i="3"/>
  <c r="AY513" i="3"/>
  <c r="AY573" i="3"/>
  <c r="BO6" i="3"/>
  <c r="AY553" i="3"/>
  <c r="AY100" i="3"/>
  <c r="AY53" i="3"/>
  <c r="AY60" i="3"/>
  <c r="AY20" i="3"/>
  <c r="AY182" i="3"/>
  <c r="AY170" i="3"/>
  <c r="AY173" i="3"/>
  <c r="AY126" i="3"/>
  <c r="AY299" i="3"/>
  <c r="AY286" i="3"/>
  <c r="AY239" i="3"/>
  <c r="AY246" i="3"/>
  <c r="AY227" i="3"/>
  <c r="AY389" i="3"/>
  <c r="AY357" i="3"/>
  <c r="AY507" i="3"/>
  <c r="AY93" i="3"/>
  <c r="AY41" i="3"/>
  <c r="AY29" i="3"/>
  <c r="AY150" i="3"/>
  <c r="AY114" i="3"/>
  <c r="AY275" i="3"/>
  <c r="AY226" i="3"/>
  <c r="AY377" i="3"/>
  <c r="AY341" i="3"/>
  <c r="AY340" i="3"/>
  <c r="AY491" i="3"/>
  <c r="AY480" i="3"/>
  <c r="AY454" i="3"/>
  <c r="AY414" i="3"/>
  <c r="AY419" i="3"/>
  <c r="AY525" i="3"/>
  <c r="AY561" i="3"/>
  <c r="AY536" i="3"/>
  <c r="AY518" i="3"/>
  <c r="AY16" i="3"/>
  <c r="AY532" i="3"/>
  <c r="AY577" i="3"/>
  <c r="AY96" i="3"/>
  <c r="AY64" i="3"/>
  <c r="AY205" i="3"/>
  <c r="AY169" i="3"/>
  <c r="AY113" i="3"/>
  <c r="AY235" i="3"/>
  <c r="AY223" i="3"/>
  <c r="AY361" i="3"/>
  <c r="AY321" i="3"/>
  <c r="AY328" i="3"/>
  <c r="AY479" i="3"/>
  <c r="AY461" i="3"/>
  <c r="AY442" i="3"/>
  <c r="AY402" i="3"/>
  <c r="AY39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6" i="3"/>
  <c r="AY163" i="3"/>
  <c r="AY225" i="3"/>
  <c r="AY412" i="3"/>
  <c r="AY390" i="3"/>
  <c r="AY433" i="3"/>
  <c r="AY105" i="3"/>
  <c r="AY25" i="3"/>
  <c r="AY118" i="3"/>
  <c r="AY238" i="3"/>
  <c r="BI6" i="3"/>
  <c r="AY177" i="3"/>
  <c r="AY370" i="3"/>
  <c r="AY464" i="3"/>
  <c r="BM6" i="3"/>
  <c r="AY543" i="3"/>
  <c r="AY32" i="3"/>
  <c r="AY266" i="3"/>
  <c r="AY320" i="3"/>
  <c r="AY431" i="3"/>
  <c r="AY515" i="3"/>
  <c r="AY493" i="3"/>
  <c r="AY172" i="3"/>
  <c r="AY248" i="3"/>
  <c r="AY485" i="3"/>
  <c r="AY547" i="3"/>
  <c r="AY54" i="3"/>
  <c r="AY293" i="3"/>
  <c r="AY351" i="3"/>
  <c r="AY400" i="3"/>
  <c r="AY276" i="3"/>
  <c r="AY363" i="3"/>
  <c r="AY526" i="3"/>
  <c r="AY557" i="3"/>
  <c r="AY85" i="3"/>
  <c r="AY201" i="3"/>
  <c r="AY211" i="3"/>
  <c r="AY104" i="3"/>
  <c r="AY121" i="3"/>
  <c r="AY446" i="3"/>
  <c r="AY572" i="3"/>
  <c r="AY556" i="3"/>
  <c r="AY189" i="3"/>
  <c r="AY492" i="3"/>
  <c r="AY579" i="3"/>
  <c r="AY79" i="3"/>
  <c r="AY151" i="3"/>
  <c r="AY451" i="3"/>
  <c r="AY568" i="3"/>
  <c r="AY200" i="3"/>
  <c r="AY307" i="3"/>
  <c r="AY521" i="3"/>
  <c r="AY98" i="3"/>
  <c r="AY334" i="3"/>
  <c r="AY326" i="3"/>
  <c r="AY45" i="3"/>
  <c r="AY271" i="3"/>
  <c r="AY72" i="3"/>
  <c r="AY332" i="3"/>
  <c r="AY527" i="3"/>
  <c r="AY352" i="3"/>
  <c r="AY545" i="3"/>
  <c r="AY301" i="3"/>
  <c r="AY107" i="3"/>
  <c r="AY240" i="3"/>
  <c r="AY470" i="3"/>
  <c r="AY447" i="3"/>
  <c r="AY52" i="3"/>
  <c r="AY231" i="3"/>
  <c r="AY210" i="3"/>
  <c r="AY403" i="3"/>
  <c r="AY81" i="3"/>
  <c r="AY313" i="3"/>
  <c r="BP6" i="3"/>
  <c r="AY265" i="3"/>
  <c r="AY71" i="3"/>
  <c r="AY386" i="3"/>
  <c r="AY171" i="3"/>
  <c r="AY358" i="3"/>
  <c r="AY291" i="3"/>
  <c r="AY325" i="3"/>
  <c r="AY396" i="3"/>
  <c r="AY551" i="3"/>
  <c r="AY394" i="3"/>
  <c r="AY257" i="3"/>
  <c r="AY115" i="3"/>
  <c r="AY180" i="3"/>
  <c r="AY162" i="3"/>
  <c r="AY243" i="3"/>
  <c r="AY519" i="3"/>
  <c r="AY453" i="3"/>
  <c r="AY62" i="3"/>
  <c r="AY408" i="3"/>
  <c r="AY164" i="3"/>
  <c r="AY566" i="3"/>
  <c r="AY66" i="3"/>
  <c r="AY74" i="3"/>
  <c r="AY237" i="3"/>
  <c r="AY229" i="3"/>
  <c r="AY541" i="3"/>
  <c r="AY157" i="3"/>
  <c r="AY186" i="3"/>
  <c r="AY483" i="3"/>
  <c r="AY510" i="3"/>
  <c r="AY298" i="3"/>
  <c r="AY522" i="3"/>
  <c r="AY19" i="3"/>
  <c r="AY500" i="3"/>
  <c r="AY143" i="3"/>
  <c r="BT6" i="3"/>
  <c r="AY204" i="3"/>
  <c r="AY574" i="3"/>
  <c r="AY381" i="3"/>
  <c r="AY406" i="3"/>
  <c r="AY153" i="3"/>
  <c r="AY538" i="3"/>
  <c r="AY359" i="3"/>
  <c r="AY477" i="3"/>
  <c r="AY368" i="3"/>
  <c r="AY434" i="3"/>
  <c r="AY315" i="3"/>
  <c r="AY443" i="3"/>
  <c r="C14" i="71"/>
  <c r="D15" i="71"/>
  <c r="K16" i="1"/>
  <c r="M14" i="1"/>
  <c r="C34" i="69"/>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38" i="67"/>
  <c r="C38" i="15"/>
  <c r="C66" i="67"/>
  <c r="C60" i="67"/>
  <c r="C23" i="67"/>
  <c r="C29" i="67" s="1"/>
  <c r="E6" i="76"/>
  <c r="B6" i="76"/>
  <c r="C23" i="15" l="1"/>
  <c r="C29" i="15" s="1"/>
  <c r="C57" i="15" s="1"/>
  <c r="C61" i="15" s="1"/>
  <c r="C44" i="68"/>
  <c r="D41" i="68" s="1"/>
  <c r="F41" i="68"/>
  <c r="C23" i="68"/>
  <c r="AR7" i="1"/>
  <c r="AQ7" i="1"/>
  <c r="T7" i="1"/>
  <c r="T16" i="1" s="1"/>
  <c r="C26" i="11"/>
  <c r="D22" i="11" s="1"/>
  <c r="C26" i="69"/>
  <c r="D22" i="69" s="1"/>
  <c r="E6" i="3"/>
  <c r="C23" i="11"/>
  <c r="C44" i="69"/>
  <c r="D41" i="69" s="1"/>
  <c r="C24" i="11"/>
  <c r="D17" i="12"/>
  <c r="C17" i="12" s="1"/>
  <c r="C14" i="12"/>
  <c r="C35" i="69"/>
  <c r="C38" i="69"/>
  <c r="D14" i="71"/>
  <c r="C13" i="71"/>
  <c r="D15" i="6"/>
  <c r="D21" i="6"/>
  <c r="D6" i="6"/>
  <c r="D10" i="6"/>
  <c r="D29" i="6"/>
  <c r="H22" i="6"/>
  <c r="H24" i="6"/>
  <c r="H20" i="6"/>
  <c r="C18" i="4"/>
  <c r="D23" i="6"/>
  <c r="D12" i="6"/>
  <c r="D13" i="6"/>
  <c r="E61" i="40"/>
  <c r="H23" i="6"/>
  <c r="D25" i="6"/>
  <c r="D22" i="6"/>
  <c r="D24" i="6"/>
  <c r="D9" i="6"/>
  <c r="L19" i="9"/>
  <c r="H25" i="6"/>
  <c r="H21" i="6"/>
  <c r="D14" i="6"/>
  <c r="D28" i="6"/>
  <c r="D30" i="6" s="1"/>
  <c r="M19" i="9"/>
  <c r="C118" i="9" s="1"/>
  <c r="C14" i="74" s="1"/>
  <c r="B2" i="74" s="1"/>
  <c r="D5" i="6"/>
  <c r="H26" i="6"/>
  <c r="D8" i="6"/>
  <c r="D26" i="6"/>
  <c r="D11" i="6"/>
  <c r="C20" i="11"/>
  <c r="C25" i="11" s="1"/>
  <c r="D10" i="11"/>
  <c r="C10" i="11" s="1"/>
  <c r="D20" i="12"/>
  <c r="C20" i="12" s="1"/>
  <c r="C18" i="12" s="1"/>
  <c r="D10" i="68"/>
  <c r="D10" i="69"/>
  <c r="C7" i="74"/>
  <c r="C8" i="74"/>
  <c r="O14" i="1"/>
  <c r="O16" i="1" s="1"/>
  <c r="M16" i="1"/>
  <c r="I19" i="6"/>
  <c r="M27" i="6"/>
  <c r="E8" i="71"/>
  <c r="E7" i="71" s="1"/>
  <c r="E6" i="71" s="1"/>
  <c r="E5" i="71" s="1"/>
  <c r="V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6" i="67"/>
  <c r="C33" i="67"/>
  <c r="J14" i="67"/>
  <c r="C13" i="67"/>
  <c r="J19" i="67"/>
  <c r="C57" i="67"/>
  <c r="C61" i="67" s="1"/>
  <c r="Q49" i="67"/>
  <c r="J59" i="67"/>
  <c r="J60" i="67" s="1"/>
  <c r="J14" i="15" l="1"/>
  <c r="J13" i="15" s="1"/>
  <c r="J23" i="15" s="1"/>
  <c r="J59" i="15"/>
  <c r="J60" i="15" s="1"/>
  <c r="Q48" i="15" s="1"/>
  <c r="C13" i="15"/>
  <c r="Q70" i="15" s="1"/>
  <c r="C33" i="15"/>
  <c r="C31" i="15" s="1"/>
  <c r="J19" i="15"/>
  <c r="J17" i="15" s="1"/>
  <c r="C36" i="15"/>
  <c r="Q49" i="15"/>
  <c r="C22" i="11"/>
  <c r="D16" i="6"/>
  <c r="R22" i="6"/>
  <c r="R24" i="6"/>
  <c r="R26" i="6"/>
  <c r="R21" i="6"/>
  <c r="S19" i="6"/>
  <c r="S27" i="6" s="1"/>
  <c r="I27" i="6"/>
  <c r="C10" i="68"/>
  <c r="D19" i="68"/>
  <c r="H19" i="6"/>
  <c r="H27" i="6" s="1"/>
  <c r="D27" i="6"/>
  <c r="D31" i="6" s="1"/>
  <c r="L16" i="1"/>
  <c r="N16" i="1"/>
  <c r="C34" i="68"/>
  <c r="C34" i="11"/>
  <c r="R25" i="6"/>
  <c r="R23" i="6"/>
  <c r="C12" i="71"/>
  <c r="T13" i="71"/>
  <c r="D13" i="71"/>
  <c r="U13" i="71" s="1"/>
  <c r="P14" i="1"/>
  <c r="P16" i="1" s="1"/>
  <c r="C11" i="12" s="1"/>
  <c r="C10" i="69"/>
  <c r="C8" i="69" s="1"/>
  <c r="C5" i="69" s="1"/>
  <c r="D19" i="69"/>
  <c r="C28" i="11"/>
  <c r="C27" i="11" s="1"/>
  <c r="D8" i="74"/>
  <c r="D7" i="74"/>
  <c r="C4" i="52"/>
  <c r="B45" i="72" s="1"/>
  <c r="A10" i="51"/>
  <c r="B9" i="72" s="1"/>
  <c r="A7" i="51"/>
  <c r="B7" i="72" s="1"/>
  <c r="R20" i="6"/>
  <c r="R7" i="1" s="1"/>
  <c r="I69" i="39"/>
  <c r="J67" i="39"/>
  <c r="B3" i="76"/>
  <c r="I63" i="40"/>
  <c r="H65" i="40"/>
  <c r="I58" i="21"/>
  <c r="J58" i="21" s="1"/>
  <c r="K58" i="21" s="1"/>
  <c r="L58" i="21" s="1"/>
  <c r="M58" i="21" s="1"/>
  <c r="N58" i="21" s="1"/>
  <c r="O58" i="21" s="1"/>
  <c r="H7" i="21" s="1"/>
  <c r="J7" i="21"/>
  <c r="J48" i="35"/>
  <c r="J13" i="67"/>
  <c r="J23" i="67" s="1"/>
  <c r="J22" i="67"/>
  <c r="C64" i="67"/>
  <c r="C64" i="15"/>
  <c r="C59" i="15"/>
  <c r="Q48" i="67"/>
  <c r="C56" i="67"/>
  <c r="C65" i="67" s="1"/>
  <c r="C75" i="67"/>
  <c r="Q70" i="67"/>
  <c r="C37" i="67"/>
  <c r="J22" i="15" l="1"/>
  <c r="J16" i="15" s="1"/>
  <c r="J25" i="15" s="1"/>
  <c r="L46" i="15"/>
  <c r="C56" i="15"/>
  <c r="C65" i="15" s="1"/>
  <c r="C58" i="15" s="1"/>
  <c r="C67" i="15" s="1"/>
  <c r="C68" i="15" s="1"/>
  <c r="C71" i="15" s="1"/>
  <c r="C75" i="15"/>
  <c r="C37" i="15"/>
  <c r="C30" i="15" s="1"/>
  <c r="C39" i="15" s="1"/>
  <c r="C31" i="11"/>
  <c r="R19" i="6"/>
  <c r="F7" i="21"/>
  <c r="S7" i="21" s="1"/>
  <c r="C38" i="11"/>
  <c r="C35" i="11"/>
  <c r="C19" i="69"/>
  <c r="C24" i="69" s="1"/>
  <c r="D37" i="69"/>
  <c r="C37" i="69" s="1"/>
  <c r="C33" i="69" s="1"/>
  <c r="C38" i="68"/>
  <c r="C35" i="68"/>
  <c r="I6" i="6"/>
  <c r="I5" i="6"/>
  <c r="C23" i="69"/>
  <c r="C11" i="71"/>
  <c r="D12" i="71"/>
  <c r="F50" i="69"/>
  <c r="F50" i="68"/>
  <c r="F50" i="11"/>
  <c r="C15" i="12"/>
  <c r="C12" i="12"/>
  <c r="C19" i="68"/>
  <c r="D37" i="68"/>
  <c r="C37" i="68" s="1"/>
  <c r="J69" i="39"/>
  <c r="K67" i="39"/>
  <c r="U7" i="21"/>
  <c r="AB7" i="21"/>
  <c r="T48" i="21" s="1"/>
  <c r="G48" i="21" s="1"/>
  <c r="AA7" i="21"/>
  <c r="R48" i="21" s="1"/>
  <c r="J63" i="40"/>
  <c r="I65" i="40"/>
  <c r="K48" i="35"/>
  <c r="L48" i="35" s="1"/>
  <c r="M48" i="35" s="1"/>
  <c r="N48" i="35" s="1"/>
  <c r="O48" i="35" s="1"/>
  <c r="H7" i="35" s="1"/>
  <c r="J7" i="35"/>
  <c r="AC7" i="21"/>
  <c r="V48" i="21" s="1"/>
  <c r="I48" i="21" s="1"/>
  <c r="W7" i="21"/>
  <c r="L51" i="15"/>
  <c r="Q69" i="15" l="1"/>
  <c r="Q68" i="15" s="1"/>
  <c r="C40" i="15"/>
  <c r="C43" i="15" s="1"/>
  <c r="C80" i="15"/>
  <c r="C79" i="15" s="1"/>
  <c r="R27" i="6"/>
  <c r="R6" i="1"/>
  <c r="C16" i="12"/>
  <c r="C21" i="12" s="1"/>
  <c r="C22" i="12" s="1"/>
  <c r="C27" i="12" s="1"/>
  <c r="C25" i="12" s="1"/>
  <c r="C33" i="11"/>
  <c r="C42" i="11" s="1"/>
  <c r="C33" i="68"/>
  <c r="C42" i="68" s="1"/>
  <c r="C20" i="69"/>
  <c r="C20" i="68"/>
  <c r="C25" i="68" s="1"/>
  <c r="C24" i="68"/>
  <c r="D11" i="71"/>
  <c r="C10" i="71"/>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F35" i="67"/>
  <c r="M21" i="67"/>
  <c r="J20" i="67" l="1"/>
  <c r="J17" i="67" s="1"/>
  <c r="J16" i="67" s="1"/>
  <c r="J25" i="67" s="1"/>
  <c r="J26" i="67" s="1"/>
  <c r="J29" i="67" s="1"/>
  <c r="F63" i="67"/>
  <c r="C62" i="67" s="1"/>
  <c r="C59" i="67" s="1"/>
  <c r="C58" i="67" s="1"/>
  <c r="C67" i="67" s="1"/>
  <c r="C68" i="67" s="1"/>
  <c r="C34" i="67"/>
  <c r="C31" i="67" s="1"/>
  <c r="C30" i="67" s="1"/>
  <c r="C39" i="67" s="1"/>
  <c r="R16" i="1"/>
  <c r="Q65" i="15"/>
  <c r="C83" i="15"/>
  <c r="C82" i="15" s="1"/>
  <c r="Q56" i="15"/>
  <c r="C46" i="15"/>
  <c r="Q47" i="15"/>
  <c r="Q53" i="15" s="1"/>
  <c r="B2" i="15"/>
  <c r="B3" i="15" s="1"/>
  <c r="C39" i="11"/>
  <c r="C39" i="68"/>
  <c r="C46" i="68" s="1"/>
  <c r="C45" i="68" s="1"/>
  <c r="C30" i="12"/>
  <c r="C28" i="12" s="1"/>
  <c r="C32" i="12" s="1"/>
  <c r="B2" i="12" s="1"/>
  <c r="B3" i="12" s="1"/>
  <c r="C22" i="68"/>
  <c r="C28" i="68"/>
  <c r="C27" i="68" s="1"/>
  <c r="C28" i="69"/>
  <c r="C27" i="69" s="1"/>
  <c r="C25" i="69"/>
  <c r="C22" i="69" s="1"/>
  <c r="C41" i="69"/>
  <c r="C46" i="11"/>
  <c r="C45" i="11" s="1"/>
  <c r="C43" i="11"/>
  <c r="C41" i="11" s="1"/>
  <c r="C46" i="69"/>
  <c r="C45" i="69" s="1"/>
  <c r="C9" i="71"/>
  <c r="D10"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L51" i="67"/>
  <c r="Q67" i="67" l="1"/>
  <c r="L57" i="67"/>
  <c r="L60" i="67" s="1"/>
  <c r="Q69" i="67"/>
  <c r="Q68" i="67" s="1"/>
  <c r="C40" i="67"/>
  <c r="C80" i="67"/>
  <c r="C79" i="67" s="1"/>
  <c r="C71" i="67"/>
  <c r="Q75" i="15"/>
  <c r="C43" i="68"/>
  <c r="C41" i="68" s="1"/>
  <c r="C49" i="68" s="1"/>
  <c r="C51" i="68" s="1"/>
  <c r="C49" i="11"/>
  <c r="C51" i="11" s="1"/>
  <c r="C52" i="11" s="1"/>
  <c r="B2" i="11" s="1"/>
  <c r="B3" i="11" s="1"/>
  <c r="C31" i="68"/>
  <c r="C8" i="71"/>
  <c r="T9" i="71"/>
  <c r="D9" i="71"/>
  <c r="U9" i="71" s="1"/>
  <c r="C49" i="69"/>
  <c r="C51" i="69" s="1"/>
  <c r="C31" i="69"/>
  <c r="M69" i="39"/>
  <c r="N67" i="39"/>
  <c r="R39" i="35"/>
  <c r="E38" i="35"/>
  <c r="M63" i="40"/>
  <c r="L65" i="40"/>
  <c r="Q56" i="67" l="1"/>
  <c r="C43" i="67"/>
  <c r="Q65" i="67"/>
  <c r="C83" i="67"/>
  <c r="C82" i="67" s="1"/>
  <c r="Q47" i="67"/>
  <c r="Q53" i="67" s="1"/>
  <c r="C45" i="67"/>
  <c r="C46" i="67" s="1"/>
  <c r="L46" i="67"/>
  <c r="D2" i="67" s="1"/>
  <c r="Q57" i="67"/>
  <c r="Q66" i="67"/>
  <c r="C52" i="68"/>
  <c r="B2" i="68" s="1"/>
  <c r="B3" i="68" s="1"/>
  <c r="C56" i="11"/>
  <c r="C57" i="11" s="1"/>
  <c r="D8" i="71"/>
  <c r="C7" i="71"/>
  <c r="C52" i="69"/>
  <c r="B2" i="69" s="1"/>
  <c r="B3" i="69" s="1"/>
  <c r="O67" i="39"/>
  <c r="O69" i="39" s="1"/>
  <c r="N69" i="39"/>
  <c r="F7" i="39"/>
  <c r="C39" i="35"/>
  <c r="C38" i="35"/>
  <c r="N63" i="40"/>
  <c r="M65" i="40"/>
  <c r="E43" i="35"/>
  <c r="F43" i="35" s="1"/>
  <c r="E42" i="35"/>
  <c r="F42" i="35" s="1"/>
  <c r="I43" i="35"/>
  <c r="J43" i="35" s="1"/>
  <c r="D2" i="35"/>
  <c r="Q62" i="67" l="1"/>
  <c r="B2" i="35"/>
  <c r="Q75" i="67"/>
  <c r="B3" i="67"/>
  <c r="B2" i="67"/>
  <c r="C57" i="68"/>
  <c r="C56" i="68" s="1"/>
  <c r="D7" i="71"/>
  <c r="C6" i="71"/>
  <c r="C57" i="69"/>
  <c r="C56" i="69" s="1"/>
  <c r="H7" i="39"/>
  <c r="J7" i="39"/>
  <c r="S7" i="39"/>
  <c r="AA7" i="39"/>
  <c r="R47" i="39" s="1"/>
  <c r="O63" i="40"/>
  <c r="O65" i="40" s="1"/>
  <c r="N65" i="40"/>
  <c r="D20" i="80"/>
  <c r="AO6" i="1"/>
  <c r="D19" i="80"/>
  <c r="C19" i="80"/>
  <c r="D103" i="80" l="1"/>
  <c r="D102" i="80"/>
  <c r="D21" i="80"/>
  <c r="C102" i="80"/>
  <c r="D22" i="80"/>
  <c r="G19" i="80"/>
  <c r="G21" i="80" s="1"/>
  <c r="C21" i="80"/>
  <c r="B3" i="35"/>
  <c r="B6" i="70"/>
  <c r="B2" i="70" s="1"/>
  <c r="B3" i="70" s="1"/>
  <c r="C5" i="71"/>
  <c r="D6" i="71"/>
  <c r="W7" i="39"/>
  <c r="AC7" i="39"/>
  <c r="V47" i="39" s="1"/>
  <c r="I47" i="39" s="1"/>
  <c r="E47" i="39"/>
  <c r="R48" i="39"/>
  <c r="U7" i="39"/>
  <c r="AB7" i="39"/>
  <c r="T47" i="39" s="1"/>
  <c r="G47" i="39" s="1"/>
  <c r="J7" i="40"/>
  <c r="F7" i="40"/>
  <c r="H7" i="40"/>
  <c r="C20" i="80"/>
  <c r="G20" i="80" l="1"/>
  <c r="C103" i="80"/>
  <c r="D5" i="71"/>
  <c r="M20" i="4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80" l="1"/>
  <c r="C35" i="80" s="1"/>
  <c r="C34" i="80" s="1"/>
  <c r="R24" i="31"/>
  <c r="R925" i="31" s="1"/>
  <c r="S925" i="31"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657" i="31" l="1"/>
  <c r="S657" i="31" s="1"/>
  <c r="R685" i="31"/>
  <c r="S685" i="31" s="1"/>
  <c r="R718" i="31"/>
  <c r="S718" i="31" s="1"/>
  <c r="R729" i="31"/>
  <c r="S729" i="31" s="1"/>
  <c r="R741" i="31"/>
  <c r="S741" i="31" s="1"/>
  <c r="R754" i="31"/>
  <c r="S754" i="31" s="1"/>
  <c r="R786" i="31"/>
  <c r="S786" i="31" s="1"/>
  <c r="R805" i="31"/>
  <c r="S805" i="31" s="1"/>
  <c r="R810" i="31"/>
  <c r="S810" i="31" s="1"/>
  <c r="R837" i="31"/>
  <c r="S837" i="31" s="1"/>
  <c r="R842" i="31"/>
  <c r="S842" i="31" s="1"/>
  <c r="R878" i="31"/>
  <c r="S878" i="31" s="1"/>
  <c r="R882" i="31"/>
  <c r="S882" i="31" s="1"/>
  <c r="R525" i="31"/>
  <c r="S525" i="31" s="1"/>
  <c r="R530" i="31"/>
  <c r="S530" i="31" s="1"/>
  <c r="R534" i="31"/>
  <c r="S534" i="31" s="1"/>
  <c r="R545" i="31"/>
  <c r="S545" i="31" s="1"/>
  <c r="R549" i="31"/>
  <c r="S549" i="31" s="1"/>
  <c r="R561" i="31"/>
  <c r="S561" i="31" s="1"/>
  <c r="R573" i="31"/>
  <c r="S573" i="31" s="1"/>
  <c r="R585" i="31"/>
  <c r="S585" i="31" s="1"/>
  <c r="R590" i="31"/>
  <c r="S590" i="31" s="1"/>
  <c r="R613" i="31"/>
  <c r="S613" i="31" s="1"/>
  <c r="R649" i="31"/>
  <c r="S649" i="31" s="1"/>
  <c r="R677" i="31"/>
  <c r="S677" i="31" s="1"/>
  <c r="R702" i="31"/>
  <c r="S702" i="31" s="1"/>
  <c r="R770" i="31"/>
  <c r="S770" i="31" s="1"/>
  <c r="R818" i="31"/>
  <c r="S818" i="31" s="1"/>
  <c r="R850" i="31"/>
  <c r="S850" i="31" s="1"/>
  <c r="R542" i="31"/>
  <c r="S542" i="31" s="1"/>
  <c r="R546" i="31"/>
  <c r="S546" i="31" s="1"/>
  <c r="R582" i="31"/>
  <c r="S582" i="31" s="1"/>
  <c r="R586" i="31"/>
  <c r="S586" i="31" s="1"/>
  <c r="R734" i="31"/>
  <c r="S734" i="31" s="1"/>
  <c r="R565" i="31"/>
  <c r="S565" i="31" s="1"/>
  <c r="R725" i="31"/>
  <c r="S725" i="31" s="1"/>
  <c r="R914" i="31"/>
  <c r="S914" i="31" s="1"/>
  <c r="R766" i="31"/>
  <c r="S766" i="31" s="1"/>
  <c r="R802" i="31"/>
  <c r="S802" i="31" s="1"/>
  <c r="R906" i="31"/>
  <c r="S906" i="31" s="1"/>
  <c r="R922" i="31"/>
  <c r="S922" i="31" s="1"/>
  <c r="R682" i="31"/>
  <c r="S682" i="31" s="1"/>
  <c r="R782" i="31"/>
  <c r="S782" i="31" s="1"/>
  <c r="R554" i="31"/>
  <c r="S554" i="31" s="1"/>
  <c r="R653" i="31"/>
  <c r="S653" i="31" s="1"/>
  <c r="R713" i="31"/>
  <c r="S713" i="31" s="1"/>
  <c r="R750" i="31"/>
  <c r="S750" i="31" s="1"/>
  <c r="R594" i="31"/>
  <c r="S594" i="31" s="1"/>
  <c r="R598" i="31"/>
  <c r="S598" i="31" s="1"/>
  <c r="R833" i="31"/>
  <c r="S833" i="31" s="1"/>
  <c r="R879" i="31"/>
  <c r="S879" i="31" s="1"/>
  <c r="R773" i="31"/>
  <c r="S773" i="31" s="1"/>
  <c r="R921" i="31"/>
  <c r="S921" i="31" s="1"/>
  <c r="R814" i="31"/>
  <c r="S814" i="31" s="1"/>
  <c r="R757" i="31"/>
  <c r="S757" i="31" s="1"/>
  <c r="R777" i="31"/>
  <c r="S777" i="31" s="1"/>
  <c r="R705" i="31"/>
  <c r="S705" i="31" s="1"/>
  <c r="R847" i="31"/>
  <c r="S847" i="31" s="1"/>
  <c r="R774" i="31"/>
  <c r="S774" i="31" s="1"/>
  <c r="R577" i="31"/>
  <c r="S577" i="31" s="1"/>
  <c r="R815" i="31"/>
  <c r="S815" i="31" s="1"/>
  <c r="R687" i="31"/>
  <c r="S687" i="31" s="1"/>
  <c r="R617" i="31"/>
  <c r="S617" i="31" s="1"/>
  <c r="R887" i="31"/>
  <c r="S887" i="31" s="1"/>
  <c r="R865" i="31"/>
  <c r="S865" i="31" s="1"/>
  <c r="R798" i="31"/>
  <c r="S798" i="31" s="1"/>
  <c r="R762" i="31"/>
  <c r="S762" i="31" s="1"/>
  <c r="R745" i="31"/>
  <c r="S745" i="31" s="1"/>
  <c r="R710" i="31"/>
  <c r="S710" i="31" s="1"/>
  <c r="R673" i="31"/>
  <c r="S673" i="31" s="1"/>
  <c r="R574" i="31"/>
  <c r="S574" i="31" s="1"/>
  <c r="R531" i="31"/>
  <c r="S531" i="31" s="1"/>
  <c r="R917" i="31"/>
  <c r="S917" i="31" s="1"/>
  <c r="R900" i="31"/>
  <c r="S900" i="31" s="1"/>
  <c r="R873" i="31"/>
  <c r="S873" i="31" s="1"/>
  <c r="R849" i="31"/>
  <c r="S849" i="31" s="1"/>
  <c r="R829" i="31"/>
  <c r="S829" i="31" s="1"/>
  <c r="R737" i="31"/>
  <c r="S737" i="31" s="1"/>
  <c r="R694" i="31"/>
  <c r="S694" i="31" s="1"/>
  <c r="R665" i="31"/>
  <c r="S665" i="31" s="1"/>
  <c r="R634" i="31"/>
  <c r="S634" i="31" s="1"/>
  <c r="R606" i="31"/>
  <c r="S606" i="31" s="1"/>
  <c r="R566" i="31"/>
  <c r="S566" i="31" s="1"/>
  <c r="R911" i="31"/>
  <c r="S911" i="31" s="1"/>
  <c r="R894" i="31"/>
  <c r="S894" i="31" s="1"/>
  <c r="R858" i="31"/>
  <c r="S858" i="31" s="1"/>
  <c r="R825" i="31"/>
  <c r="S825" i="31" s="1"/>
  <c r="R717" i="31"/>
  <c r="S717" i="31" s="1"/>
  <c r="R689" i="31"/>
  <c r="S689" i="31" s="1"/>
  <c r="R662" i="31"/>
  <c r="S662" i="31" s="1"/>
  <c r="R638" i="31"/>
  <c r="S638" i="31" s="1"/>
  <c r="R622" i="31"/>
  <c r="S622" i="31" s="1"/>
  <c r="R602" i="31"/>
  <c r="S602" i="31" s="1"/>
  <c r="R558" i="31"/>
  <c r="S558" i="31" s="1"/>
  <c r="R828" i="31"/>
  <c r="S828" i="31" s="1"/>
  <c r="R656" i="31"/>
  <c r="S656" i="31" s="1"/>
  <c r="R844" i="31"/>
  <c r="S844" i="31" s="1"/>
  <c r="R892" i="31"/>
  <c r="S892" i="31" s="1"/>
  <c r="R820" i="31"/>
  <c r="S820" i="31" s="1"/>
  <c r="R915" i="31"/>
  <c r="S915" i="31" s="1"/>
  <c r="R883" i="31"/>
  <c r="S883" i="31" s="1"/>
  <c r="R851" i="31"/>
  <c r="S851" i="31" s="1"/>
  <c r="R822" i="31"/>
  <c r="S822" i="31" s="1"/>
  <c r="R681" i="31"/>
  <c r="S681" i="31" s="1"/>
  <c r="R870" i="31"/>
  <c r="S870" i="31" s="1"/>
  <c r="R793" i="31"/>
  <c r="S793" i="31" s="1"/>
  <c r="R806" i="31"/>
  <c r="S806" i="31" s="1"/>
  <c r="R742" i="31"/>
  <c r="S742" i="31" s="1"/>
  <c r="R538" i="31"/>
  <c r="S538" i="31" s="1"/>
  <c r="R823" i="31"/>
  <c r="S823" i="31" s="1"/>
  <c r="R597" i="31"/>
  <c r="S597" i="31" s="1"/>
  <c r="R869" i="31"/>
  <c r="S869" i="31" s="1"/>
  <c r="R794" i="31"/>
  <c r="S794" i="31" s="1"/>
  <c r="R619" i="31"/>
  <c r="S619" i="31" s="1"/>
  <c r="R898" i="31"/>
  <c r="S898" i="31" s="1"/>
  <c r="R885" i="31"/>
  <c r="S885" i="31" s="1"/>
  <c r="R854" i="31"/>
  <c r="S854" i="31" s="1"/>
  <c r="R790" i="31"/>
  <c r="S790" i="31" s="1"/>
  <c r="R659" i="31"/>
  <c r="S659" i="31" s="1"/>
  <c r="R722" i="31"/>
  <c r="S722" i="31" s="1"/>
  <c r="R678" i="31"/>
  <c r="S678" i="31" s="1"/>
  <c r="R614" i="31"/>
  <c r="S614" i="31" s="1"/>
  <c r="R550" i="31"/>
  <c r="S550" i="31" s="1"/>
  <c r="R919" i="31"/>
  <c r="S919" i="31" s="1"/>
  <c r="R902" i="31"/>
  <c r="S902" i="31" s="1"/>
  <c r="R889" i="31"/>
  <c r="S889" i="31" s="1"/>
  <c r="R862" i="31"/>
  <c r="S862" i="31" s="1"/>
  <c r="R831" i="31"/>
  <c r="S831" i="31" s="1"/>
  <c r="R769" i="31"/>
  <c r="S769" i="31" s="1"/>
  <c r="R714" i="31"/>
  <c r="S714" i="31" s="1"/>
  <c r="R676" i="31"/>
  <c r="S676" i="31" s="1"/>
  <c r="R642" i="31"/>
  <c r="S642" i="31" s="1"/>
  <c r="R626" i="31"/>
  <c r="S626" i="31" s="1"/>
  <c r="R595" i="31"/>
  <c r="S595" i="31" s="1"/>
  <c r="R529" i="31"/>
  <c r="S529" i="31" s="1"/>
  <c r="R909" i="31"/>
  <c r="S909" i="31" s="1"/>
  <c r="R881" i="31"/>
  <c r="S881" i="31" s="1"/>
  <c r="R841" i="31"/>
  <c r="S841" i="31" s="1"/>
  <c r="R785" i="31"/>
  <c r="S785" i="31" s="1"/>
  <c r="R697" i="31"/>
  <c r="S697" i="31" s="1"/>
  <c r="R670" i="31"/>
  <c r="S670" i="31" s="1"/>
  <c r="R646" i="31"/>
  <c r="S646" i="31" s="1"/>
  <c r="R630" i="31"/>
  <c r="S630" i="31" s="1"/>
  <c r="R610" i="31"/>
  <c r="S610" i="31" s="1"/>
  <c r="R570" i="31"/>
  <c r="S570" i="31" s="1"/>
  <c r="R908" i="31"/>
  <c r="S908" i="31" s="1"/>
  <c r="R916" i="31"/>
  <c r="S916" i="31" s="1"/>
  <c r="R592" i="31"/>
  <c r="S592" i="31" s="1"/>
  <c r="R852" i="31"/>
  <c r="S852" i="31" s="1"/>
  <c r="R632" i="31"/>
  <c r="S632" i="31" s="1"/>
  <c r="R899" i="31"/>
  <c r="S899" i="31" s="1"/>
  <c r="R867" i="31"/>
  <c r="S867" i="31" s="1"/>
  <c r="R835" i="31"/>
  <c r="S835" i="31" s="1"/>
  <c r="R803" i="31"/>
  <c r="S803" i="31" s="1"/>
  <c r="R587" i="31"/>
  <c r="S587" i="31" s="1"/>
  <c r="R846" i="31"/>
  <c r="S846" i="31" s="1"/>
  <c r="R905" i="31"/>
  <c r="S905" i="31" s="1"/>
  <c r="R807" i="31"/>
  <c r="S807" i="31" s="1"/>
  <c r="R553" i="31"/>
  <c r="S553" i="31" s="1"/>
  <c r="R746" i="31"/>
  <c r="S746" i="31" s="1"/>
  <c r="R813" i="31"/>
  <c r="S813" i="31" s="1"/>
  <c r="R913" i="31"/>
  <c r="S913" i="31" s="1"/>
  <c r="R855" i="31"/>
  <c r="S855" i="31" s="1"/>
  <c r="R761" i="31"/>
  <c r="S761" i="31" s="1"/>
  <c r="R709" i="31"/>
  <c r="S709" i="31" s="1"/>
  <c r="R562" i="31"/>
  <c r="S562" i="31" s="1"/>
  <c r="R903" i="31"/>
  <c r="S903" i="31" s="1"/>
  <c r="R863" i="31"/>
  <c r="S863" i="31" s="1"/>
  <c r="R817" i="31"/>
  <c r="S817" i="31" s="1"/>
  <c r="R693" i="31"/>
  <c r="S693" i="31" s="1"/>
  <c r="R633" i="31"/>
  <c r="S633" i="31" s="1"/>
  <c r="R533" i="31"/>
  <c r="S533" i="31" s="1"/>
  <c r="R893" i="31"/>
  <c r="S893" i="31" s="1"/>
  <c r="R809" i="31"/>
  <c r="S809" i="31" s="1"/>
  <c r="R671" i="31"/>
  <c r="S671" i="31" s="1"/>
  <c r="R637" i="31"/>
  <c r="S637" i="31" s="1"/>
  <c r="R601" i="31"/>
  <c r="S601" i="31" s="1"/>
  <c r="R692" i="31"/>
  <c r="S692" i="31" s="1"/>
  <c r="R876" i="31"/>
  <c r="S876" i="31" s="1"/>
  <c r="R836" i="31"/>
  <c r="S836" i="31" s="1"/>
  <c r="R891" i="31"/>
  <c r="S891" i="31" s="1"/>
  <c r="R827" i="31"/>
  <c r="S827" i="31" s="1"/>
  <c r="R663" i="31"/>
  <c r="S663" i="31" s="1"/>
  <c r="R563" i="31"/>
  <c r="S563" i="31" s="1"/>
  <c r="R730" i="31"/>
  <c r="S730" i="31" s="1"/>
  <c r="R749" i="31"/>
  <c r="S749" i="31" s="1"/>
  <c r="R845" i="31"/>
  <c r="S845" i="31" s="1"/>
  <c r="R871" i="31"/>
  <c r="S871" i="31" s="1"/>
  <c r="R686" i="31"/>
  <c r="S686" i="31" s="1"/>
  <c r="R886" i="31"/>
  <c r="S886" i="31" s="1"/>
  <c r="R797" i="31"/>
  <c r="S797" i="31" s="1"/>
  <c r="R733" i="31"/>
  <c r="S733" i="31" s="1"/>
  <c r="R650" i="31"/>
  <c r="S650" i="31" s="1"/>
  <c r="R526" i="31"/>
  <c r="S526" i="31" s="1"/>
  <c r="R890" i="31"/>
  <c r="S890" i="31" s="1"/>
  <c r="R834" i="31"/>
  <c r="S834" i="31" s="1"/>
  <c r="R726" i="31"/>
  <c r="S726" i="31" s="1"/>
  <c r="R605" i="31"/>
  <c r="S605" i="31" s="1"/>
  <c r="R910" i="31"/>
  <c r="S910" i="31" s="1"/>
  <c r="R698" i="31"/>
  <c r="S698" i="31" s="1"/>
  <c r="R621" i="31"/>
  <c r="S621" i="31" s="1"/>
  <c r="R568" i="31"/>
  <c r="S568" i="31" s="1"/>
  <c r="R924" i="31"/>
  <c r="S924" i="31" s="1"/>
  <c r="R859" i="31"/>
  <c r="S859" i="31" s="1"/>
  <c r="R811" i="31"/>
  <c r="S811" i="31" s="1"/>
  <c r="R578" i="31"/>
  <c r="S578" i="31" s="1"/>
  <c r="R706" i="31"/>
  <c r="S706" i="31" s="1"/>
  <c r="R821" i="31"/>
  <c r="S821" i="31" s="1"/>
  <c r="R838" i="31"/>
  <c r="S838" i="31" s="1"/>
  <c r="R618" i="31"/>
  <c r="S618" i="31" s="1"/>
  <c r="R866" i="31"/>
  <c r="S866" i="31" s="1"/>
  <c r="R789" i="31"/>
  <c r="S789" i="31" s="1"/>
  <c r="R721" i="31"/>
  <c r="S721" i="31" s="1"/>
  <c r="R581" i="31"/>
  <c r="S581" i="31" s="1"/>
  <c r="R918" i="31"/>
  <c r="S918" i="31" s="1"/>
  <c r="R874" i="31"/>
  <c r="S874" i="31" s="1"/>
  <c r="R830" i="31"/>
  <c r="S830" i="31" s="1"/>
  <c r="R701" i="31"/>
  <c r="S701" i="31" s="1"/>
  <c r="R641" i="31"/>
  <c r="S641" i="31" s="1"/>
  <c r="R589" i="31"/>
  <c r="S589" i="31" s="1"/>
  <c r="R895" i="31"/>
  <c r="S895" i="31" s="1"/>
  <c r="R826" i="31"/>
  <c r="S826" i="31" s="1"/>
  <c r="R690" i="31"/>
  <c r="S690" i="31" s="1"/>
  <c r="R645" i="31"/>
  <c r="S645" i="31" s="1"/>
  <c r="R609" i="31"/>
  <c r="S609" i="31" s="1"/>
  <c r="R860" i="31"/>
  <c r="S860" i="31" s="1"/>
  <c r="R868" i="31"/>
  <c r="S868" i="31" s="1"/>
  <c r="R907" i="31"/>
  <c r="S907" i="31" s="1"/>
  <c r="R843" i="31"/>
  <c r="S843" i="31" s="1"/>
  <c r="R679" i="31"/>
  <c r="S679" i="31" s="1"/>
  <c r="R627" i="31"/>
  <c r="S627" i="31" s="1"/>
  <c r="R781" i="31"/>
  <c r="S781" i="31" s="1"/>
  <c r="R839" i="31"/>
  <c r="S839" i="31" s="1"/>
  <c r="R778" i="31"/>
  <c r="S778" i="31" s="1"/>
  <c r="R537" i="31"/>
  <c r="S537" i="31" s="1"/>
  <c r="R593" i="31"/>
  <c r="S593" i="31" s="1"/>
  <c r="R758" i="31"/>
  <c r="S758" i="31" s="1"/>
  <c r="R897" i="31"/>
  <c r="S897" i="31" s="1"/>
  <c r="R853" i="31"/>
  <c r="S853" i="31" s="1"/>
  <c r="R658" i="31"/>
  <c r="S658" i="31" s="1"/>
  <c r="R674" i="31"/>
  <c r="S674" i="31" s="1"/>
  <c r="R541" i="31"/>
  <c r="S541" i="31" s="1"/>
  <c r="R901" i="31"/>
  <c r="S901" i="31" s="1"/>
  <c r="R861" i="31"/>
  <c r="S861" i="31" s="1"/>
  <c r="R738" i="31"/>
  <c r="S738" i="31" s="1"/>
  <c r="R666" i="31"/>
  <c r="S666" i="31" s="1"/>
  <c r="R625" i="31"/>
  <c r="S625" i="31" s="1"/>
  <c r="R528" i="31"/>
  <c r="S528" i="31" s="1"/>
  <c r="R877" i="31"/>
  <c r="S877" i="31" s="1"/>
  <c r="R753" i="31"/>
  <c r="S753" i="31" s="1"/>
  <c r="R669" i="31"/>
  <c r="S669" i="31" s="1"/>
  <c r="R629" i="31"/>
  <c r="S629" i="31" s="1"/>
  <c r="R569" i="31"/>
  <c r="S569" i="31" s="1"/>
  <c r="R884" i="31"/>
  <c r="S884" i="31" s="1"/>
  <c r="R812" i="31"/>
  <c r="S812" i="31" s="1"/>
  <c r="R804" i="31"/>
  <c r="S804" i="31" s="1"/>
  <c r="R875" i="31"/>
  <c r="S875" i="31" s="1"/>
  <c r="R819" i="31"/>
  <c r="S819" i="31" s="1"/>
  <c r="R651" i="31"/>
  <c r="S651" i="31" s="1"/>
  <c r="R801" i="31"/>
  <c r="S801" i="31" s="1"/>
  <c r="R654" i="31"/>
  <c r="S654" i="31" s="1"/>
  <c r="R857" i="31"/>
  <c r="S857" i="31" s="1"/>
  <c r="R661" i="31"/>
  <c r="S661" i="31" s="1"/>
  <c r="R557" i="31"/>
  <c r="S557" i="31" s="1"/>
  <c r="R923" i="31"/>
  <c r="S923" i="31" s="1"/>
  <c r="R547" i="31"/>
  <c r="S547" i="31" s="1"/>
  <c r="R765" i="31"/>
  <c r="S765" i="31" s="1"/>
  <c r="R607" i="31"/>
  <c r="S607" i="31" s="1"/>
  <c r="R767" i="31"/>
  <c r="S767" i="31" s="1"/>
  <c r="R756" i="31"/>
  <c r="S756" i="31" s="1"/>
  <c r="R724" i="31"/>
  <c r="S724" i="31" s="1"/>
  <c r="R631" i="31"/>
  <c r="S631" i="31" s="1"/>
  <c r="R783" i="31"/>
  <c r="S783" i="31" s="1"/>
  <c r="R792" i="31"/>
  <c r="S792" i="31" s="1"/>
  <c r="R696" i="31"/>
  <c r="S696" i="31" s="1"/>
  <c r="R535" i="31"/>
  <c r="S535" i="31" s="1"/>
  <c r="R615" i="31"/>
  <c r="S615" i="31" s="1"/>
  <c r="R711" i="31"/>
  <c r="S711" i="31" s="1"/>
  <c r="R775" i="31"/>
  <c r="S775" i="31" s="1"/>
  <c r="R640" i="31"/>
  <c r="S640" i="31" s="1"/>
  <c r="R808" i="31"/>
  <c r="S808" i="31" s="1"/>
  <c r="R616" i="31"/>
  <c r="S616" i="31" s="1"/>
  <c r="R736" i="31"/>
  <c r="S736" i="31" s="1"/>
  <c r="R904" i="31"/>
  <c r="S904" i="31" s="1"/>
  <c r="R591" i="31"/>
  <c r="S591" i="31" s="1"/>
  <c r="R691" i="31"/>
  <c r="S691" i="31" s="1"/>
  <c r="R755" i="31"/>
  <c r="S755" i="31" s="1"/>
  <c r="R580" i="31"/>
  <c r="S580" i="31" s="1"/>
  <c r="R748" i="31"/>
  <c r="S748" i="31" s="1"/>
  <c r="R548" i="31"/>
  <c r="S548" i="31" s="1"/>
  <c r="R688" i="31"/>
  <c r="S688" i="31" s="1"/>
  <c r="R824" i="31"/>
  <c r="S824" i="31" s="1"/>
  <c r="R559" i="31"/>
  <c r="S559" i="31" s="1"/>
  <c r="R643" i="31"/>
  <c r="S643" i="31" s="1"/>
  <c r="R731" i="31"/>
  <c r="S731" i="31" s="1"/>
  <c r="R795" i="31"/>
  <c r="S795" i="31" s="1"/>
  <c r="R680" i="31"/>
  <c r="S680" i="31" s="1"/>
  <c r="R872" i="31"/>
  <c r="S872" i="31" s="1"/>
  <c r="R644" i="31"/>
  <c r="S644" i="31" s="1"/>
  <c r="R760" i="31"/>
  <c r="S760" i="31" s="1"/>
  <c r="R567" i="31"/>
  <c r="S567" i="31" s="1"/>
  <c r="R695" i="31"/>
  <c r="S695" i="31" s="1"/>
  <c r="R772" i="31"/>
  <c r="S772" i="31" s="1"/>
  <c r="R856" i="31"/>
  <c r="S856" i="31" s="1"/>
  <c r="R739" i="31"/>
  <c r="S739" i="31" s="1"/>
  <c r="R920" i="31"/>
  <c r="S920" i="31" s="1"/>
  <c r="R776" i="31"/>
  <c r="S776" i="31" s="1"/>
  <c r="R623" i="31"/>
  <c r="S623" i="31" s="1"/>
  <c r="R779" i="31"/>
  <c r="S779" i="31" s="1"/>
  <c r="R800" i="31"/>
  <c r="S800" i="31" s="1"/>
  <c r="R732" i="31"/>
  <c r="S732" i="31" s="1"/>
  <c r="R683" i="31"/>
  <c r="S683" i="31" s="1"/>
  <c r="R799" i="31"/>
  <c r="S799" i="31" s="1"/>
  <c r="R848" i="31"/>
  <c r="S848" i="31" s="1"/>
  <c r="R784" i="31"/>
  <c r="S784" i="31" s="1"/>
  <c r="R647" i="31"/>
  <c r="S647" i="31" s="1"/>
  <c r="R588" i="31"/>
  <c r="S588" i="31" s="1"/>
  <c r="R556" i="31"/>
  <c r="S556" i="31" s="1"/>
  <c r="R752" i="31"/>
  <c r="S752" i="31" s="1"/>
  <c r="R555" i="31"/>
  <c r="S555" i="31" s="1"/>
  <c r="R639" i="31"/>
  <c r="S639" i="31" s="1"/>
  <c r="R727" i="31"/>
  <c r="S727" i="31" s="1"/>
  <c r="R791" i="31"/>
  <c r="S791" i="31" s="1"/>
  <c r="R700" i="31"/>
  <c r="S700" i="31" s="1"/>
  <c r="R880" i="31"/>
  <c r="S880" i="31" s="1"/>
  <c r="R652" i="31"/>
  <c r="S652" i="31" s="1"/>
  <c r="R768" i="31"/>
  <c r="S768" i="31" s="1"/>
  <c r="R527" i="31"/>
  <c r="S527" i="31" s="1"/>
  <c r="R611" i="31"/>
  <c r="S611" i="31" s="1"/>
  <c r="R707" i="31"/>
  <c r="S707" i="31" s="1"/>
  <c r="R771" i="31"/>
  <c r="S771" i="31" s="1"/>
  <c r="R612" i="31"/>
  <c r="S612" i="31" s="1"/>
  <c r="R780" i="31"/>
  <c r="S780" i="31" s="1"/>
  <c r="R584" i="31"/>
  <c r="S584" i="31" s="1"/>
  <c r="R720" i="31"/>
  <c r="S720" i="31" s="1"/>
  <c r="R864" i="31"/>
  <c r="S864" i="31" s="1"/>
  <c r="R579" i="31"/>
  <c r="S579" i="31" s="1"/>
  <c r="R675" i="31"/>
  <c r="S675" i="31" s="1"/>
  <c r="R747" i="31"/>
  <c r="S747" i="31" s="1"/>
  <c r="R560" i="31"/>
  <c r="S560" i="31" s="1"/>
  <c r="R728" i="31"/>
  <c r="S728" i="31" s="1"/>
  <c r="R536" i="31"/>
  <c r="S536" i="31" s="1"/>
  <c r="R672" i="31"/>
  <c r="S672" i="31" s="1"/>
  <c r="R788" i="31"/>
  <c r="S788" i="31" s="1"/>
  <c r="R719" i="31"/>
  <c r="S719" i="31" s="1"/>
  <c r="R552" i="31"/>
  <c r="S552" i="31" s="1"/>
  <c r="R532" i="31"/>
  <c r="S532" i="31" s="1"/>
  <c r="R543" i="31"/>
  <c r="S543" i="31" s="1"/>
  <c r="R703" i="31"/>
  <c r="S703" i="31" s="1"/>
  <c r="R620" i="31"/>
  <c r="S620" i="31" s="1"/>
  <c r="R600" i="31"/>
  <c r="S600" i="31" s="1"/>
  <c r="R832" i="31"/>
  <c r="S832" i="31" s="1"/>
  <c r="R575" i="31"/>
  <c r="S575" i="31" s="1"/>
  <c r="R667" i="31"/>
  <c r="S667" i="31" s="1"/>
  <c r="R743" i="31"/>
  <c r="S743" i="31" s="1"/>
  <c r="R572" i="31"/>
  <c r="S572" i="31" s="1"/>
  <c r="R740" i="31"/>
  <c r="S740" i="31" s="1"/>
  <c r="R544" i="31"/>
  <c r="S544" i="31" s="1"/>
  <c r="R684" i="31"/>
  <c r="S684" i="31" s="1"/>
  <c r="R796" i="31"/>
  <c r="S796" i="31" s="1"/>
  <c r="R551" i="31"/>
  <c r="S551" i="31" s="1"/>
  <c r="R635" i="31"/>
  <c r="S635" i="31" s="1"/>
  <c r="R723" i="31"/>
  <c r="S723" i="31" s="1"/>
  <c r="R787" i="31"/>
  <c r="S787" i="31" s="1"/>
  <c r="R648" i="31"/>
  <c r="S648" i="31" s="1"/>
  <c r="R816" i="31"/>
  <c r="S816" i="31" s="1"/>
  <c r="R624" i="31"/>
  <c r="S624" i="31" s="1"/>
  <c r="R744" i="31"/>
  <c r="S744" i="31" s="1"/>
  <c r="R912" i="31"/>
  <c r="S912" i="31" s="1"/>
  <c r="R603" i="31"/>
  <c r="S603" i="31" s="1"/>
  <c r="R699" i="31"/>
  <c r="S699" i="31" s="1"/>
  <c r="R763" i="31"/>
  <c r="S763" i="31" s="1"/>
  <c r="R596" i="31"/>
  <c r="S596" i="31" s="1"/>
  <c r="R764" i="31"/>
  <c r="S764" i="31" s="1"/>
  <c r="R564" i="31"/>
  <c r="S564" i="31" s="1"/>
  <c r="R704" i="31"/>
  <c r="S704" i="31" s="1"/>
  <c r="R840" i="31"/>
  <c r="S840" i="31" s="1"/>
  <c r="R751" i="31"/>
  <c r="S751" i="31" s="1"/>
  <c r="R668" i="31"/>
  <c r="S668" i="31" s="1"/>
  <c r="R636" i="31"/>
  <c r="S636" i="31" s="1"/>
  <c r="R583" i="31"/>
  <c r="S583" i="31" s="1"/>
  <c r="R735" i="31"/>
  <c r="S735" i="31" s="1"/>
  <c r="R716" i="31"/>
  <c r="S716" i="31" s="1"/>
  <c r="R664" i="31"/>
  <c r="S664" i="31" s="1"/>
  <c r="R888" i="31"/>
  <c r="S888" i="31" s="1"/>
  <c r="R599" i="31"/>
  <c r="S599" i="31" s="1"/>
  <c r="R759" i="31"/>
  <c r="S759" i="31" s="1"/>
  <c r="R604" i="31"/>
  <c r="S604" i="31" s="1"/>
  <c r="R576" i="31"/>
  <c r="S576" i="31" s="1"/>
  <c r="R712" i="31"/>
  <c r="S712" i="31" s="1"/>
  <c r="R571" i="31"/>
  <c r="S571" i="31" s="1"/>
  <c r="R655" i="31"/>
  <c r="S655" i="31" s="1"/>
  <c r="R540" i="31"/>
  <c r="S540" i="31" s="1"/>
  <c r="R708" i="31"/>
  <c r="S708" i="31" s="1"/>
  <c r="R660" i="31"/>
  <c r="S660" i="31" s="1"/>
  <c r="R539" i="31"/>
  <c r="S539" i="31" s="1"/>
  <c r="R715" i="31"/>
  <c r="S715" i="31" s="1"/>
  <c r="R628" i="31"/>
  <c r="S628" i="31" s="1"/>
  <c r="R608" i="31"/>
  <c r="S608" i="31" s="1"/>
  <c r="R896" i="31"/>
  <c r="S896" i="31" s="1"/>
  <c r="S24" i="31"/>
  <c r="R59" i="31"/>
  <c r="S59" i="31" s="1"/>
  <c r="R495" i="31"/>
  <c r="S495" i="31" s="1"/>
  <c r="R459" i="31"/>
  <c r="S459" i="31" s="1"/>
  <c r="R431" i="31"/>
  <c r="S431" i="31" s="1"/>
  <c r="R399" i="31"/>
  <c r="S399" i="31" s="1"/>
  <c r="R367" i="31"/>
  <c r="S367" i="31" s="1"/>
  <c r="R335" i="31"/>
  <c r="S335" i="31" s="1"/>
  <c r="R299" i="31"/>
  <c r="S299" i="31" s="1"/>
  <c r="R263" i="31"/>
  <c r="S263" i="31" s="1"/>
  <c r="R231" i="31"/>
  <c r="S231" i="31" s="1"/>
  <c r="R207" i="31"/>
  <c r="S207" i="31" s="1"/>
  <c r="R175" i="31"/>
  <c r="S175" i="31" s="1"/>
  <c r="R143" i="31"/>
  <c r="S143" i="31" s="1"/>
  <c r="R107" i="31"/>
  <c r="S107" i="31" s="1"/>
  <c r="R63" i="31"/>
  <c r="S63" i="31" s="1"/>
  <c r="R507" i="31"/>
  <c r="S507" i="31" s="1"/>
  <c r="R475" i="31"/>
  <c r="S475" i="31" s="1"/>
  <c r="R443" i="31"/>
  <c r="S443" i="31" s="1"/>
  <c r="R411" i="31"/>
  <c r="S411" i="31" s="1"/>
  <c r="R379" i="31"/>
  <c r="S379" i="31" s="1"/>
  <c r="R347" i="31"/>
  <c r="S347" i="31" s="1"/>
  <c r="R319" i="31"/>
  <c r="S319" i="31" s="1"/>
  <c r="R287" i="31"/>
  <c r="S287" i="31" s="1"/>
  <c r="R259" i="31"/>
  <c r="S259" i="31" s="1"/>
  <c r="R223" i="31"/>
  <c r="S223" i="31" s="1"/>
  <c r="R187" i="31"/>
  <c r="S187" i="31" s="1"/>
  <c r="R155" i="31"/>
  <c r="S155" i="31" s="1"/>
  <c r="R123" i="31"/>
  <c r="S123" i="31" s="1"/>
  <c r="R99" i="31"/>
  <c r="S99" i="31" s="1"/>
  <c r="R71" i="31"/>
  <c r="S71" i="31" s="1"/>
  <c r="R39" i="31"/>
  <c r="S39" i="31" s="1"/>
  <c r="R517" i="31"/>
  <c r="S517" i="31" s="1"/>
  <c r="R501" i="31"/>
  <c r="S501" i="31" s="1"/>
  <c r="R485" i="31"/>
  <c r="S485" i="31" s="1"/>
  <c r="R469" i="31"/>
  <c r="S469" i="31" s="1"/>
  <c r="R453" i="31"/>
  <c r="S453" i="31" s="1"/>
  <c r="R437" i="31"/>
  <c r="S437" i="31" s="1"/>
  <c r="R421" i="31"/>
  <c r="S421" i="31" s="1"/>
  <c r="R405" i="31"/>
  <c r="S405" i="31" s="1"/>
  <c r="R389" i="31"/>
  <c r="S389" i="31" s="1"/>
  <c r="R373" i="31"/>
  <c r="S373" i="31" s="1"/>
  <c r="R357" i="31"/>
  <c r="S357" i="31" s="1"/>
  <c r="R341" i="31"/>
  <c r="S341" i="31" s="1"/>
  <c r="R325" i="31"/>
  <c r="S325" i="31" s="1"/>
  <c r="R309" i="31"/>
  <c r="S309" i="31" s="1"/>
  <c r="R293" i="31"/>
  <c r="S293" i="31" s="1"/>
  <c r="R277" i="31"/>
  <c r="S277" i="31" s="1"/>
  <c r="R261" i="31"/>
  <c r="S261" i="31" s="1"/>
  <c r="R245" i="31"/>
  <c r="S245" i="31" s="1"/>
  <c r="R229" i="31"/>
  <c r="S229" i="31" s="1"/>
  <c r="R213" i="31"/>
  <c r="S213" i="31" s="1"/>
  <c r="R43" i="31"/>
  <c r="S43" i="31" s="1"/>
  <c r="R514" i="31"/>
  <c r="S514" i="31" s="1"/>
  <c r="R498" i="31"/>
  <c r="S498" i="31" s="1"/>
  <c r="R482" i="31"/>
  <c r="S482" i="31" s="1"/>
  <c r="R466" i="31"/>
  <c r="S466" i="31" s="1"/>
  <c r="R450" i="31"/>
  <c r="S450" i="31" s="1"/>
  <c r="R434" i="31"/>
  <c r="S434" i="31" s="1"/>
  <c r="R418" i="31"/>
  <c r="S418" i="31" s="1"/>
  <c r="R402" i="31"/>
  <c r="S402" i="31" s="1"/>
  <c r="R386" i="31"/>
  <c r="S386" i="31" s="1"/>
  <c r="R370" i="31"/>
  <c r="S370" i="31" s="1"/>
  <c r="R354" i="31"/>
  <c r="S354" i="31" s="1"/>
  <c r="R338" i="31"/>
  <c r="S338" i="31" s="1"/>
  <c r="R322" i="31"/>
  <c r="S322" i="31" s="1"/>
  <c r="R306" i="31"/>
  <c r="S306" i="31" s="1"/>
  <c r="R290" i="31"/>
  <c r="S290" i="31" s="1"/>
  <c r="R274" i="31"/>
  <c r="S274" i="31" s="1"/>
  <c r="R258" i="31"/>
  <c r="S258" i="31" s="1"/>
  <c r="R242" i="31"/>
  <c r="S242" i="31" s="1"/>
  <c r="R226" i="31"/>
  <c r="S226" i="31" s="1"/>
  <c r="R210" i="31"/>
  <c r="S210" i="31" s="1"/>
  <c r="R194" i="31"/>
  <c r="S194" i="31" s="1"/>
  <c r="R178" i="31"/>
  <c r="S178" i="31" s="1"/>
  <c r="R162" i="31"/>
  <c r="S162" i="31" s="1"/>
  <c r="R146" i="31"/>
  <c r="S146" i="31" s="1"/>
  <c r="R130" i="31"/>
  <c r="S130" i="31" s="1"/>
  <c r="R114" i="31"/>
  <c r="S114" i="31" s="1"/>
  <c r="R98" i="31"/>
  <c r="S98" i="31" s="1"/>
  <c r="R82" i="31"/>
  <c r="S82" i="31" s="1"/>
  <c r="R66" i="31"/>
  <c r="S66" i="31" s="1"/>
  <c r="R50" i="31"/>
  <c r="S50" i="31" s="1"/>
  <c r="R34" i="31"/>
  <c r="S34" i="31" s="1"/>
  <c r="R193" i="31"/>
  <c r="S193" i="31" s="1"/>
  <c r="R177" i="31"/>
  <c r="S177" i="31" s="1"/>
  <c r="R161" i="31"/>
  <c r="S161" i="31" s="1"/>
  <c r="R145" i="31"/>
  <c r="S145" i="31" s="1"/>
  <c r="R129" i="31"/>
  <c r="S129" i="31" s="1"/>
  <c r="R113" i="31"/>
  <c r="S113" i="31" s="1"/>
  <c r="R97" i="31"/>
  <c r="S97" i="31" s="1"/>
  <c r="R81" i="31"/>
  <c r="S81" i="31" s="1"/>
  <c r="R65" i="31"/>
  <c r="S65" i="31" s="1"/>
  <c r="R49" i="31"/>
  <c r="S49" i="31" s="1"/>
  <c r="R33" i="31"/>
  <c r="S33" i="31" s="1"/>
  <c r="R520" i="31"/>
  <c r="S520" i="31" s="1"/>
  <c r="R504" i="31"/>
  <c r="S504" i="31" s="1"/>
  <c r="R488" i="31"/>
  <c r="S488" i="31" s="1"/>
  <c r="R472" i="31"/>
  <c r="S472" i="31" s="1"/>
  <c r="R456" i="31"/>
  <c r="S456" i="31" s="1"/>
  <c r="R440" i="31"/>
  <c r="S440" i="31" s="1"/>
  <c r="R424" i="31"/>
  <c r="S424" i="31" s="1"/>
  <c r="R408" i="31"/>
  <c r="S408" i="31" s="1"/>
  <c r="R392" i="31"/>
  <c r="S392" i="31" s="1"/>
  <c r="R376" i="31"/>
  <c r="S376" i="31" s="1"/>
  <c r="R360" i="31"/>
  <c r="S360" i="31" s="1"/>
  <c r="R344" i="31"/>
  <c r="S344" i="31" s="1"/>
  <c r="R328" i="31"/>
  <c r="S328" i="31" s="1"/>
  <c r="R312" i="31"/>
  <c r="S312" i="31" s="1"/>
  <c r="R296" i="31"/>
  <c r="S296" i="31" s="1"/>
  <c r="R280" i="31"/>
  <c r="S280"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R519" i="31"/>
  <c r="S519" i="31" s="1"/>
  <c r="R487" i="31"/>
  <c r="S487" i="31" s="1"/>
  <c r="R451" i="31"/>
  <c r="S451" i="31" s="1"/>
  <c r="R423" i="31"/>
  <c r="S423" i="31" s="1"/>
  <c r="R391" i="31"/>
  <c r="S391" i="31" s="1"/>
  <c r="R359" i="31"/>
  <c r="S359" i="31" s="1"/>
  <c r="R327" i="31"/>
  <c r="S327" i="31" s="1"/>
  <c r="R291" i="31"/>
  <c r="S291" i="31" s="1"/>
  <c r="R255" i="31"/>
  <c r="S255" i="31" s="1"/>
  <c r="R227" i="31"/>
  <c r="S227" i="31" s="1"/>
  <c r="R199" i="31"/>
  <c r="S199" i="31" s="1"/>
  <c r="R167" i="31"/>
  <c r="S167" i="31" s="1"/>
  <c r="R135" i="31"/>
  <c r="S135" i="31" s="1"/>
  <c r="R95" i="31"/>
  <c r="S95" i="31" s="1"/>
  <c r="R51" i="31"/>
  <c r="S51" i="31" s="1"/>
  <c r="R499" i="31"/>
  <c r="S499" i="31" s="1"/>
  <c r="R471" i="31"/>
  <c r="S471" i="31" s="1"/>
  <c r="R435" i="31"/>
  <c r="S435" i="31" s="1"/>
  <c r="R403" i="31"/>
  <c r="S403" i="31" s="1"/>
  <c r="R371" i="31"/>
  <c r="S371" i="31" s="1"/>
  <c r="R339" i="31"/>
  <c r="S339" i="31" s="1"/>
  <c r="R311" i="31"/>
  <c r="S311" i="31" s="1"/>
  <c r="R283" i="31"/>
  <c r="S283" i="31" s="1"/>
  <c r="R251" i="31"/>
  <c r="S251" i="31" s="1"/>
  <c r="R215" i="31"/>
  <c r="S215" i="31" s="1"/>
  <c r="R179" i="31"/>
  <c r="S179" i="31" s="1"/>
  <c r="R147" i="31"/>
  <c r="S147" i="31" s="1"/>
  <c r="R115" i="31"/>
  <c r="S115" i="31" s="1"/>
  <c r="R91" i="31"/>
  <c r="S91" i="31" s="1"/>
  <c r="R67" i="31"/>
  <c r="S67" i="31" s="1"/>
  <c r="R35" i="31"/>
  <c r="S35" i="31" s="1"/>
  <c r="R513" i="31"/>
  <c r="S513" i="31" s="1"/>
  <c r="R497" i="31"/>
  <c r="S497" i="31" s="1"/>
  <c r="R481" i="31"/>
  <c r="S481" i="31" s="1"/>
  <c r="R465" i="31"/>
  <c r="S465" i="31" s="1"/>
  <c r="R449" i="31"/>
  <c r="S449" i="31" s="1"/>
  <c r="R433" i="31"/>
  <c r="S433" i="31" s="1"/>
  <c r="R417" i="31"/>
  <c r="S417" i="31" s="1"/>
  <c r="R401" i="31"/>
  <c r="S401" i="31" s="1"/>
  <c r="R385" i="31"/>
  <c r="S385" i="31" s="1"/>
  <c r="R369" i="31"/>
  <c r="S369" i="31" s="1"/>
  <c r="R353" i="31"/>
  <c r="S353" i="31" s="1"/>
  <c r="R337" i="31"/>
  <c r="S337" i="31" s="1"/>
  <c r="R321" i="31"/>
  <c r="S321" i="31" s="1"/>
  <c r="R305" i="31"/>
  <c r="S305" i="31" s="1"/>
  <c r="R289" i="31"/>
  <c r="S289" i="31" s="1"/>
  <c r="R273" i="31"/>
  <c r="S273" i="31" s="1"/>
  <c r="R257" i="31"/>
  <c r="S257" i="31" s="1"/>
  <c r="R241" i="31"/>
  <c r="S241" i="31" s="1"/>
  <c r="R225" i="31"/>
  <c r="S225" i="31" s="1"/>
  <c r="R209" i="31"/>
  <c r="S209" i="31" s="1"/>
  <c r="R27" i="31"/>
  <c r="S27" i="31" s="1"/>
  <c r="R510" i="31"/>
  <c r="S510" i="31" s="1"/>
  <c r="R494" i="31"/>
  <c r="S494" i="31" s="1"/>
  <c r="R478" i="31"/>
  <c r="S478" i="31" s="1"/>
  <c r="R462" i="31"/>
  <c r="S462" i="31" s="1"/>
  <c r="R446" i="31"/>
  <c r="S446" i="31" s="1"/>
  <c r="R430" i="31"/>
  <c r="S430" i="31" s="1"/>
  <c r="R414" i="31"/>
  <c r="S414" i="31" s="1"/>
  <c r="R398" i="31"/>
  <c r="S398" i="31" s="1"/>
  <c r="R382" i="31"/>
  <c r="S382" i="31" s="1"/>
  <c r="R366" i="31"/>
  <c r="S366" i="31" s="1"/>
  <c r="R350" i="31"/>
  <c r="S350" i="31" s="1"/>
  <c r="R334" i="31"/>
  <c r="S334" i="31" s="1"/>
  <c r="R318" i="31"/>
  <c r="S318" i="31" s="1"/>
  <c r="R302" i="31"/>
  <c r="S302" i="31" s="1"/>
  <c r="R286" i="31"/>
  <c r="S286" i="31" s="1"/>
  <c r="R270" i="31"/>
  <c r="S270" i="31" s="1"/>
  <c r="R254" i="31"/>
  <c r="S254" i="31" s="1"/>
  <c r="R238" i="31"/>
  <c r="S238" i="31" s="1"/>
  <c r="R222" i="31"/>
  <c r="S222" i="31" s="1"/>
  <c r="R206" i="31"/>
  <c r="S206" i="31" s="1"/>
  <c r="R190" i="31"/>
  <c r="S190" i="31" s="1"/>
  <c r="R174" i="31"/>
  <c r="S174" i="31" s="1"/>
  <c r="R158" i="31"/>
  <c r="S158" i="31" s="1"/>
  <c r="R142" i="31"/>
  <c r="S142" i="31" s="1"/>
  <c r="R126" i="31"/>
  <c r="S126" i="31" s="1"/>
  <c r="R110" i="31"/>
  <c r="S110" i="31" s="1"/>
  <c r="R94" i="31"/>
  <c r="S94" i="31" s="1"/>
  <c r="R78" i="31"/>
  <c r="S78" i="31" s="1"/>
  <c r="R62" i="31"/>
  <c r="S62" i="31" s="1"/>
  <c r="R46" i="31"/>
  <c r="S46" i="31" s="1"/>
  <c r="R30" i="31"/>
  <c r="S30" i="31" s="1"/>
  <c r="R189" i="31"/>
  <c r="S189" i="31" s="1"/>
  <c r="R173" i="31"/>
  <c r="S173" i="31" s="1"/>
  <c r="R157" i="31"/>
  <c r="S157" i="31" s="1"/>
  <c r="R141" i="31"/>
  <c r="S141" i="31" s="1"/>
  <c r="R125" i="31"/>
  <c r="S125" i="31" s="1"/>
  <c r="R109" i="31"/>
  <c r="S109" i="31" s="1"/>
  <c r="R93" i="31"/>
  <c r="S93" i="31" s="1"/>
  <c r="R77" i="31"/>
  <c r="S77" i="31" s="1"/>
  <c r="R61" i="31"/>
  <c r="S61" i="31" s="1"/>
  <c r="R45" i="31"/>
  <c r="S45" i="31" s="1"/>
  <c r="R29" i="31"/>
  <c r="S29" i="31" s="1"/>
  <c r="R516" i="31"/>
  <c r="S516" i="31" s="1"/>
  <c r="R500" i="31"/>
  <c r="S500" i="31" s="1"/>
  <c r="R484" i="31"/>
  <c r="S484" i="31" s="1"/>
  <c r="R468" i="31"/>
  <c r="S468" i="31" s="1"/>
  <c r="R452" i="31"/>
  <c r="S452" i="31" s="1"/>
  <c r="R436" i="31"/>
  <c r="S436" i="31" s="1"/>
  <c r="R420" i="31"/>
  <c r="S420" i="31" s="1"/>
  <c r="R404" i="31"/>
  <c r="S404" i="31" s="1"/>
  <c r="R388" i="31"/>
  <c r="S388" i="31" s="1"/>
  <c r="R372" i="31"/>
  <c r="S372" i="31" s="1"/>
  <c r="R356" i="31"/>
  <c r="S356" i="31" s="1"/>
  <c r="R340" i="31"/>
  <c r="S340" i="31" s="1"/>
  <c r="R324" i="31"/>
  <c r="S324" i="31" s="1"/>
  <c r="R308" i="31"/>
  <c r="S308" i="31" s="1"/>
  <c r="R292" i="31"/>
  <c r="S292" i="31" s="1"/>
  <c r="R276" i="31"/>
  <c r="S276" i="31" s="1"/>
  <c r="R260" i="31"/>
  <c r="S260" i="31" s="1"/>
  <c r="R244" i="31"/>
  <c r="S244" i="31" s="1"/>
  <c r="R228" i="31"/>
  <c r="S228" i="31" s="1"/>
  <c r="R212" i="31"/>
  <c r="S212" i="31" s="1"/>
  <c r="R196" i="31"/>
  <c r="S196" i="31" s="1"/>
  <c r="R180" i="31"/>
  <c r="S180" i="31" s="1"/>
  <c r="R164" i="31"/>
  <c r="S164" i="31" s="1"/>
  <c r="R148" i="31"/>
  <c r="S148" i="31" s="1"/>
  <c r="R132" i="31"/>
  <c r="S132" i="31" s="1"/>
  <c r="R116" i="31"/>
  <c r="S116" i="31" s="1"/>
  <c r="R100" i="31"/>
  <c r="S100" i="31" s="1"/>
  <c r="R84" i="31"/>
  <c r="S84" i="31" s="1"/>
  <c r="R68" i="31"/>
  <c r="S68" i="31" s="1"/>
  <c r="R52" i="31"/>
  <c r="S52" i="31" s="1"/>
  <c r="R36" i="31"/>
  <c r="S36" i="31" s="1"/>
  <c r="R479" i="31"/>
  <c r="S479" i="31" s="1"/>
  <c r="R447" i="31"/>
  <c r="S447" i="31" s="1"/>
  <c r="R415" i="31"/>
  <c r="S415" i="31" s="1"/>
  <c r="R383" i="31"/>
  <c r="S383" i="31" s="1"/>
  <c r="R351" i="31"/>
  <c r="S351" i="31" s="1"/>
  <c r="R315" i="31"/>
  <c r="S315" i="31" s="1"/>
  <c r="R279" i="31"/>
  <c r="S279" i="31" s="1"/>
  <c r="R247" i="31"/>
  <c r="S247" i="31" s="1"/>
  <c r="R219" i="31"/>
  <c r="S219" i="31" s="1"/>
  <c r="R191" i="31"/>
  <c r="S191" i="31" s="1"/>
  <c r="R159" i="31"/>
  <c r="S159" i="31" s="1"/>
  <c r="R127" i="31"/>
  <c r="S127" i="31" s="1"/>
  <c r="R87" i="31"/>
  <c r="S87" i="31" s="1"/>
  <c r="R523" i="31"/>
  <c r="S523" i="31" s="1"/>
  <c r="R491" i="31"/>
  <c r="S491" i="31" s="1"/>
  <c r="R463" i="31"/>
  <c r="S463" i="31" s="1"/>
  <c r="R427" i="31"/>
  <c r="S427" i="31" s="1"/>
  <c r="R395" i="31"/>
  <c r="S395" i="31" s="1"/>
  <c r="R363" i="31"/>
  <c r="S363" i="31" s="1"/>
  <c r="R331" i="31"/>
  <c r="S331" i="31" s="1"/>
  <c r="R303" i="31"/>
  <c r="S303" i="31" s="1"/>
  <c r="R275" i="31"/>
  <c r="S275" i="31" s="1"/>
  <c r="R243" i="31"/>
  <c r="S243" i="31" s="1"/>
  <c r="R203" i="31"/>
  <c r="S203" i="31" s="1"/>
  <c r="R171" i="31"/>
  <c r="S171" i="31" s="1"/>
  <c r="R139" i="31"/>
  <c r="S139" i="31" s="1"/>
  <c r="R111" i="31"/>
  <c r="S111" i="31" s="1"/>
  <c r="R83" i="31"/>
  <c r="S83" i="31" s="1"/>
  <c r="R55" i="31"/>
  <c r="S55" i="31" s="1"/>
  <c r="R31" i="31"/>
  <c r="S31" i="31" s="1"/>
  <c r="R509" i="31"/>
  <c r="S509" i="31" s="1"/>
  <c r="R493" i="31"/>
  <c r="S493" i="31" s="1"/>
  <c r="R477" i="31"/>
  <c r="S477" i="31" s="1"/>
  <c r="R461" i="31"/>
  <c r="S461" i="31" s="1"/>
  <c r="R445" i="31"/>
  <c r="S445" i="31" s="1"/>
  <c r="R429" i="31"/>
  <c r="S429" i="31" s="1"/>
  <c r="R413" i="31"/>
  <c r="S413" i="31" s="1"/>
  <c r="R397" i="31"/>
  <c r="S397" i="31" s="1"/>
  <c r="R381" i="31"/>
  <c r="S381" i="31" s="1"/>
  <c r="R365" i="31"/>
  <c r="S365" i="31" s="1"/>
  <c r="R349" i="31"/>
  <c r="S349" i="31" s="1"/>
  <c r="R333" i="31"/>
  <c r="S333" i="31" s="1"/>
  <c r="R317" i="31"/>
  <c r="S317" i="31" s="1"/>
  <c r="R301" i="31"/>
  <c r="S301" i="31" s="1"/>
  <c r="R285" i="31"/>
  <c r="S285" i="31" s="1"/>
  <c r="R511" i="31"/>
  <c r="S511" i="31" s="1"/>
  <c r="R407" i="31"/>
  <c r="S407" i="31" s="1"/>
  <c r="R271" i="31"/>
  <c r="S271" i="31" s="1"/>
  <c r="R151" i="31"/>
  <c r="S151" i="31" s="1"/>
  <c r="R483" i="31"/>
  <c r="S483" i="31" s="1"/>
  <c r="R355" i="31"/>
  <c r="S355" i="31" s="1"/>
  <c r="R235" i="31"/>
  <c r="S235" i="31" s="1"/>
  <c r="R103" i="31"/>
  <c r="S103" i="31" s="1"/>
  <c r="R505" i="31"/>
  <c r="S505" i="31" s="1"/>
  <c r="R441" i="31"/>
  <c r="S441" i="31" s="1"/>
  <c r="R377" i="31"/>
  <c r="S377" i="31" s="1"/>
  <c r="R313" i="31"/>
  <c r="S313" i="31" s="1"/>
  <c r="R265" i="31"/>
  <c r="S265" i="31" s="1"/>
  <c r="R233" i="31"/>
  <c r="S233" i="31" s="1"/>
  <c r="R201" i="31"/>
  <c r="S201" i="31" s="1"/>
  <c r="R502" i="31"/>
  <c r="S502" i="31" s="1"/>
  <c r="R470" i="31"/>
  <c r="S470" i="31" s="1"/>
  <c r="R438" i="31"/>
  <c r="S438" i="31" s="1"/>
  <c r="R406" i="31"/>
  <c r="S406" i="31" s="1"/>
  <c r="R374" i="31"/>
  <c r="S374" i="31" s="1"/>
  <c r="R342" i="31"/>
  <c r="S342" i="31" s="1"/>
  <c r="R310" i="31"/>
  <c r="S310" i="31" s="1"/>
  <c r="R278" i="31"/>
  <c r="S278" i="31" s="1"/>
  <c r="R246" i="31"/>
  <c r="S246" i="31" s="1"/>
  <c r="R214" i="31"/>
  <c r="S214" i="31" s="1"/>
  <c r="R182" i="31"/>
  <c r="S182" i="31" s="1"/>
  <c r="R150" i="31"/>
  <c r="S150" i="31" s="1"/>
  <c r="R118" i="31"/>
  <c r="S118" i="31" s="1"/>
  <c r="R86" i="31"/>
  <c r="S86" i="31" s="1"/>
  <c r="R54" i="31"/>
  <c r="S54" i="31" s="1"/>
  <c r="R197" i="31"/>
  <c r="S197" i="31" s="1"/>
  <c r="R165" i="31"/>
  <c r="S165" i="31" s="1"/>
  <c r="R133" i="31"/>
  <c r="S133" i="31" s="1"/>
  <c r="R101" i="31"/>
  <c r="S101" i="31" s="1"/>
  <c r="R69" i="31"/>
  <c r="S69" i="31" s="1"/>
  <c r="R37" i="31"/>
  <c r="S37" i="31" s="1"/>
  <c r="R508" i="31"/>
  <c r="S508" i="31" s="1"/>
  <c r="R476" i="31"/>
  <c r="S476" i="31" s="1"/>
  <c r="R444" i="31"/>
  <c r="S444" i="31" s="1"/>
  <c r="R412" i="31"/>
  <c r="S412" i="31" s="1"/>
  <c r="R380" i="31"/>
  <c r="S380" i="31" s="1"/>
  <c r="R348" i="31"/>
  <c r="S348" i="31" s="1"/>
  <c r="R316" i="31"/>
  <c r="S316" i="31" s="1"/>
  <c r="R284" i="31"/>
  <c r="S284" i="31" s="1"/>
  <c r="R252" i="31"/>
  <c r="S252" i="31" s="1"/>
  <c r="R220" i="31"/>
  <c r="S220" i="31" s="1"/>
  <c r="R188" i="31"/>
  <c r="S188" i="31" s="1"/>
  <c r="R156" i="31"/>
  <c r="S156" i="31" s="1"/>
  <c r="R124" i="31"/>
  <c r="S124" i="31" s="1"/>
  <c r="R92" i="31"/>
  <c r="S92" i="31" s="1"/>
  <c r="R60" i="31"/>
  <c r="S60" i="31" s="1"/>
  <c r="R28" i="31"/>
  <c r="S28" i="31" s="1"/>
  <c r="R503" i="31"/>
  <c r="S503" i="31" s="1"/>
  <c r="R375" i="31"/>
  <c r="S375" i="31" s="1"/>
  <c r="R239" i="31"/>
  <c r="S239" i="31" s="1"/>
  <c r="R119" i="31"/>
  <c r="S119" i="31" s="1"/>
  <c r="R455" i="31"/>
  <c r="S455" i="31" s="1"/>
  <c r="R323" i="31"/>
  <c r="S323" i="31" s="1"/>
  <c r="R195" i="31"/>
  <c r="S195" i="31" s="1"/>
  <c r="R79" i="31"/>
  <c r="S79" i="31" s="1"/>
  <c r="R489" i="31"/>
  <c r="S489" i="31" s="1"/>
  <c r="R425" i="31"/>
  <c r="S425" i="31" s="1"/>
  <c r="R361" i="31"/>
  <c r="S361" i="31" s="1"/>
  <c r="R297" i="31"/>
  <c r="S297" i="31" s="1"/>
  <c r="R253" i="31"/>
  <c r="S253" i="31" s="1"/>
  <c r="R221" i="31"/>
  <c r="S221" i="31" s="1"/>
  <c r="R522" i="31"/>
  <c r="S522" i="31" s="1"/>
  <c r="R490" i="31"/>
  <c r="S490" i="31" s="1"/>
  <c r="R458" i="31"/>
  <c r="S458" i="31" s="1"/>
  <c r="R426" i="31"/>
  <c r="S426" i="31" s="1"/>
  <c r="R394" i="31"/>
  <c r="S394" i="31" s="1"/>
  <c r="R362" i="31"/>
  <c r="S362" i="31" s="1"/>
  <c r="R330" i="31"/>
  <c r="S330" i="31" s="1"/>
  <c r="R298" i="31"/>
  <c r="S298" i="31" s="1"/>
  <c r="R266" i="31"/>
  <c r="S266" i="31" s="1"/>
  <c r="R234" i="31"/>
  <c r="S234" i="31" s="1"/>
  <c r="R202" i="31"/>
  <c r="S202" i="31" s="1"/>
  <c r="R170" i="31"/>
  <c r="S170" i="31" s="1"/>
  <c r="R138" i="31"/>
  <c r="S138" i="31" s="1"/>
  <c r="R106" i="31"/>
  <c r="S106" i="31" s="1"/>
  <c r="R74" i="31"/>
  <c r="S74" i="31" s="1"/>
  <c r="R42" i="31"/>
  <c r="S42" i="31" s="1"/>
  <c r="R185" i="31"/>
  <c r="S185" i="31" s="1"/>
  <c r="R153" i="31"/>
  <c r="S153" i="31" s="1"/>
  <c r="R121" i="31"/>
  <c r="S121" i="31" s="1"/>
  <c r="R89" i="31"/>
  <c r="S89" i="31" s="1"/>
  <c r="R57" i="31"/>
  <c r="S57" i="31" s="1"/>
  <c r="R25" i="31"/>
  <c r="S25" i="31" s="1"/>
  <c r="R496" i="31"/>
  <c r="S496" i="31" s="1"/>
  <c r="R464" i="31"/>
  <c r="S464" i="31" s="1"/>
  <c r="R432" i="31"/>
  <c r="S432" i="31" s="1"/>
  <c r="R400" i="31"/>
  <c r="S400" i="31" s="1"/>
  <c r="R368" i="31"/>
  <c r="S368" i="31" s="1"/>
  <c r="R336" i="31"/>
  <c r="S336" i="31" s="1"/>
  <c r="R304" i="31"/>
  <c r="S304" i="31" s="1"/>
  <c r="R272" i="31"/>
  <c r="S272" i="31" s="1"/>
  <c r="R240" i="31"/>
  <c r="S240" i="31" s="1"/>
  <c r="R208" i="31"/>
  <c r="S208" i="31" s="1"/>
  <c r="R176" i="31"/>
  <c r="S176" i="31" s="1"/>
  <c r="R144" i="31"/>
  <c r="S144" i="31" s="1"/>
  <c r="R112" i="31"/>
  <c r="S112" i="31" s="1"/>
  <c r="R80" i="31"/>
  <c r="S80" i="31" s="1"/>
  <c r="R48" i="31"/>
  <c r="S48" i="31" s="1"/>
  <c r="R307" i="31"/>
  <c r="S307" i="31" s="1"/>
  <c r="R515" i="31"/>
  <c r="S515" i="31" s="1"/>
  <c r="R267" i="31"/>
  <c r="S267" i="31" s="1"/>
  <c r="R521" i="31"/>
  <c r="S521" i="31" s="1"/>
  <c r="R393" i="31"/>
  <c r="S393" i="31" s="1"/>
  <c r="R269" i="31"/>
  <c r="S269" i="31" s="1"/>
  <c r="R237" i="31"/>
  <c r="S237" i="31" s="1"/>
  <c r="R506" i="31"/>
  <c r="S506" i="31" s="1"/>
  <c r="R474" i="31"/>
  <c r="S474" i="31" s="1"/>
  <c r="R442" i="31"/>
  <c r="S442" i="31" s="1"/>
  <c r="R378" i="31"/>
  <c r="S378" i="31" s="1"/>
  <c r="R314" i="31"/>
  <c r="S314" i="31" s="1"/>
  <c r="R250" i="31"/>
  <c r="S250" i="31" s="1"/>
  <c r="R186" i="31"/>
  <c r="S186" i="31" s="1"/>
  <c r="R122" i="31"/>
  <c r="S122" i="31" s="1"/>
  <c r="R58" i="31"/>
  <c r="S58" i="31" s="1"/>
  <c r="R26" i="31"/>
  <c r="S26" i="31" s="1"/>
  <c r="R137" i="31"/>
  <c r="S137" i="31" s="1"/>
  <c r="R105" i="31"/>
  <c r="S105" i="31" s="1"/>
  <c r="R41" i="31"/>
  <c r="S41" i="31" s="1"/>
  <c r="R480" i="31"/>
  <c r="S480" i="31" s="1"/>
  <c r="R448" i="31"/>
  <c r="S448" i="31" s="1"/>
  <c r="R416" i="31"/>
  <c r="S416" i="31" s="1"/>
  <c r="R352" i="31"/>
  <c r="S352" i="31" s="1"/>
  <c r="R320" i="31"/>
  <c r="S320" i="31" s="1"/>
  <c r="R256" i="31"/>
  <c r="S256" i="31" s="1"/>
  <c r="R224" i="31"/>
  <c r="S224" i="31" s="1"/>
  <c r="R160" i="31"/>
  <c r="S160" i="31" s="1"/>
  <c r="R128" i="31"/>
  <c r="S128" i="31" s="1"/>
  <c r="R64" i="31"/>
  <c r="S64" i="31" s="1"/>
  <c r="R467" i="31"/>
  <c r="S467" i="31" s="1"/>
  <c r="R343" i="31"/>
  <c r="S343" i="31" s="1"/>
  <c r="R211" i="31"/>
  <c r="S211" i="31" s="1"/>
  <c r="R75" i="31"/>
  <c r="S75" i="31" s="1"/>
  <c r="R419" i="31"/>
  <c r="S419" i="31" s="1"/>
  <c r="R295" i="31"/>
  <c r="S295" i="31" s="1"/>
  <c r="R163" i="31"/>
  <c r="S163" i="31" s="1"/>
  <c r="R47" i="31"/>
  <c r="S47" i="31" s="1"/>
  <c r="R473" i="31"/>
  <c r="S473" i="31" s="1"/>
  <c r="R409" i="31"/>
  <c r="S409" i="31" s="1"/>
  <c r="R345" i="31"/>
  <c r="S345" i="31" s="1"/>
  <c r="R281" i="31"/>
  <c r="S281" i="31" s="1"/>
  <c r="R249" i="31"/>
  <c r="S249" i="31" s="1"/>
  <c r="R217" i="31"/>
  <c r="S217" i="31" s="1"/>
  <c r="R518" i="31"/>
  <c r="S518" i="31" s="1"/>
  <c r="R486" i="31"/>
  <c r="S486" i="31" s="1"/>
  <c r="R454" i="31"/>
  <c r="S454" i="31" s="1"/>
  <c r="R422" i="31"/>
  <c r="S422" i="31" s="1"/>
  <c r="R390" i="31"/>
  <c r="S390" i="31" s="1"/>
  <c r="R358" i="31"/>
  <c r="S358" i="31" s="1"/>
  <c r="R326" i="31"/>
  <c r="S326" i="31" s="1"/>
  <c r="R294" i="31"/>
  <c r="S294" i="31" s="1"/>
  <c r="R262" i="31"/>
  <c r="S262" i="31" s="1"/>
  <c r="R230" i="31"/>
  <c r="S230" i="31" s="1"/>
  <c r="R198" i="31"/>
  <c r="S198" i="31" s="1"/>
  <c r="R166" i="31"/>
  <c r="S166" i="31" s="1"/>
  <c r="R134" i="31"/>
  <c r="S134" i="31" s="1"/>
  <c r="R102" i="31"/>
  <c r="S102" i="31" s="1"/>
  <c r="R70" i="31"/>
  <c r="S70" i="31" s="1"/>
  <c r="R38" i="31"/>
  <c r="S38" i="31" s="1"/>
  <c r="R181" i="31"/>
  <c r="S181" i="31" s="1"/>
  <c r="R149" i="31"/>
  <c r="S149" i="31" s="1"/>
  <c r="R117" i="31"/>
  <c r="S117" i="31" s="1"/>
  <c r="R85" i="31"/>
  <c r="S85" i="31" s="1"/>
  <c r="R53" i="31"/>
  <c r="S53" i="31" s="1"/>
  <c r="R524" i="31"/>
  <c r="S524" i="31" s="1"/>
  <c r="R492" i="31"/>
  <c r="S492" i="31" s="1"/>
  <c r="R460" i="31"/>
  <c r="S460" i="31" s="1"/>
  <c r="R428" i="31"/>
  <c r="S428" i="31" s="1"/>
  <c r="R396" i="31"/>
  <c r="S396" i="31" s="1"/>
  <c r="R364" i="31"/>
  <c r="S364" i="31" s="1"/>
  <c r="R332" i="31"/>
  <c r="S332" i="31" s="1"/>
  <c r="R300" i="31"/>
  <c r="S300" i="31" s="1"/>
  <c r="R268" i="31"/>
  <c r="S268" i="31" s="1"/>
  <c r="R236" i="31"/>
  <c r="S236" i="31" s="1"/>
  <c r="R204" i="31"/>
  <c r="S204" i="31" s="1"/>
  <c r="R172" i="31"/>
  <c r="S172" i="31" s="1"/>
  <c r="R140" i="31"/>
  <c r="S140" i="31" s="1"/>
  <c r="R108" i="31"/>
  <c r="S108" i="31" s="1"/>
  <c r="R76" i="31"/>
  <c r="S76" i="31" s="1"/>
  <c r="R44" i="31"/>
  <c r="S44" i="31" s="1"/>
  <c r="R439" i="31"/>
  <c r="S439" i="31" s="1"/>
  <c r="R183" i="31"/>
  <c r="S183" i="31" s="1"/>
  <c r="R387" i="31"/>
  <c r="S387" i="31" s="1"/>
  <c r="R131" i="31"/>
  <c r="S131" i="31" s="1"/>
  <c r="R457" i="31"/>
  <c r="S457" i="31" s="1"/>
  <c r="R329" i="31"/>
  <c r="S329" i="31" s="1"/>
  <c r="R205" i="31"/>
  <c r="S205" i="31" s="1"/>
  <c r="R410" i="31"/>
  <c r="S410" i="31" s="1"/>
  <c r="R346" i="31"/>
  <c r="S346" i="31" s="1"/>
  <c r="R282" i="31"/>
  <c r="S282" i="31" s="1"/>
  <c r="R218" i="31"/>
  <c r="S218" i="31" s="1"/>
  <c r="R154" i="31"/>
  <c r="S154" i="31" s="1"/>
  <c r="R90" i="31"/>
  <c r="S90" i="31" s="1"/>
  <c r="R169" i="31"/>
  <c r="S169" i="31" s="1"/>
  <c r="R73" i="31"/>
  <c r="S73" i="31" s="1"/>
  <c r="R512" i="31"/>
  <c r="S512" i="31" s="1"/>
  <c r="R384" i="31"/>
  <c r="S384" i="31" s="1"/>
  <c r="R288" i="31"/>
  <c r="S288" i="31" s="1"/>
  <c r="R192" i="31"/>
  <c r="S192" i="31" s="1"/>
  <c r="R96" i="31"/>
  <c r="S96" i="31" s="1"/>
  <c r="R32" i="31"/>
  <c r="S32"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D19" i="9"/>
  <c r="C19" i="9"/>
  <c r="D102" i="9" l="1"/>
  <c r="D21" i="9"/>
  <c r="D22" i="9"/>
  <c r="G19" i="9"/>
  <c r="G21" i="9" s="1"/>
  <c r="C102" i="9"/>
  <c r="C21" i="9"/>
  <c r="B21" i="31"/>
  <c r="C20" i="9"/>
  <c r="D20" i="9"/>
  <c r="D103" i="9" l="1"/>
  <c r="C103" i="9"/>
  <c r="G20" i="9"/>
  <c r="C32" i="9" s="1"/>
  <c r="C35" i="9" l="1"/>
  <c r="C34" i="9" s="1"/>
  <c r="D118" i="9" s="1"/>
  <c r="D4" i="52" s="1"/>
  <c r="B47" i="72" s="1"/>
  <c r="H118" i="9"/>
  <c r="D14" i="74" s="1"/>
  <c r="F118" i="9" l="1"/>
  <c r="F4" i="52"/>
  <c r="B51" i="72" s="1"/>
  <c r="H119" i="9"/>
  <c r="H5" i="52" s="1"/>
  <c r="D119" i="9"/>
  <c r="D5" i="52" s="1"/>
  <c r="B49" i="72" s="1"/>
  <c r="H4" i="52"/>
  <c r="H101" i="9"/>
  <c r="D45" i="9" s="1"/>
  <c r="C64" i="9" s="1"/>
  <c r="C63" i="9" s="1"/>
  <c r="C67" i="9" s="1"/>
  <c r="F14" i="74"/>
  <c r="E14" i="74"/>
  <c r="B5" i="74"/>
  <c r="D5" i="53"/>
  <c r="C104" i="9"/>
  <c r="I118" i="9"/>
  <c r="D55" i="9" l="1"/>
  <c r="M53" i="9" s="1"/>
  <c r="D53" i="9"/>
  <c r="C85" i="9"/>
  <c r="D52" i="9"/>
  <c r="C78" i="9"/>
  <c r="C73" i="9" s="1"/>
  <c r="M48" i="9"/>
  <c r="C72" i="9"/>
  <c r="C79" i="9" s="1"/>
  <c r="C93" i="9"/>
  <c r="C86" i="9" s="1"/>
  <c r="H107" i="9"/>
  <c r="H108" i="9" s="1"/>
  <c r="D15" i="53" s="1"/>
  <c r="B31" i="72" s="1"/>
  <c r="F119" i="9"/>
  <c r="F5" i="52" s="1"/>
  <c r="B53" i="72" s="1"/>
  <c r="G118" i="9"/>
  <c r="G4" i="52" s="1"/>
  <c r="B52" i="72" s="1"/>
  <c r="B20" i="72"/>
  <c r="D6" i="53"/>
  <c r="B22" i="72" s="1"/>
  <c r="M49" i="9"/>
  <c r="C68" i="9"/>
  <c r="D54" i="9" s="1"/>
  <c r="D59" i="9"/>
  <c r="M55" i="9" s="1"/>
  <c r="C5" i="74"/>
  <c r="D5" i="74"/>
  <c r="H102" i="9"/>
  <c r="D7" i="53" s="1"/>
  <c r="B21" i="72" s="1"/>
  <c r="C105" i="9"/>
  <c r="I4" i="52"/>
  <c r="D122" i="9" l="1"/>
  <c r="D13" i="53"/>
  <c r="C95" i="9"/>
  <c r="C96" i="9" s="1"/>
  <c r="E96" i="9" s="1"/>
  <c r="E97" i="9" s="1"/>
  <c r="E118" i="9"/>
  <c r="E4" i="52" s="1"/>
  <c r="B48" i="72" s="1"/>
  <c r="C80" i="9"/>
  <c r="E80" i="9" s="1"/>
  <c r="E81" i="9" s="1"/>
  <c r="L66" i="9"/>
  <c r="M66" i="9" s="1"/>
  <c r="L68" i="9"/>
  <c r="M68" i="9" s="1"/>
  <c r="L64" i="9"/>
  <c r="M64" i="9" s="1"/>
  <c r="L63" i="9"/>
  <c r="M63" i="9" s="1"/>
  <c r="L65" i="9"/>
  <c r="M65" i="9" s="1"/>
  <c r="L67" i="9"/>
  <c r="M67" i="9" s="1"/>
  <c r="D8" i="52"/>
  <c r="G14" i="74"/>
  <c r="B6" i="74" s="1"/>
  <c r="D123" i="9"/>
  <c r="D9" i="52" s="1"/>
  <c r="B30" i="72"/>
  <c r="D14" i="53"/>
  <c r="B32" i="72" s="1"/>
  <c r="C97" i="9" l="1"/>
  <c r="D58" i="9" s="1"/>
  <c r="D56" i="9" s="1"/>
  <c r="M54" i="9" s="1"/>
  <c r="N57" i="9" s="1"/>
  <c r="C81" i="9"/>
  <c r="C6" i="74"/>
  <c r="D6" i="74"/>
  <c r="M69" i="9"/>
  <c r="N69" i="9" s="1"/>
  <c r="N59" i="9" l="1"/>
  <c r="P57" i="9"/>
  <c r="N58" i="9"/>
  <c r="N61" i="9" l="1"/>
  <c r="N60" i="9"/>
  <c r="D119" i="80"/>
  <c r="H119" i="80"/>
  <c r="C104" i="80"/>
  <c r="L64" i="80"/>
  <c r="M64" i="80"/>
  <c r="H102" i="80"/>
  <c r="C105" i="80"/>
  <c r="D53" i="80"/>
  <c r="D52" i="80"/>
  <c r="D54" i="80"/>
  <c r="E81" i="80"/>
  <c r="H108" i="80"/>
  <c r="N60" i="80"/>
  <c r="N59" i="80"/>
  <c r="N61" i="80"/>
  <c r="L68" i="80"/>
  <c r="M68" i="80"/>
  <c r="C81" i="80"/>
  <c r="N58" i="80"/>
  <c r="P57" i="80"/>
  <c r="L65" i="80"/>
  <c r="M65" i="80"/>
  <c r="N57" i="80"/>
  <c r="M48" i="80"/>
  <c r="E118" i="80"/>
  <c r="D118" i="80"/>
  <c r="M69" i="80"/>
  <c r="N69" i="80"/>
  <c r="L67" i="80"/>
  <c r="M67" i="80"/>
  <c r="F119" i="80"/>
  <c r="F118" i="80"/>
  <c r="G118" i="80"/>
  <c r="D122" i="80"/>
  <c r="D123" i="80"/>
  <c r="D56" i="80"/>
  <c r="M54" i="80"/>
  <c r="C96" i="80"/>
  <c r="E96" i="80"/>
  <c r="E97" i="80"/>
  <c r="C68" i="80"/>
  <c r="C72" i="80"/>
  <c r="C79" i="80"/>
  <c r="C80" i="80"/>
  <c r="E80" i="80"/>
  <c r="C78" i="80"/>
  <c r="C73" i="80"/>
  <c r="L63" i="80"/>
  <c r="M63" i="80"/>
  <c r="C64" i="80"/>
  <c r="C63" i="80"/>
  <c r="C67" i="80"/>
  <c r="D59" i="80"/>
  <c r="M55" i="80"/>
  <c r="C97" i="80"/>
  <c r="D58" i="80"/>
  <c r="H107" i="80"/>
  <c r="M49" i="80"/>
  <c r="L66" i="80"/>
  <c r="M66" i="80"/>
  <c r="C93" i="80"/>
  <c r="C86" i="80"/>
  <c r="C85" i="80"/>
  <c r="C95" i="80"/>
  <c r="I118" i="80"/>
  <c r="H118" i="80"/>
  <c r="H101" i="80"/>
  <c r="D45" i="80"/>
  <c r="D55" i="80"/>
  <c r="M53"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<sst xmlns="http://schemas.openxmlformats.org/spreadsheetml/2006/main" count="10458" uniqueCount="4128">
  <si>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</si>
  <si>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</si>
  <si>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</si>
  <si>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</si>
  <si>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</si>
  <si>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</si>
  <si>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</si>
  <si>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</si>
  <si>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</si>
  <si>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</si>
  <si>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</si>
  <si>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</si>
  <si>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</si>
  <si>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</si>
  <si>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</si>
  <si>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</si>
  <si>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</si>
  <si>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</si>
  <si>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</si>
  <si>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</si>
  <si>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</si>
  <si>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</si>
  <si>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</si>
  <si>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</si>
  <si>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</si>
  <si>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</si>
  <si>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</si>
  <si>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</si>
  <si>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</si>
  <si>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</si>
  <si>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</si>
  <si>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</si>
  <si>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</si>
  <si>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</si>
  <si>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</si>
  <si>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</si>
  <si>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</si>
  <si>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</si>
  <si>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</si>
  <si>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</si>
  <si>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</si>
  <si>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</si>
  <si>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</si>
  <si>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</si>
  <si>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</si>
  <si>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</si>
  <si>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</si>
  <si>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</si>
  <si>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</si>
  <si>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</si>
  <si>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</si>
  <si>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</si>
  <si>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</si>
  <si>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</si>
  <si>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</si>
  <si>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</si>
  <si>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</si>
  <si>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</si>
  <si>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</si>
  <si>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</si>
  <si>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</si>
  <si>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</si>
  <si>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</si>
  <si>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</si>
  <si>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</si>
  <si>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</si>
  <si>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</si>
  <si>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</si>
  <si>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</si>
  <si>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</si>
  <si>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</si>
  <si>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</si>
  <si>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</si>
  <si>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</si>
  <si>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</si>
  <si>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</si>
  <si>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</si>
  <si>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</si>
  <si>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</si>
  <si>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</si>
  <si>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</si>
  <si>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</si>
  <si>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</si>
  <si>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</si>
  <si>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</si>
  <si>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</si>
  <si>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</si>
  <si>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</si>
  <si>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</si>
  <si>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</si>
  <si>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</si>
  <si>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</si>
  <si>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</si>
  <si>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</si>
  <si>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</si>
  <si>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</si>
  <si>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</si>
  <si>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</si>
  <si>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</si>
  <si>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</si>
  <si>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</si>
  <si>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</si>
  <si>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</si>
  <si>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</si>
  <si>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</si>
  <si>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</si>
  <si>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</si>
  <si>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</si>
  <si>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</si>
  <si>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</si>
  <si>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</si>
  <si>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</si>
  <si>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</si>
  <si>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</si>
  <si>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</si>
  <si>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</si>
  <si>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</si>
  <si>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</si>
  <si>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</si>
  <si>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</si>
  <si>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</si>
  <si>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</si>
  <si>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</si>
  <si>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</si>
  <si>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</si>
  <si>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</si>
  <si>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</si>
  <si>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</si>
  <si>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</si>
  <si>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</si>
  <si>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</si>
  <si>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</si>
  <si>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</si>
  <si>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</si>
  <si>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</si>
  <si>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</si>
  <si>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</si>
  <si>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</si>
  <si>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</si>
  <si>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</si>
  <si>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</si>
  <si>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</si>
  <si>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</si>
  <si>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</si>
  <si>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</si>
  <si>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</si>
  <si>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</si>
  <si>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</si>
  <si>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</si>
  <si>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</si>
  <si>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</si>
  <si>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</si>
  <si>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</si>
  <si>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</si>
  <si>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</si>
  <si>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</si>
  <si>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</si>
  <si>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</si>
  <si>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</si>
  <si>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</si>
  <si>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</si>
  <si>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</si>
  <si>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</si>
  <si>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</si>
  <si>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</si>
  <si>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</si>
  <si>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</si>
  <si>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</si>
  <si>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</si>
  <si>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</si>
  <si>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</si>
  <si>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</si>
  <si>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</si>
  <si>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</si>
  <si>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</si>
  <si>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</si>
  <si>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</si>
  <si>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</si>
  <si>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</si>
  <si>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</si>
  <si>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</si>
  <si>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</si>
  <si>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</si>
  <si>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</si>
  <si>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</si>
  <si>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</si>
  <si>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</si>
  <si>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</si>
  <si>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</si>
  <si>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</si>
  <si>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</si>
  <si>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</si>
  <si>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</si>
  <si>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</si>
  <si>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</si>
  <si>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</si>
  <si>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</si>
  <si>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</si>
  <si>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</si>
  <si>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</si>
  <si>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</si>
  <si>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</si>
  <si>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</si>
  <si>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</si>
  <si>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</si>
  <si>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</si>
  <si>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</si>
  <si>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</si>
  <si>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</si>
  <si>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</si>
  <si>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</si>
  <si>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</si>
  <si>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</si>
  <si>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</si>
  <si>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</si>
  <si>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</si>
  <si>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</si>
  <si>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</si>
  <si>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</si>
  <si>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</si>
  <si>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</si>
  <si>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</si>
  <si>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</si>
  <si>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</si>
  <si>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</si>
  <si>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</si>
  <si>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</si>
  <si>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</si>
  <si>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</si>
  <si>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</si>
  <si>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</si>
  <si>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</si>
  <si>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</si>
  <si>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</si>
  <si>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</si>
  <si>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</si>
  <si>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</si>
  <si>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</si>
  <si>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</si>
  <si>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</si>
  <si>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</si>
  <si>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</si>
  <si>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</si>
  <si>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</si>
  <si>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</si>
  <si>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</si>
  <si>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</si>
  <si>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</si>
  <si>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</si>
  <si>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</si>
  <si>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</si>
  <si>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</si>
  <si>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</si>
  <si>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</si>
  <si>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</si>
  <si>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</si>
  <si>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</si>
  <si>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</si>
  <si>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</si>
  <si>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</si>
  <si>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</si>
  <si>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</si>
  <si>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</si>
  <si>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</si>
  <si>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</si>
  <si>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</si>
  <si>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</si>
  <si>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</si>
  <si>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</si>
  <si>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</si>
  <si>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</si>
  <si>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</si>
  <si>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</si>
  <si>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</si>
  <si>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</si>
  <si>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</si>
  <si>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</si>
  <si>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</si>
  <si>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</si>
  <si>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</si>
  <si>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</si>
  <si>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</si>
  <si>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</si>
  <si>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</si>
  <si>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</si>
  <si>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</si>
  <si>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</si>
  <si>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</si>
  <si>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</si>
  <si>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</si>
  <si>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</si>
  <si>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</si>
  <si>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</si>
  <si>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</si>
  <si>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</si>
  <si>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</si>
  <si>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</si>
  <si>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</si>
  <si>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</si>
  <si>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</si>
  <si>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</si>
  <si>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</si>
  <si>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</si>
  <si>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</si>
  <si>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</si>
  <si>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</si>
  <si>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</si>
  <si>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</si>
  <si>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</si>
  <si>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</si>
  <si>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</si>
  <si>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</si>
  <si>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</si>
  <si>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</si>
  <si>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</si>
  <si>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</si>
  <si>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</si>
  <si>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</si>
  <si>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</si>
  <si>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</si>
  <si>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</si>
  <si>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</si>
  <si>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</si>
  <si>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</si>
  <si>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</si>
  <si>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</si>
  <si>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</si>
  <si>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</si>
  <si>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</si>
  <si>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</si>
  <si>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</si>
  <si>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</si>
  <si>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</si>
  <si>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</si>
  <si>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</si>
  <si>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</si>
  <si>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</si>
  <si>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</si>
  <si>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</si>
  <si>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</si>
  <si>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</si>
  <si>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</si>
  <si>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</si>
  <si>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</si>
  <si>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</si>
  <si>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</si>
  <si>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</si>
  <si>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</si>
  <si>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</si>
  <si>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</si>
  <si>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</si>
  <si>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</si>
  <si>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</si>
  <si>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</si>
  <si>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</si>
  <si>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</si>
  <si>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</si>
  <si>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</si>
  <si>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</si>
  <si>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</si>
  <si>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</si>
  <si>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</si>
  <si>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</si>
  <si>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</si>
  <si>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</si>
  <si>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</si>
  <si>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</si>
  <si>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</si>
  <si>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</si>
  <si>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</si>
  <si>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</si>
  <si>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</si>
  <si>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</si>
  <si>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</si>
  <si>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</si>
  <si>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</si>
  <si>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</si>
  <si>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</si>
  <si>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</si>
  <si>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</si>
  <si>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</si>
  <si>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</si>
  <si>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</si>
  <si>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</si>
  <si>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</si>
  <si>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</si>
  <si>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</si>
  <si>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</si>
  <si>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</si>
  <si>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</si>
  <si>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</si>
  <si>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</si>
  <si>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</si>
  <si>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</si>
  <si>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</si>
  <si>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</si>
  <si>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</si>
  <si>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</si>
  <si>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</si>
  <si>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</si>
  <si>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</si>
  <si>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</si>
  <si>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</si>
  <si>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</si>
  <si>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</si>
  <si>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</si>
  <si>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</si>
  <si>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</si>
  <si>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</si>
  <si>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</si>
  <si>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</si>
  <si>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</si>
  <si>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</si>
  <si>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</si>
  <si>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</si>
  <si>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</si>
  <si>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</si>
  <si>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</si>
  <si>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</si>
  <si>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</si>
  <si>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</si>
  <si>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</si>
  <si>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</si>
  <si>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</si>
  <si>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</si>
  <si>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</si>
  <si>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</si>
  <si>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</si>
  <si>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</si>
  <si>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</si>
  <si>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</si>
  <si>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</si>
  <si>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</si>
  <si>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</si>
  <si>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</si>
  <si>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</si>
  <si>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</si>
  <si>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</si>
  <si>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</si>
  <si>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</si>
  <si>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</si>
  <si>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</si>
  <si>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</si>
  <si>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</si>
  <si>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</si>
  <si>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</si>
  <si>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</si>
  <si>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</si>
  <si>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</si>
  <si>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</si>
  <si>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</si>
  <si>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</si>
  <si>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</si>
  <si>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</si>
  <si>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</si>
  <si>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</si>
  <si>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</si>
  <si>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</si>
  <si>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</si>
  <si>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</si>
  <si>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</si>
  <si>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</si>
  <si>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</si>
  <si>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</si>
  <si>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</si>
  <si>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</si>
  <si>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</si>
  <si>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</si>
  <si>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</si>
  <si>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</si>
  <si>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</si>
  <si>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</si>
  <si>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</si>
  <si>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</si>
  <si>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</si>
  <si>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</si>
  <si>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</si>
  <si>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</si>
  <si>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</si>
  <si>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</si>
  <si>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</si>
  <si>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</si>
  <si>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</si>
  <si>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</si>
  <si>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</si>
  <si>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</si>
  <si>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</si>
  <si>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</si>
  <si>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</si>
  <si>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</si>
  <si>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</si>
  <si>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</si>
  <si>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</si>
  <si>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</si>
  <si>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</si>
  <si>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</si>
  <si>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</si>
  <si>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</si>
  <si>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</si>
  <si>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</si>
  <si>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</si>
  <si>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</si>
  <si>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</si>
  <si>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</si>
  <si>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</si>
  <si>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</si>
  <si>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</si>
  <si>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</si>
  <si>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</si>
  <si>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</si>
  <si>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</si>
  <si>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</si>
  <si>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</si>
  <si>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</si>
  <si>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</si>
  <si>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</si>
  <si>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</si>
  <si>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</si>
  <si>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</si>
  <si>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</si>
  <si>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</si>
  <si>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</si>
  <si>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</si>
  <si>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</si>
  <si>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</si>
  <si>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</si>
  <si>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</si>
  <si>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</si>
  <si>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</si>
  <si>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</si>
  <si>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</si>
  <si>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</si>
  <si>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</si>
  <si>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</si>
  <si>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</si>
  <si>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</si>
  <si>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</si>
  <si>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</si>
  <si>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</si>
  <si>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</si>
  <si>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</si>
  <si>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</si>
  <si>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</si>
  <si>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</si>
  <si>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</si>
  <si>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</si>
  <si>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</si>
  <si>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</si>
  <si>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</si>
  <si>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</si>
  <si>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</si>
  <si>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</si>
  <si>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</si>
  <si>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</si>
  <si>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</si>
  <si>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</si>
  <si>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</si>
  <si>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</si>
  <si>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</si>
  <si>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</si>
  <si>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</si>
  <si>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</si>
  <si>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</si>
  <si>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</si>
  <si>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</si>
  <si>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</si>
  <si>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</si>
  <si>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</si>
  <si>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</si>
  <si>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</si>
  <si>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</si>
  <si>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</si>
  <si>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</si>
  <si>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</si>
  <si>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</si>
  <si>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</si>
  <si>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</si>
  <si>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</si>
  <si>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</si>
  <si>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</si>
  <si>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</si>
  <si>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</si>
  <si>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</si>
  <si>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</si>
  <si>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</si>
  <si>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</si>
  <si>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</si>
  <si>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</si>
  <si>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</si>
  <si>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</si>
  <si>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</si>
  <si>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</si>
  <si>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</si>
  <si>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</si>
  <si>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</si>
  <si>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</si>
  <si>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</si>
  <si>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</si>
  <si>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</si>
  <si>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</si>
  <si>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</si>
  <si>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</si>
  <si>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</si>
  <si>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</si>
  <si>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</si>
  <si>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</si>
  <si>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</si>
  <si>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</si>
  <si>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</si>
  <si>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</si>
  <si>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</si>
  <si>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</si>
  <si>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</si>
  <si>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</si>
  <si>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</si>
  <si>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</si>
  <si>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</si>
  <si>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</si>
  <si>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</si>
  <si>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</si>
  <si>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</si>
  <si>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</si>
  <si>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</si>
  <si>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</si>
  <si>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</si>
  <si>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</si>
  <si>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</si>
  <si>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</si>
  <si>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</si>
  <si>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</si>
  <si>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</si>
  <si>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</si>
  <si>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</si>
  <si>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</si>
  <si>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</si>
  <si>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</si>
  <si>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</si>
  <si>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</si>
  <si>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</si>
  <si>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</si>
  <si>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</si>
  <si>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</si>
  <si>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</si>
  <si>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</si>
  <si>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</si>
  <si>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</si>
  <si>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</si>
  <si>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</si>
  <si>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</si>
  <si>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</si>
  <si>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</si>
  <si>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</si>
  <si>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</si>
  <si>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</si>
  <si>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</si>
  <si>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</si>
  <si>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</si>
  <si>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</si>
  <si>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</si>
  <si>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</si>
  <si>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</si>
  <si>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</si>
  <si>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</si>
  <si>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</si>
  <si>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</si>
  <si>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</si>
  <si>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</si>
  <si>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</si>
  <si>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</si>
  <si>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</si>
  <si>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</si>
  <si>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</si>
  <si>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</si>
  <si>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</si>
  <si>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</si>
  <si>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</si>
  <si>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</si>
  <si>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</si>
  <si>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</si>
  <si>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</si>
  <si>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</si>
  <si>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</si>
  <si>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</si>
  <si>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</si>
  <si>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</si>
  <si>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</si>
  <si>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</si>
  <si>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</si>
  <si>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</si>
  <si>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</si>
  <si>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</si>
  <si>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</si>
  <si>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</si>
  <si>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</si>
  <si>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</si>
  <si>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</si>
  <si>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</si>
  <si>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</si>
  <si>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</si>
  <si>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</si>
  <si>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</si>
  <si>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</si>
  <si>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</si>
  <si>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</si>
  <si>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</si>
  <si>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</si>
  <si>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</si>
  <si>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</si>
  <si>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</si>
  <si>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</si>
  <si>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</si>
  <si>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</si>
  <si>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</si>
  <si>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</si>
  <si>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</si>
  <si>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</si>
  <si>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</si>
  <si>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</si>
  <si>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</si>
  <si>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</si>
  <si>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</si>
  <si>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</si>
  <si>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</si>
  <si>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</si>
  <si>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</si>
  <si>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</si>
  <si>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</si>
  <si>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</si>
  <si>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</si>
  <si>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</si>
  <si>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</si>
  <si>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</si>
  <si>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</si>
  <si>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</si>
  <si>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</si>
  <si>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</si>
  <si>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</si>
  <si>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</si>
  <si>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</si>
  <si>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</si>
  <si>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</si>
  <si>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</si>
  <si>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</si>
  <si>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</si>
  <si>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</si>
  <si>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</si>
  <si>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</si>
  <si>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</si>
  <si>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</si>
  <si>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</si>
  <si>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</si>
  <si>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</si>
  <si>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</si>
  <si>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</si>
  <si>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</si>
  <si>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</si>
  <si>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</si>
  <si>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</si>
  <si>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</si>
  <si>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</si>
  <si>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</si>
  <si>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</si>
  <si>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</si>
  <si>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</si>
  <si>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</si>
  <si>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</si>
  <si>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</si>
  <si>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</si>
  <si>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</si>
  <si>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</si>
  <si>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</si>
  <si>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</si>
  <si>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</si>
  <si>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</si>
  <si>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</si>
  <si>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</si>
  <si>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</si>
  <si>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</si>
  <si>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</si>
  <si>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</si>
  <si>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</si>
  <si>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</si>
  <si>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</si>
  <si>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</si>
  <si>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</si>
  <si>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</si>
  <si>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</si>
  <si>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</si>
  <si>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</si>
  <si>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</si>
  <si>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</si>
  <si>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</si>
  <si>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</si>
  <si>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</si>
  <si>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</si>
  <si>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</si>
  <si>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</si>
  <si>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</si>
  <si>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</si>
  <si>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</si>
  <si>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</si>
  <si>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</si>
  <si>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</si>
  <si>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</si>
  <si>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</si>
  <si>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</si>
  <si>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</si>
  <si>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</si>
  <si>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</si>
  <si>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</si>
  <si>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</si>
  <si>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</si>
  <si>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</si>
  <si>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</si>
  <si>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</si>
  <si>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</si>
  <si>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</si>
  <si>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</si>
  <si>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</si>
  <si>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</si>
  <si>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</si>
  <si>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</si>
  <si>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</si>
  <si>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</si>
  <si>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</si>
  <si>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</si>
  <si>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</si>
  <si>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</si>
  <si>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</si>
  <si>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</si>
  <si>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</si>
  <si>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</si>
  <si>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</si>
  <si>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</si>
  <si>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</si>
  <si>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</si>
  <si>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</si>
  <si>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</si>
  <si>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</si>
  <si>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</si>
  <si>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</si>
  <si>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</si>
  <si>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</si>
  <si>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</si>
  <si>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</si>
  <si>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</si>
  <si>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</si>
  <si>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</si>
  <si>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</si>
  <si>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</si>
  <si>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</si>
  <si>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</si>
  <si>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</si>
  <si>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</si>
  <si>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</si>
  <si>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</si>
  <si>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</si>
  <si>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</si>
  <si>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</si>
  <si>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</si>
  <si>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</si>
  <si>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</si>
  <si>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</si>
  <si>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</si>
  <si>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</si>
  <si>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</si>
  <si>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</si>
  <si>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</si>
  <si>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</si>
  <si>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</si>
  <si>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</si>
  <si>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</si>
  <si>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</si>
  <si>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</si>
  <si>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</si>
  <si>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</si>
  <si>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</si>
  <si>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</si>
  <si>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</si>
  <si>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</si>
  <si>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</si>
  <si>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</si>
  <si>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</si>
  <si>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</si>
  <si>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</si>
  <si>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</si>
  <si>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</si>
  <si>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</si>
  <si>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</si>
  <si>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</si>
  <si>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</si>
  <si>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</si>
  <si>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</si>
  <si>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</si>
  <si>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</si>
  <si>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</si>
  <si>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</si>
  <si>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</si>
  <si>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</si>
  <si>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</si>
  <si>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</si>
  <si>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</si>
  <si>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</si>
  <si>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</si>
  <si>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</si>
  <si>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</si>
  <si>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</si>
  <si>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</si>
  <si>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</si>
  <si>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</si>
  <si>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</si>
  <si>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</si>
  <si>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</si>
  <si>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</si>
  <si>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</si>
  <si>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</si>
  <si>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</si>
  <si>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</si>
  <si>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</si>
  <si>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</si>
  <si>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</si>
  <si>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</si>
  <si>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</si>
  <si>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</si>
  <si>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</si>
  <si>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</si>
  <si>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</si>
  <si>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</si>
  <si>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</si>
  <si>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</si>
  <si>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</si>
  <si>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</si>
  <si>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</si>
  <si>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</si>
  <si>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</si>
  <si>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</si>
  <si>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</si>
  <si>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</si>
  <si>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</si>
  <si>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</si>
  <si>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</si>
  <si>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</si>
  <si>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</si>
  <si>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</si>
  <si>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</si>
  <si>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</si>
  <si>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</si>
  <si>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</si>
  <si>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</si>
  <si>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</si>
  <si>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</si>
  <si>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</si>
  <si>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</si>
  <si>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</si>
  <si>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</si>
  <si>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</si>
  <si>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</si>
  <si>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</si>
  <si>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</si>
  <si>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</si>
  <si>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</si>
  <si>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</si>
  <si>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</si>
  <si>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</si>
  <si>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</si>
  <si>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</si>
  <si>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</si>
  <si>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</si>
  <si>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</si>
  <si>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</si>
  <si>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</si>
  <si>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</si>
  <si>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</si>
  <si>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</si>
  <si>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</si>
  <si>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</si>
  <si>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</si>
  <si>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</si>
  <si>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</si>
  <si>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</si>
  <si>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</si>
  <si>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</si>
  <si>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</si>
  <si>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</si>
  <si>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</si>
  <si>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</si>
  <si>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</si>
  <si>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</si>
  <si>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</si>
  <si>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</si>
  <si>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</si>
  <si>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</si>
  <si>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</si>
  <si>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</si>
  <si>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</si>
  <si>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</si>
  <si>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</si>
  <si>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</si>
  <si>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</si>
  <si>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</si>
  <si>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</si>
  <si>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</si>
  <si>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</si>
  <si>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</si>
  <si>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</si>
  <si>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</si>
  <si>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</si>
  <si>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</si>
  <si>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</si>
  <si>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</si>
  <si>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</si>
  <si>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</si>
  <si>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</si>
  <si>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</si>
  <si>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</si>
  <si>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</si>
  <si>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</si>
  <si>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</si>
  <si>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</si>
  <si>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</si>
  <si>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</si>
  <si>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</si>
  <si>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</si>
  <si>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</si>
  <si>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</si>
  <si>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</si>
  <si>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</si>
  <si>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</si>
  <si>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</si>
  <si>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</si>
  <si>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</si>
  <si>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</si>
  <si>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</si>
  <si>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</si>
  <si>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</si>
  <si>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</si>
  <si>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</si>
  <si>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</si>
  <si>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</si>
  <si>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</si>
  <si>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</si>
  <si>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</si>
  <si>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</si>
  <si>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</si>
  <si>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</si>
  <si>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</si>
  <si>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</si>
  <si>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</si>
  <si>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</si>
  <si>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</si>
  <si>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</si>
  <si>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</si>
  <si>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</si>
  <si>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</si>
  <si>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</si>
  <si>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</si>
  <si>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</si>
  <si>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</si>
  <si>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</si>
  <si>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</si>
  <si>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</si>
  <si>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</si>
  <si>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</si>
  <si>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</si>
  <si>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</si>
  <si>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</si>
  <si>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</si>
  <si>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</si>
  <si>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</si>
  <si>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</si>
  <si>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</si>
  <si>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</si>
  <si>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</si>
  <si>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</si>
  <si>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</si>
  <si>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</si>
  <si>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</si>
  <si>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</si>
  <si>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</si>
  <si>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</si>
  <si>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</si>
  <si>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</si>
  <si>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</si>
  <si>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</si>
  <si>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</si>
  <si>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</si>
  <si>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</si>
  <si>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</si>
  <si>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</si>
  <si>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</si>
  <si>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</si>
  <si>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</si>
  <si>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</si>
  <si>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</si>
  <si>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</si>
  <si>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</si>
  <si>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</si>
  <si>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</si>
  <si>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</si>
  <si>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</si>
  <si>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</si>
  <si>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</si>
  <si>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</si>
  <si>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</si>
  <si>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</si>
  <si>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</si>
  <si>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</si>
  <si>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</si>
  <si>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</si>
  <si>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</si>
  <si>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</si>
  <si>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</si>
  <si>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</si>
  <si>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</si>
  <si>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</si>
  <si>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</si>
  <si>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</si>
  <si>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</si>
  <si>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</si>
  <si>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</si>
  <si>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</si>
  <si>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</si>
  <si>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</si>
  <si>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</si>
  <si>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</si>
  <si>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</si>
  <si>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</si>
  <si>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</si>
  <si>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</si>
  <si>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</si>
  <si>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</si>
  <si>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</si>
  <si>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</si>
  <si>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</si>
  <si>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</si>
  <si>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</si>
  <si>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</si>
  <si>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</si>
  <si>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</si>
  <si>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</si>
  <si>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</si>
  <si>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</si>
  <si>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</si>
  <si>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</si>
  <si>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</si>
  <si>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</si>
  <si>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</si>
  <si>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</si>
  <si>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</si>
  <si>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</si>
  <si>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</si>
  <si>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</si>
  <si>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</si>
  <si>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</si>
  <si>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</si>
  <si>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</si>
  <si>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</si>
  <si>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</si>
  <si>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</si>
  <si>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</si>
  <si>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</si>
  <si>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</si>
  <si>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</si>
  <si>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</si>
  <si>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</si>
  <si>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</si>
  <si>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</si>
  <si>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</si>
  <si>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</si>
  <si>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</si>
  <si>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</si>
  <si>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</si>
  <si>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</si>
  <si>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</si>
  <si>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</si>
  <si>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</si>
  <si>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</si>
  <si>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</si>
  <si>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</si>
  <si>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</si>
  <si>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</si>
  <si>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</si>
  <si>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</si>
  <si>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</si>
  <si>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</si>
  <si>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</si>
  <si>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</si>
  <si>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</si>
  <si>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</si>
  <si>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</si>
  <si>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</si>
  <si>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</si>
  <si>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</si>
  <si>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</si>
  <si>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</si>
  <si>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</si>
  <si>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</si>
  <si>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</si>
  <si>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</si>
  <si>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</si>
  <si>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</si>
  <si>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</si>
  <si>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</si>
  <si>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</si>
  <si>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</si>
  <si>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</si>
  <si>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</si>
  <si>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</si>
  <si>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</si>
  <si>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</si>
  <si>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</si>
  <si>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</si>
  <si>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</si>
  <si>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</si>
  <si>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</si>
  <si>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</si>
  <si>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</si>
  <si>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</si>
  <si>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</si>
  <si>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</si>
  <si>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</si>
  <si>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</si>
  <si>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</si>
  <si>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</si>
  <si>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</si>
  <si>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</si>
  <si>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</si>
  <si>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</si>
  <si>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</si>
  <si>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</si>
  <si>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</si>
  <si>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</si>
  <si>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</si>
  <si>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</si>
  <si>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</si>
  <si>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</si>
  <si>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</si>
  <si>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</si>
  <si>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</si>
  <si>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</si>
  <si>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</si>
  <si>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</si>
  <si>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</si>
  <si>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</si>
  <si>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</si>
  <si>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</si>
  <si>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</si>
  <si>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</si>
  <si>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</si>
  <si>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</si>
  <si>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</si>
  <si>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</si>
  <si>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</si>
  <si>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</si>
  <si>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</si>
  <si>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</si>
  <si>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</si>
  <si>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</si>
  <si>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</si>
  <si>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</si>
  <si>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</si>
  <si>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</si>
  <si>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</si>
  <si>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</si>
  <si>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</si>
  <si>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</si>
  <si>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</si>
  <si>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</si>
  <si>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</si>
  <si>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</si>
  <si>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</si>
  <si>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</si>
  <si>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</si>
  <si>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</si>
  <si>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</si>
  <si>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</si>
  <si>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</si>
  <si>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</si>
  <si>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</si>
  <si>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</si>
  <si>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</si>
  <si>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</si>
  <si>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</si>
  <si>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</si>
  <si>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</si>
  <si>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</si>
  <si>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</si>
  <si>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</si>
  <si>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</si>
  <si>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</si>
  <si>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</si>
  <si>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</si>
  <si>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</si>
  <si>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</si>
  <si>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</si>
  <si>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</si>
  <si>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</si>
  <si>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</si>
  <si>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</si>
  <si>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</si>
  <si>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</si>
  <si>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</si>
  <si>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</si>
  <si>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</si>
  <si>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</si>
  <si>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</si>
  <si>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</si>
  <si>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</si>
  <si>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</si>
  <si>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</si>
  <si>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</si>
  <si>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</si>
  <si>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</si>
  <si>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</si>
  <si>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</si>
  <si>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</si>
  <si>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</si>
  <si>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</si>
  <si>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</si>
  <si>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</si>
  <si>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</si>
  <si>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</si>
  <si>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</si>
  <si>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</si>
  <si>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</si>
  <si>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</si>
  <si>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</si>
  <si>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</si>
  <si>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</si>
  <si>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</si>
  <si>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</si>
  <si>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</si>
  <si>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</si>
  <si>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</si>
  <si>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</si>
  <si>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</si>
  <si>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</si>
  <si>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</si>
  <si>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</si>
  <si>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</si>
  <si>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</si>
  <si>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</si>
  <si>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</si>
  <si>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</si>
  <si>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</si>
  <si>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</si>
  <si>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</si>
  <si>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</si>
  <si>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</si>
  <si>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</si>
  <si>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</si>
  <si>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</si>
  <si>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</si>
  <si>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</si>
  <si>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</si>
  <si>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</si>
  <si>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</si>
  <si>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</si>
  <si>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</si>
  <si>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</si>
  <si>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</si>
  <si>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</si>
  <si>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</si>
  <si>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</si>
  <si>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</si>
  <si>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</si>
  <si>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</si>
  <si>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</si>
  <si>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</si>
  <si>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</si>
  <si>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</si>
  <si>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</si>
  <si>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</si>
  <si>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</si>
  <si>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</si>
  <si>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</si>
  <si>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</si>
  <si>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</si>
  <si>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</si>
  <si>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</si>
  <si>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</si>
  <si>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</si>
  <si>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</si>
  <si>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</si>
  <si>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</si>
  <si>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</si>
  <si>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</si>
  <si>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</si>
  <si>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</si>
  <si>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</si>
  <si>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</si>
  <si>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</si>
  <si>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</si>
  <si>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</si>
  <si>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</si>
  <si>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</si>
  <si>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</si>
  <si>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</si>
  <si>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</si>
  <si>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</si>
  <si>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</si>
  <si>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</si>
  <si>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</si>
  <si>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</si>
  <si>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</si>
  <si>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</si>
  <si>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</si>
  <si>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</si>
  <si>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</si>
  <si>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</si>
  <si>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</si>
  <si>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</si>
  <si>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</si>
  <si>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</si>
  <si>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</si>
  <si>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</si>
  <si>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</si>
  <si>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</si>
  <si>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</si>
  <si>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</si>
  <si>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</si>
  <si>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</si>
  <si>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</si>
  <si>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</si>
  <si>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</si>
  <si>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</si>
  <si>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</si>
  <si>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</si>
  <si>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</si>
  <si>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</si>
  <si>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</si>
  <si>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</si>
  <si>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</si>
  <si>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</si>
  <si>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</si>
  <si>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</si>
  <si>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</si>
  <si>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</si>
  <si>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</si>
  <si>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</si>
  <si>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</si>
  <si>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</si>
  <si>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</si>
  <si>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</si>
  <si>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</si>
  <si>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</si>
  <si>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</si>
  <si>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</si>
  <si>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</si>
  <si>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</si>
  <si>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</si>
  <si>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</si>
  <si>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</si>
  <si>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</si>
  <si>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</si>
  <si>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</si>
  <si>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</si>
  <si>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</si>
  <si>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</si>
  <si>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</si>
  <si>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</si>
  <si>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</si>
  <si>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</si>
  <si>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</si>
  <si>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</si>
  <si>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</si>
  <si>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</si>
  <si>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</si>
  <si>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</si>
  <si>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</si>
  <si>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</si>
  <si>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</si>
  <si>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</si>
  <si>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</si>
  <si>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</si>
  <si>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</si>
  <si>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</si>
  <si>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</si>
  <si>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</si>
  <si>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</si>
  <si>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</si>
  <si>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</si>
  <si>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</si>
  <si>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</si>
  <si>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</si>
  <si>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</si>
  <si>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</si>
  <si>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</si>
  <si>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</si>
  <si>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</si>
  <si>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</si>
  <si>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</si>
  <si>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</si>
  <si>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</si>
  <si>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</si>
  <si>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</si>
  <si>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</si>
  <si>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</si>
  <si>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</si>
  <si>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</si>
  <si>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</si>
  <si>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</si>
  <si>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</si>
  <si>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</si>
  <si>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</si>
  <si>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</si>
  <si>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</si>
  <si>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</si>
  <si>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</si>
  <si>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</si>
  <si>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</si>
  <si>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</si>
  <si>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</si>
  <si>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</si>
  <si>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</si>
  <si>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</si>
  <si>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</si>
  <si>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</si>
  <si>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</si>
  <si>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</si>
  <si>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</si>
  <si>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</si>
  <si>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</si>
  <si>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</si>
  <si>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</si>
  <si>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</si>
  <si>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</si>
  <si>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</si>
  <si>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</si>
  <si>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</si>
  <si>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</si>
  <si>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</si>
  <si>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</si>
  <si>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</si>
  <si>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</si>
  <si>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</si>
  <si>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</si>
  <si>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</si>
  <si>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</si>
  <si>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</si>
  <si>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</si>
  <si>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</si>
  <si>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</si>
  <si>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</si>
  <si>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</si>
  <si>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</si>
  <si>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</si>
  <si>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</si>
  <si>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</si>
  <si>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</si>
  <si>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</si>
  <si>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</si>
  <si>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</si>
  <si>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</si>
  <si>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</si>
  <si>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</si>
  <si>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</si>
  <si>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</si>
  <si>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</si>
  <si>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</si>
  <si>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</si>
  <si>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</si>
  <si>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</si>
  <si>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</si>
  <si>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</si>
  <si>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</si>
  <si>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</si>
  <si>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</si>
  <si>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</si>
  <si>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</si>
  <si>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</si>
  <si>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</si>
  <si>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</si>
  <si>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</si>
  <si>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</si>
  <si>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</si>
  <si>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</si>
  <si>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</si>
  <si>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</si>
  <si>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</si>
  <si>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</si>
  <si>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</si>
  <si>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</si>
  <si>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</si>
  <si>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</si>
  <si>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</si>
  <si>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</si>
  <si>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</si>
  <si>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</si>
  <si>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</si>
  <si>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</si>
  <si>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</si>
  <si>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</si>
  <si>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</si>
  <si>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</si>
  <si>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</si>
  <si>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</si>
  <si>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</si>
  <si>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</si>
  <si>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</si>
  <si>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</si>
  <si>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</si>
  <si>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</si>
  <si>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</si>
  <si>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</si>
  <si>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</si>
  <si>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</si>
  <si>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</si>
  <si>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</si>
  <si>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</si>
  <si>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</si>
  <si>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</si>
  <si>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</si>
  <si>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</si>
  <si>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</si>
  <si>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</si>
  <si>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</si>
  <si>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</si>
  <si>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</si>
  <si>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</si>
  <si>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</si>
  <si>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</si>
  <si>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</si>
  <si>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</si>
  <si>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</si>
  <si>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</si>
  <si>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</si>
  <si>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</si>
  <si>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</si>
  <si>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</si>
  <si>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</si>
  <si>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</si>
  <si>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</si>
  <si>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</si>
  <si>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</si>
  <si>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</si>
  <si>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</si>
  <si>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</si>
  <si>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</si>
  <si>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</si>
  <si>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</si>
  <si>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</si>
  <si>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</si>
  <si>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</si>
  <si>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</si>
  <si>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</si>
  <si>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</si>
  <si>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</si>
  <si>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</si>
  <si>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</si>
  <si>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</si>
  <si>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</si>
  <si>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</si>
  <si>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</si>
  <si>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</si>
  <si>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</si>
  <si>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</si>
  <si>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</si>
  <si>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</si>
  <si>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</si>
  <si>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</si>
  <si>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</si>
  <si>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</si>
  <si>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</si>
  <si>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</si>
  <si>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</si>
  <si>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</si>
  <si>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</si>
  <si>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</si>
  <si>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</si>
  <si>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</si>
  <si>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</si>
  <si>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</si>
  <si>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</si>
  <si>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</si>
  <si>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</si>
  <si>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</si>
  <si>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</si>
  <si>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</si>
  <si>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</si>
  <si>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</si>
  <si>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</si>
  <si>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</si>
  <si>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</si>
  <si>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</si>
  <si>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</si>
  <si>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</si>
  <si>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</si>
  <si>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</si>
  <si>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</si>
  <si>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</si>
  <si>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</si>
  <si>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</si>
  <si>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</si>
  <si>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</si>
  <si>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</si>
  <si>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</si>
  <si>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</si>
  <si>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</si>
  <si>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</si>
  <si>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</si>
  <si>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</si>
  <si>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</si>
  <si>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</si>
  <si>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</si>
  <si>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</si>
  <si>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</si>
  <si>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</si>
  <si>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</si>
  <si>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</si>
  <si>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</si>
  <si>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</si>
  <si>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</si>
  <si>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</si>
  <si>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</si>
  <si>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</si>
  <si>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</si>
  <si>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</si>
  <si>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</si>
  <si>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</si>
  <si>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</si>
  <si>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</si>
  <si>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</si>
  <si>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</si>
  <si>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</si>
  <si>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</si>
  <si>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</si>
  <si>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</si>
  <si>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</si>
  <si>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</si>
  <si>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</si>
  <si>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</si>
  <si>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</si>
  <si>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</si>
  <si>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</si>
  <si>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</si>
  <si>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</si>
  <si>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</si>
  <si>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</si>
  <si>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</si>
  <si>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</si>
  <si>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</si>
  <si>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</si>
  <si>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</si>
  <si>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</si>
  <si>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</si>
  <si>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</si>
  <si>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</si>
  <si>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</si>
  <si>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</si>
  <si>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</si>
  <si>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</si>
  <si>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</si>
  <si>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</si>
  <si>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</si>
  <si>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</si>
  <si>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</si>
  <si>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</si>
  <si>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</si>
  <si>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</si>
  <si>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</si>
  <si>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</si>
  <si>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</si>
  <si>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</si>
  <si>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</si>
  <si>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</si>
  <si>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</si>
  <si>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</si>
  <si>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</si>
  <si>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</si>
  <si>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</si>
  <si>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</si>
  <si>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</si>
  <si>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</si>
  <si>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</si>
  <si>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</si>
  <si>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</si>
  <si>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</si>
  <si>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</si>
  <si>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</si>
  <si>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</si>
  <si>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</si>
  <si>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</si>
  <si>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</si>
  <si>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</si>
  <si>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</si>
  <si>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</si>
  <si>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</si>
  <si>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</si>
  <si>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</si>
  <si>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</si>
  <si>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</si>
  <si>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</si>
  <si>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</si>
  <si>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</si>
  <si>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</si>
  <si>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</si>
  <si>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</si>
  <si>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</si>
  <si>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</si>
  <si>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</si>
  <si>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</si>
  <si>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</si>
  <si>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</si>
  <si>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</si>
  <si>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</si>
  <si>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</si>
  <si>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</si>
  <si>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</si>
  <si>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</si>
  <si>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</si>
  <si>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</si>
  <si>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</si>
  <si>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</si>
  <si>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</si>
  <si>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</si>
  <si>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</si>
  <si>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</si>
  <si>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</si>
  <si>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</si>
  <si>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</si>
  <si>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</si>
  <si>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</si>
  <si>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</si>
  <si>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</si>
  <si>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</si>
  <si>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</si>
  <si>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</si>
  <si>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</si>
  <si>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</si>
  <si>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</si>
  <si>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</si>
  <si>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</si>
  <si>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</si>
  <si>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</si>
  <si>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</si>
  <si>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</si>
  <si>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</si>
  <si>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</si>
  <si>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</si>
  <si>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</si>
  <si>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</si>
  <si>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</si>
  <si>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</si>
  <si>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</si>
  <si>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</si>
  <si>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</si>
  <si>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</si>
  <si>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</si>
  <si>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</si>
  <si>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</si>
  <si>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</si>
  <si>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</si>
  <si>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</si>
  <si>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</si>
  <si>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</si>
  <si>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</si>
  <si>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</si>
  <si>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</si>
  <si>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</si>
  <si>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</si>
  <si>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</si>
  <si>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</si>
  <si>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</si>
  <si>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</si>
  <si>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</si>
  <si>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</si>
  <si>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</si>
  <si>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</si>
  <si>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</si>
  <si>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</si>
  <si>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</si>
  <si>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</si>
  <si>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</si>
  <si>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</si>
  <si>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</si>
  <si>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</si>
  <si>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</si>
  <si>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</si>
  <si>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</si>
  <si>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</si>
  <si>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</si>
  <si>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</si>
  <si>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</si>
  <si>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</si>
  <si>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</si>
  <si>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</si>
  <si>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</si>
  <si>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</si>
  <si>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</si>
  <si>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</si>
  <si>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</si>
  <si>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</si>
  <si>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</si>
  <si>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</si>
  <si>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</si>
  <si>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</si>
  <si>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</si>
  <si>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</si>
  <si>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</si>
  <si>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</si>
  <si>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</si>
  <si>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</si>
  <si>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</si>
  <si>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</si>
  <si>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</si>
  <si>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</si>
  <si>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</si>
  <si>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</si>
  <si>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</si>
  <si>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</si>
  <si>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</si>
  <si>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</si>
  <si>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</si>
  <si>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</si>
  <si>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</si>
  <si>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</si>
  <si>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</si>
  <si>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</si>
  <si>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</si>
  <si>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</si>
  <si>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</si>
  <si>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</si>
  <si>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</si>
  <si>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</si>
  <si>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</si>
  <si>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</si>
  <si>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</si>
  <si>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</si>
  <si>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</si>
  <si>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</si>
  <si>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</si>
  <si>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</si>
  <si>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</si>
  <si>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</si>
  <si>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</si>
  <si>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</si>
  <si>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</si>
  <si>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</si>
  <si>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</si>
  <si>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</si>
  <si>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</si>
  <si>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</si>
  <si>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</si>
  <si>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</si>
  <si>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</si>
  <si>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</si>
  <si>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</si>
  <si>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</si>
  <si>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</si>
  <si>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</si>
  <si>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</si>
  <si>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</si>
  <si>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</si>
  <si>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</si>
  <si>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</si>
  <si>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</si>
  <si>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</si>
  <si>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</si>
  <si>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</si>
  <si>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</si>
  <si>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</si>
  <si>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</si>
  <si>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</si>
  <si>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</si>
  <si>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</si>
  <si>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</si>
  <si>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</si>
  <si>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</si>
  <si>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</si>
  <si>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</si>
  <si>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</si>
  <si>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</si>
  <si>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</si>
  <si>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</si>
  <si>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</si>
  <si>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</si>
  <si>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</si>
  <si>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</si>
  <si>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</si>
  <si>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</si>
  <si>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</si>
  <si>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</si>
  <si>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</si>
  <si>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</si>
  <si>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</si>
  <si>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</si>
  <si>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</si>
  <si>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</si>
  <si>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</si>
  <si>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</si>
  <si>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</si>
  <si>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</si>
  <si>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</si>
  <si>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</si>
  <si>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</si>
  <si>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</si>
  <si>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</si>
  <si>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</si>
  <si>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</si>
  <si>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</si>
  <si>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</si>
  <si>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</si>
  <si>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</si>
  <si>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</si>
  <si>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</si>
  <si>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</si>
  <si>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</si>
  <si>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</si>
  <si>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</si>
  <si>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</si>
  <si>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</si>
  <si>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</si>
  <si>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</si>
  <si>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</si>
  <si>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</si>
  <si>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</si>
  <si>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</si>
  <si>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</si>
  <si>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</si>
  <si>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</si>
  <si>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</si>
  <si>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</si>
  <si>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</si>
  <si>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</si>
  <si>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</si>
  <si>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</si>
  <si>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</si>
  <si>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</si>
  <si>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</si>
  <si>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</si>
  <si>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</si>
  <si>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</si>
  <si>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</si>
  <si>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</si>
  <si>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</si>
  <si>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</si>
  <si>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</si>
  <si>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</si>
  <si>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</si>
  <si>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</si>
  <si>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</si>
  <si>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</si>
  <si>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</si>
  <si>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</si>
  <si>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</si>
  <si>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</si>
  <si>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</si>
  <si>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</si>
  <si>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</si>
  <si>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</si>
  <si>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</si>
  <si>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</si>
  <si>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</si>
  <si>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</si>
  <si>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</si>
  <si>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</si>
  <si>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</si>
  <si>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</si>
  <si>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</si>
  <si>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</si>
  <si>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</si>
  <si>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</si>
  <si>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</si>
  <si>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</si>
  <si>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</si>
  <si>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</si>
  <si>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</si>
  <si>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</si>
  <si>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</si>
  <si>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</si>
  <si>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</si>
  <si>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</si>
  <si>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</si>
  <si>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</si>
  <si>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</si>
  <si>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</si>
  <si>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</si>
  <si>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</si>
  <si>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</si>
  <si>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</si>
  <si>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</si>
  <si>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</si>
  <si>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</si>
  <si>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</si>
  <si>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</si>
  <si>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</si>
  <si>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</si>
  <si>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</si>
  <si>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</si>
  <si>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</si>
  <si>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</si>
  <si>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</si>
  <si>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</si>
  <si>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</si>
  <si>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</si>
  <si>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</si>
  <si>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</si>
  <si>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</si>
  <si>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</si>
  <si>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</si>
  <si>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</si>
  <si>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</si>
  <si>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</si>
  <si>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</si>
  <si>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</si>
  <si>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</si>
  <si>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</si>
  <si>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</si>
  <si>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</si>
  <si>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</si>
  <si>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</si>
  <si>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</si>
  <si>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</si>
  <si>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</si>
  <si>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</si>
  <si>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</si>
  <si>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</si>
  <si>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</si>
  <si>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</si>
  <si>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</si>
  <si>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</si>
  <si>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</si>
  <si>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</si>
  <si>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</si>
  <si>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</si>
  <si>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</si>
  <si>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</si>
  <si>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</si>
  <si>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</si>
  <si>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</si>
  <si>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</si>
  <si>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</si>
  <si>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</si>
  <si>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</si>
  <si>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</si>
  <si>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</si>
  <si>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</si>
  <si>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</si>
  <si>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</si>
  <si>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</si>
  <si>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</si>
  <si>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</si>
  <si>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</si>
  <si>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</si>
  <si>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</si>
  <si>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</si>
  <si>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</si>
  <si>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</si>
  <si>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</si>
  <si>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</si>
  <si>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</si>
  <si>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</si>
  <si>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</si>
  <si>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</si>
  <si>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</si>
  <si>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</si>
  <si>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</si>
  <si>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</si>
  <si>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</si>
  <si>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</si>
  <si>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</si>
  <si>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</si>
  <si>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</si>
  <si>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</si>
  <si>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</si>
  <si>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</si>
  <si>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</si>
  <si>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</si>
  <si>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</si>
  <si>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</si>
  <si>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</si>
  <si>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</si>
  <si>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</si>
  <si>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</si>
  <si>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</si>
  <si>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</si>
  <si>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</si>
  <si>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</si>
  <si>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</si>
  <si>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</si>
  <si>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</si>
  <si>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</si>
  <si>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</si>
  <si>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</si>
  <si>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</si>
  <si>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</si>
  <si>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</si>
  <si>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</si>
  <si>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</si>
  <si>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</si>
  <si>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</si>
  <si>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</si>
  <si>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</si>
  <si>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</si>
  <si>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</si>
  <si>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</si>
  <si>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</si>
  <si>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</si>
  <si>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</si>
  <si>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</si>
  <si>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</si>
  <si>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</si>
  <si>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</si>
  <si>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</si>
  <si>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</si>
  <si>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</si>
  <si>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</si>
  <si>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</si>
  <si>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</si>
  <si>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</si>
  <si>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</si>
  <si>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</si>
  <si>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</si>
  <si>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</si>
  <si>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</si>
  <si>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</si>
  <si>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</si>
  <si>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</si>
  <si>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</si>
  <si>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</si>
  <si>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</si>
  <si>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</si>
  <si>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</si>
  <si>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</si>
  <si>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</si>
  <si>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</si>
  <si>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</si>
  <si>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</si>
  <si>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</si>
  <si>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</si>
  <si>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</si>
  <si>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</si>
  <si>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</si>
  <si>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</si>
  <si>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</si>
  <si>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</si>
  <si>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</si>
  <si>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</si>
  <si>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</si>
  <si>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</si>
  <si>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</si>
  <si>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</si>
  <si>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</si>
  <si>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</si>
  <si>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</si>
  <si>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</si>
  <si>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</si>
  <si>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</si>
  <si>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</si>
  <si>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</si>
  <si>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</si>
  <si>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</si>
  <si>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</si>
  <si>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</si>
  <si>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</si>
  <si>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</si>
  <si>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</si>
  <si>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</si>
  <si>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</si>
  <si>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</si>
  <si>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</si>
  <si>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</si>
  <si>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</si>
  <si>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</si>
  <si>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</si>
  <si>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</si>
  <si>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</si>
  <si>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</si>
  <si>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</si>
  <si>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</si>
  <si>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</si>
  <si>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</si>
  <si>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</si>
  <si>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</si>
  <si>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</si>
  <si>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</si>
  <si>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</si>
  <si>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</si>
  <si>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</si>
  <si>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</si>
  <si>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</si>
  <si>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</si>
  <si>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</si>
  <si>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</si>
  <si>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</si>
  <si>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</si>
  <si>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</si>
  <si>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</si>
  <si>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</si>
  <si>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</si>
  <si>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</si>
  <si>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</si>
  <si>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</si>
  <si>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</si>
  <si>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</si>
  <si>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</si>
  <si>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</si>
  <si>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</si>
  <si>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</si>
  <si>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</si>
  <si>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</si>
  <si>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</si>
  <si>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</si>
  <si>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</si>
  <si>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</si>
  <si>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</si>
  <si>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</si>
  <si>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</si>
  <si>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</si>
  <si>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</si>
  <si>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</si>
  <si>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</si>
  <si>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</si>
  <si>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</si>
  <si>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</si>
  <si>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</si>
  <si>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</si>
  <si>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</si>
  <si>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</si>
  <si>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</si>
  <si>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</si>
  <si>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</si>
  <si>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</si>
  <si>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</si>
  <si>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</si>
  <si>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</si>
  <si>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</si>
  <si>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</si>
  <si>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</si>
  <si>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</si>
  <si>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</si>
  <si>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</si>
  <si>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</si>
  <si>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</si>
  <si>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</si>
  <si>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</si>
  <si>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</si>
  <si>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</si>
  <si>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</si>
  <si>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</si>
  <si>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</si>
  <si>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</si>
  <si>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</si>
  <si>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</si>
  <si>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</si>
  <si>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</si>
  <si>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</si>
  <si>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</si>
  <si>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</si>
  <si>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</si>
  <si>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</si>
  <si>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</si>
  <si>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</si>
  <si>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</si>
  <si>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</si>
  <si>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</si>
  <si>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</si>
  <si>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</si>
  <si>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</si>
  <si>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</si>
  <si>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</si>
  <si>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</si>
  <si>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</si>
  <si>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</si>
  <si>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</si>
  <si>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</si>
  <si>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</si>
  <si>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</si>
  <si>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</si>
  <si>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</si>
  <si>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</si>
  <si>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</si>
  <si>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</si>
  <si>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</si>
  <si>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</si>
  <si>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</si>
  <si>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</si>
  <si>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</si>
  <si>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</si>
  <si>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</si>
  <si>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</si>
  <si>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</si>
  <si>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</si>
  <si>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</si>
  <si>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</si>
  <si>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</si>
  <si>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</si>
  <si>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</si>
  <si>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</si>
  <si>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</si>
  <si>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</si>
  <si>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</si>
  <si>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</si>
  <si>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</si>
  <si>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</si>
  <si>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</si>
  <si>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</si>
  <si>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</si>
  <si>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</si>
  <si>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</si>
  <si>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</si>
  <si>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</si>
  <si>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</si>
  <si>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</si>
  <si>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</si>
  <si>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</si>
  <si>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</si>
  <si>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</si>
  <si>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</si>
  <si>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</si>
  <si>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</si>
  <si>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</si>
  <si>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</si>
  <si>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</si>
  <si>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</si>
  <si>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</si>
  <si>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</si>
  <si>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</si>
  <si>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</si>
  <si>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</si>
  <si>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</si>
  <si>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</si>
  <si>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</si>
  <si>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</si>
  <si>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</si>
  <si>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</si>
  <si>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</si>
  <si>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</si>
  <si>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</si>
  <si>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</si>
  <si>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</si>
  <si>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</si>
  <si>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</si>
  <si>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</si>
  <si>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</si>
  <si>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</si>
  <si>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</si>
  <si>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</si>
  <si>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</si>
  <si>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</si>
  <si>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</si>
  <si>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</si>
  <si>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</si>
  <si>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</si>
  <si>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</si>
  <si>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</si>
  <si>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</si>
  <si>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</si>
  <si>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</si>
  <si>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</si>
  <si>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</si>
  <si>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</si>
  <si>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</si>
  <si>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</si>
  <si>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</si>
  <si>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</si>
  <si>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</si>
  <si>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</si>
  <si>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</si>
  <si>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</si>
  <si>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</si>
  <si>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</si>
  <si>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</si>
  <si>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</si>
  <si>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</si>
  <si>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</si>
  <si>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</si>
  <si>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</si>
  <si>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</si>
  <si>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</si>
  <si>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</si>
  <si>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</si>
  <si>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</si>
  <si>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</si>
  <si>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</si>
  <si>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</si>
  <si>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</si>
  <si>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</si>
  <si>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</si>
  <si>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</si>
  <si>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</si>
  <si>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</si>
  <si>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</si>
  <si>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</si>
  <si>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</si>
  <si>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</si>
  <si>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</si>
  <si>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</si>
  <si>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</si>
  <si>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</si>
  <si>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</si>
  <si>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</si>
  <si>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</si>
  <si>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</si>
  <si>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</si>
  <si>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</si>
  <si>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</si>
  <si>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</si>
  <si>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</si>
  <si>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</si>
  <si>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</si>
  <si>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</si>
  <si>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</si>
  <si>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</si>
  <si>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</si>
  <si>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</si>
  <si>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</si>
  <si>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</si>
  <si>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</si>
  <si>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</si>
  <si>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</si>
  <si>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</si>
  <si>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</si>
  <si>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</si>
  <si>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</si>
  <si>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</si>
  <si>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</si>
  <si>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</si>
  <si>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</si>
  <si>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</si>
  <si>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</si>
  <si>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</si>
  <si>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</si>
  <si>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</si>
  <si>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</si>
  <si>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</si>
  <si>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</si>
  <si>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</si>
  <si>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</si>
  <si>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</si>
  <si>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</si>
  <si>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</si>
  <si>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</si>
  <si>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</si>
  <si>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</si>
  <si>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</si>
  <si>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</si>
  <si>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</si>
  <si>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</si>
  <si>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</si>
  <si>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</si>
  <si>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</si>
  <si>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</si>
  <si>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</si>
  <si>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</si>
  <si>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</si>
  <si>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</si>
  <si>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</si>
  <si>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</si>
  <si>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</si>
  <si>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</si>
  <si>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</si>
  <si>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</si>
  <si>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</si>
  <si>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</si>
  <si>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</si>
  <si>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</si>
  <si>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</si>
  <si>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</si>
  <si>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</si>
  <si>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</si>
  <si>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</si>
  <si>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</si>
  <si>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</si>
  <si>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</si>
  <si>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</si>
  <si>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</si>
  <si>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</si>
  <si>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</si>
  <si>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</si>
  <si>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</si>
  <si>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</si>
  <si>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</si>
  <si>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</si>
  <si>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</si>
  <si>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</si>
  <si>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</si>
  <si>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</si>
  <si>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</si>
  <si>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</si>
  <si>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</si>
  <si>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</si>
  <si>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</si>
  <si>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</si>
  <si>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</si>
  <si>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</si>
  <si>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</si>
  <si>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</si>
  <si>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</si>
  <si>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</si>
  <si>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</si>
  <si>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</si>
  <si>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</si>
  <si>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</si>
  <si>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</si>
  <si>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</si>
  <si>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</si>
  <si>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</si>
  <si>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</si>
  <si>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</si>
  <si>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</si>
  <si>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</si>
  <si>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</si>
  <si>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</si>
  <si>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</si>
  <si>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</si>
  <si>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</si>
  <si>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</si>
  <si>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</si>
  <si>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</si>
  <si>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</si>
  <si>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</si>
  <si>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</si>
  <si>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</si>
  <si>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</si>
  <si>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</si>
  <si>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</si>
  <si>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</si>
  <si>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</si>
  <si>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</si>
  <si>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</si>
  <si>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</si>
  <si>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</si>
  <si>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</si>
  <si>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</si>
  <si>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</si>
  <si>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</si>
  <si>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</si>
  <si>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</si>
  <si>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</si>
  <si>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</si>
  <si>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</si>
  <si>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</si>
  <si>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</si>
  <si>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</si>
  <si>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</si>
  <si>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</si>
  <si>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</si>
  <si>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</si>
  <si>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</si>
  <si>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</si>
  <si>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</si>
  <si>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</si>
  <si>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</si>
  <si>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</si>
  <si>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</si>
  <si>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</si>
  <si>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</si>
  <si>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</si>
  <si>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</si>
  <si>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</si>
  <si>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</si>
  <si>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</si>
  <si>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</si>
  <si>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</si>
  <si>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</si>
  <si>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</si>
  <si>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</si>
  <si>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</si>
  <si>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</si>
  <si>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</si>
  <si>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</si>
  <si>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</si>
  <si>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</si>
  <si>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</si>
  <si>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</si>
  <si>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</si>
  <si>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</si>
  <si>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</si>
  <si>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</si>
  <si>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</si>
  <si>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</si>
  <si>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</si>
  <si>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</si>
  <si>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</si>
  <si>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</si>
  <si>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</si>
  <si>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</si>
  <si>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</si>
  <si>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</si>
  <si>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</si>
  <si>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</si>
  <si>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</si>
  <si>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</si>
  <si>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</si>
  <si>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</si>
  <si>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</si>
  <si>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</si>
  <si>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</si>
  <si>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</si>
  <si>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</si>
  <si>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</si>
  <si>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</si>
  <si>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</si>
  <si>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</si>
  <si>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</si>
  <si>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</si>
  <si>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</si>
  <si>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</si>
  <si>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</si>
  <si>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</si>
  <si>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</si>
  <si>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</si>
  <si>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</si>
  <si>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</si>
  <si>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</si>
  <si>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</si>
  <si>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</si>
  <si>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</si>
  <si>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</si>
  <si>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</si>
  <si>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</si>
  <si>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</si>
  <si>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</si>
  <si>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</si>
  <si>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</si>
  <si>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</si>
  <si>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</si>
  <si>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</si>
  <si>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</si>
  <si>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</si>
  <si>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</si>
  <si>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</si>
  <si>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</si>
  <si>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</si>
  <si>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</si>
  <si>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</si>
  <si>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</si>
  <si>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</si>
  <si>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</si>
  <si>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</si>
  <si>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</si>
  <si>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</si>
  <si>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</si>
  <si>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</si>
  <si>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</si>
  <si>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</si>
  <si>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</si>
  <si>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</si>
  <si>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</si>
  <si>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</si>
  <si>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</si>
  <si>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</si>
  <si>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</si>
  <si>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</si>
  <si>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</si>
  <si>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</si>
  <si>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</si>
  <si>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</si>
  <si>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</si>
  <si>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</si>
  <si>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</si>
  <si>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</si>
  <si>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</si>
  <si>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</si>
  <si>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</si>
  <si>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</si>
  <si>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</si>
  <si>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</si>
  <si>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</si>
  <si>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</si>
  <si>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</si>
  <si>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</si>
  <si>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</si>
  <si>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</si>
  <si>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</si>
  <si>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</si>
  <si>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</si>
  <si>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</si>
  <si>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</si>
  <si>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</si>
  <si>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</si>
  <si>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</si>
  <si>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</si>
  <si>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</si>
  <si>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</si>
  <si>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</si>
  <si>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</si>
  <si>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</si>
  <si>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</si>
  <si>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</si>
  <si>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</si>
  <si>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</si>
  <si>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</si>
  <si>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</si>
  <si>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</si>
  <si>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</si>
  <si>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</si>
  <si>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</si>
  <si>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</si>
  <si>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</si>
  <si>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</si>
  <si>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</si>
  <si>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</si>
  <si>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</si>
  <si>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</si>
  <si>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</si>
  <si>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</si>
  <si>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</si>
  <si>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</si>
  <si>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</si>
  <si>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</si>
  <si>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</si>
  <si>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</si>
  <si>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</si>
  <si>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</si>
  <si>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</si>
  <si>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</si>
  <si>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</si>
  <si>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</si>
  <si>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</si>
  <si>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</si>
  <si>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</si>
  <si>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</si>
  <si>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</si>
  <si>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</si>
  <si>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</si>
  <si>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</si>
  <si>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</si>
  <si>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</si>
  <si>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</si>
  <si>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</si>
  <si>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</si>
  <si>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</si>
  <si>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</si>
  <si>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</si>
  <si>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</si>
  <si>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</si>
  <si>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</si>
  <si>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</si>
  <si>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</si>
  <si>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</si>
  <si>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</si>
  <si>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</si>
  <si>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</si>
  <si>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</si>
  <si>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</si>
  <si>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</si>
  <si>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</si>
  <si>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</si>
  <si>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</si>
  <si>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</si>
  <si>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</si>
  <si>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</si>
  <si>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</si>
  <si>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</si>
  <si>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</si>
  <si>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</si>
  <si>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</si>
  <si>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</si>
  <si>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</si>
  <si>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</si>
  <si>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</si>
  <si>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</si>
  <si>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</si>
  <si>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</si>
  <si>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</si>
  <si>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</si>
  <si>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</si>
  <si>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</si>
  <si>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</si>
  <si>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</si>
  <si>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</si>
  <si>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</si>
  <si>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</si>
  <si>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</si>
  <si>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</si>
  <si>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</si>
  <si>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</si>
  <si>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</si>
  <si>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</si>
  <si>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</si>
  <si>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</si>
  <si>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</si>
  <si>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</si>
  <si>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</si>
  <si>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</si>
  <si>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</si>
  <si>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</si>
  <si>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</si>
  <si>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</si>
  <si>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</si>
  <si>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</si>
  <si>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</si>
  <si>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</si>
  <si>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</si>
  <si>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</si>
  <si>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</si>
  <si>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</si>
  <si>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</si>
  <si>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</si>
  <si>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</si>
  <si>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</si>
  <si>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</si>
  <si>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</si>
  <si>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</si>
  <si>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</si>
  <si>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</si>
  <si>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</si>
  <si>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</si>
  <si>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</si>
  <si>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</si>
  <si>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</si>
  <si>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</si>
  <si>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</si>
  <si>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</si>
  <si>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</si>
  <si>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</si>
  <si>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</si>
  <si>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</si>
  <si>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</si>
  <si>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</si>
  <si>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</si>
  <si>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</si>
  <si>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</si>
  <si>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</si>
  <si>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</si>
  <si>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</si>
  <si>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</si>
  <si>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</si>
  <si>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</si>
  <si>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</si>
  <si>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</si>
  <si>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</si>
  <si>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</si>
  <si>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</si>
  <si>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</si>
  <si>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</si>
  <si>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</si>
  <si>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</si>
  <si>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</si>
  <si>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</si>
  <si>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</si>
  <si>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</si>
  <si>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</si>
  <si>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</si>
  <si>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</si>
  <si>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</si>
  <si>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</si>
  <si>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</si>
  <si>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</si>
  <si>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</si>
  <si>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</si>
  <si>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</si>
  <si>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</si>
  <si>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</si>
  <si>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</si>
  <si>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</si>
  <si>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</si>
  <si>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</si>
  <si>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</si>
  <si>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</si>
  <si>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</si>
  <si>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</si>
  <si>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</si>
  <si>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</si>
  <si>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</si>
  <si>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</si>
  <si>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</si>
  <si>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</si>
  <si>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</si>
  <si>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</si>
  <si>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</si>
  <si>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</si>
  <si>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</si>
  <si>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</si>
  <si>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</si>
  <si>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</si>
  <si>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</si>
  <si>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</si>
  <si>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</si>
  <si>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</si>
  <si>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</si>
  <si>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</si>
  <si>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</si>
  <si>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</si>
  <si>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</si>
  <si>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</si>
  <si>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</si>
  <si>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</si>
  <si>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</si>
  <si>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</si>
  <si>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</si>
  <si>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</si>
  <si>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</si>
  <si>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</si>
  <si>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</si>
  <si>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</si>
  <si>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</si>
  <si>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</si>
  <si>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</si>
  <si>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</si>
  <si>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</si>
  <si>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</si>
  <si>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</si>
  <si>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</si>
  <si>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</si>
  <si>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</si>
  <si>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</si>
  <si>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</si>
  <si>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</si>
  <si>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</si>
  <si>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</si>
  <si>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</si>
  <si>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</si>
  <si>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</si>
  <si>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</si>
  <si>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</si>
  <si>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</si>
  <si>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</si>
  <si>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</si>
  <si>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</si>
  <si>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</si>
  <si>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</si>
  <si>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</si>
  <si>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</si>
  <si>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</si>
  <si>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</si>
  <si>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</si>
  <si>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</si>
  <si>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</si>
  <si>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</si>
  <si>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</si>
  <si>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</si>
  <si>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</si>
  <si>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</si>
  <si>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</si>
  <si>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</si>
  <si>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</si>
  <si>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</si>
  <si>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</si>
  <si>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</si>
  <si>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</si>
  <si>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</si>
  <si>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</si>
  <si>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</si>
  <si>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</si>
  <si>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</si>
  <si>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</si>
  <si>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</si>
  <si>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</si>
  <si>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</si>
  <si>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</si>
  <si>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</si>
  <si>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</si>
  <si>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</si>
  <si>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</si>
  <si>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</si>
  <si>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</si>
  <si>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</si>
  <si>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</si>
  <si>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</si>
  <si>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</si>
  <si>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</si>
  <si>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</si>
  <si>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</si>
  <si>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</si>
  <si>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</si>
  <si>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</si>
  <si>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</si>
  <si>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</si>
  <si>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</si>
  <si>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</si>
  <si>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</si>
  <si>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</si>
  <si>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</si>
  <si>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</si>
  <si>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</si>
  <si>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</si>
  <si>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</si>
  <si>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</si>
  <si>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</si>
  <si>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</si>
  <si>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</si>
  <si>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</si>
  <si>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</si>
  <si>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</si>
  <si>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</si>
  <si>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</si>
  <si>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</si>
  <si>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</si>
  <si>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</si>
  <si>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</si>
  <si>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</si>
  <si>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</si>
  <si>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</si>
  <si>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</si>
  <si>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</si>
  <si>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</si>
  <si>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</si>
  <si>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</si>
  <si>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</si>
  <si>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</si>
  <si>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</si>
  <si>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</si>
  <si>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</si>
  <si>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</si>
  <si>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</si>
  <si>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</si>
  <si>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</si>
  <si>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</si>
  <si>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</si>
  <si>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</si>
  <si>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</si>
  <si>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</si>
  <si>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</si>
  <si>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</si>
  <si>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</si>
  <si>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</si>
  <si>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</si>
  <si>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</si>
  <si>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</si>
  <si>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</si>
  <si>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</si>
  <si>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</si>
  <si>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</si>
  <si>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</si>
  <si>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</si>
  <si>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</si>
  <si>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</si>
  <si>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</si>
  <si>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</si>
  <si>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</si>
  <si>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</si>
  <si>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</si>
  <si>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</si>
  <si>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</si>
  <si>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</si>
  <si>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</si>
  <si>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</si>
  <si>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</si>
  <si>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</si>
  <si>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</si>
  <si>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</si>
  <si>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</si>
  <si>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</si>
  <si>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</si>
  <si>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</si>
  <si>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</si>
  <si>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</si>
  <si>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</si>
  <si>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</si>
  <si>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</si>
  <si>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</si>
  <si>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</si>
  <si>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</si>
  <si>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</si>
  <si>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</si>
  <si>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</si>
  <si>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</si>
  <si>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</si>
  <si>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</si>
  <si>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</si>
  <si>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</si>
  <si>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</si>
  <si>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</si>
  <si>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</si>
  <si>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</si>
  <si>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</si>
  <si>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</si>
  <si>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</si>
  <si>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</si>
  <si>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</si>
  <si>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</si>
  <si>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</si>
  <si>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</si>
  <si>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</si>
  <si>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</si>
  <si>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</si>
  <si>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</si>
  <si>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</si>
  <si>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</si>
  <si>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</si>
  <si>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r>
      <rPr>
        <sz val="9"/>
        <color rgb="FF000000"/>
        <rFont val="华文细黑"/>
        <family val="3"/>
        <charset val="134"/>
      </rPr>
      <t>序号</t>
    </r>
  </si>
  <si>
    <r>
      <rPr>
        <sz val="9"/>
        <color rgb="FF000000"/>
        <rFont val="华文细黑"/>
        <family val="3"/>
        <charset val="134"/>
      </rPr>
      <t>房屋所有权证号</t>
    </r>
  </si>
  <si>
    <r>
      <rPr>
        <sz val="9"/>
        <color rgb="FF000000"/>
        <rFont val="华文细黑"/>
        <family val="3"/>
        <charset val="134"/>
      </rPr>
      <t>坐落</t>
    </r>
  </si>
  <si>
    <r>
      <rPr>
        <sz val="9"/>
        <color rgb="FF000000"/>
        <rFont val="华文细黑"/>
        <family val="3"/>
        <charset val="134"/>
      </rPr>
      <t>车位号</t>
    </r>
  </si>
  <si>
    <r>
      <rPr>
        <sz val="9"/>
        <color rgb="FF000000"/>
        <rFont val="华文细黑"/>
        <family val="3"/>
        <charset val="134"/>
      </rPr>
      <t>建筑面积</t>
    </r>
  </si>
  <si>
    <r>
      <rPr>
        <sz val="9"/>
        <color rgb="FF000000"/>
        <rFont val="华文细黑"/>
        <family val="3"/>
        <charset val="134"/>
      </rPr>
      <t>用途</t>
    </r>
  </si>
  <si>
    <r>
      <t>X</t>
    </r>
    <r>
      <rPr>
        <sz val="9"/>
        <color rgb="FF000000"/>
        <rFont val="华文细黑"/>
        <family val="3"/>
        <charset val="134"/>
      </rPr>
      <t>京房权证朝其字第</t>
    </r>
    <r>
      <rPr>
        <sz val="9"/>
        <color rgb="FF000000"/>
        <rFont val="Arial"/>
        <family val="2"/>
      </rPr>
      <t>501482</t>
    </r>
    <r>
      <rPr>
        <sz val="9"/>
        <color rgb="FF000000"/>
        <rFont val="华文细黑"/>
        <family val="3"/>
        <charset val="134"/>
      </rPr>
      <t>号</t>
    </r>
  </si>
  <si>
    <r>
      <rPr>
        <sz val="9"/>
        <color rgb="FF000000"/>
        <rFont val="华文细黑"/>
        <family val="3"/>
        <charset val="134"/>
      </rPr>
      <t>青年路西里</t>
    </r>
    <r>
      <rPr>
        <sz val="9"/>
        <color rgb="FF000000"/>
        <rFont val="Arial"/>
        <family val="2"/>
      </rPr>
      <t>2</t>
    </r>
    <r>
      <rPr>
        <sz val="9"/>
        <color rgb="FF000000"/>
        <rFont val="华文细黑"/>
        <family val="3"/>
        <charset val="134"/>
      </rPr>
      <t>号院</t>
    </r>
  </si>
  <si>
    <t>B078</t>
  </si>
  <si>
    <r>
      <rPr>
        <sz val="9"/>
        <color rgb="FF000000"/>
        <rFont val="华文细黑"/>
        <family val="3"/>
        <charset val="134"/>
      </rPr>
      <t>车位</t>
    </r>
  </si>
  <si>
    <t>B089</t>
  </si>
  <si>
    <t>D097</t>
  </si>
  <si>
    <t>D101</t>
  </si>
  <si>
    <t>F051</t>
  </si>
  <si>
    <t>G004</t>
  </si>
  <si>
    <t>G005</t>
  </si>
  <si>
    <t>G006</t>
  </si>
  <si>
    <t>G007</t>
  </si>
  <si>
    <t>G093</t>
  </si>
  <si>
    <t>G094</t>
  </si>
  <si>
    <t>G095</t>
  </si>
  <si>
    <t>H027</t>
  </si>
  <si>
    <t>H032</t>
  </si>
  <si>
    <t>K113</t>
  </si>
  <si>
    <t>K114</t>
  </si>
  <si>
    <t>K123</t>
  </si>
  <si>
    <t>K124</t>
  </si>
  <si>
    <t>K125</t>
  </si>
  <si>
    <t>K126</t>
  </si>
  <si>
    <t>L006</t>
  </si>
  <si>
    <t>L090</t>
  </si>
  <si>
    <t>L096</t>
  </si>
  <si>
    <t>L098</t>
  </si>
  <si>
    <t>M001</t>
  </si>
  <si>
    <t>M002</t>
  </si>
  <si>
    <t>M003</t>
  </si>
  <si>
    <t>M004</t>
  </si>
  <si>
    <t>M005</t>
  </si>
  <si>
    <t>M006</t>
  </si>
  <si>
    <t>M007</t>
  </si>
  <si>
    <t>M008</t>
  </si>
  <si>
    <t>M009</t>
  </si>
  <si>
    <t>M010</t>
  </si>
  <si>
    <t>M011</t>
  </si>
  <si>
    <t>M012</t>
  </si>
  <si>
    <t>M013</t>
  </si>
  <si>
    <t>M014</t>
  </si>
  <si>
    <t>M015</t>
  </si>
  <si>
    <t>M016</t>
  </si>
  <si>
    <t>M034</t>
  </si>
  <si>
    <t>M035</t>
  </si>
  <si>
    <t>M036</t>
  </si>
  <si>
    <t>M037</t>
  </si>
  <si>
    <t>M038</t>
  </si>
  <si>
    <t>M040</t>
  </si>
  <si>
    <t>M041</t>
  </si>
  <si>
    <t>M043</t>
  </si>
  <si>
    <t>M044</t>
  </si>
  <si>
    <t>M050</t>
  </si>
  <si>
    <t>M054</t>
  </si>
  <si>
    <t>M058</t>
  </si>
  <si>
    <t>M059</t>
  </si>
  <si>
    <t>M071</t>
  </si>
  <si>
    <t>M072</t>
  </si>
  <si>
    <t>M073</t>
  </si>
  <si>
    <t>M074</t>
  </si>
  <si>
    <t>M075</t>
  </si>
  <si>
    <t>M076</t>
  </si>
  <si>
    <t>M077</t>
  </si>
  <si>
    <t>M078</t>
  </si>
  <si>
    <t>M079</t>
  </si>
  <si>
    <t>M081</t>
  </si>
  <si>
    <t>M082</t>
  </si>
  <si>
    <t>M084</t>
  </si>
  <si>
    <t>M085</t>
  </si>
  <si>
    <t>M091</t>
  </si>
  <si>
    <t>M094</t>
  </si>
  <si>
    <t>M095</t>
  </si>
  <si>
    <t>M097</t>
  </si>
  <si>
    <t>M099</t>
  </si>
  <si>
    <t>M100</t>
  </si>
  <si>
    <t>M103</t>
  </si>
  <si>
    <t>M109</t>
  </si>
  <si>
    <t>M111</t>
  </si>
  <si>
    <t>M112</t>
  </si>
  <si>
    <t>M113</t>
  </si>
  <si>
    <t>M114</t>
  </si>
  <si>
    <t>M115</t>
  </si>
  <si>
    <t>M116</t>
  </si>
  <si>
    <t>M124</t>
  </si>
  <si>
    <t>M125</t>
  </si>
  <si>
    <t>M126</t>
  </si>
  <si>
    <t>M131</t>
  </si>
  <si>
    <t>M132</t>
  </si>
  <si>
    <t>M133</t>
  </si>
  <si>
    <t>N001</t>
  </si>
  <si>
    <t>N003</t>
  </si>
  <si>
    <t>N020</t>
  </si>
  <si>
    <t>N023</t>
  </si>
  <si>
    <t>N068</t>
  </si>
  <si>
    <t>N074</t>
  </si>
  <si>
    <t>N077</t>
  </si>
  <si>
    <t>N078</t>
  </si>
  <si>
    <t>N081</t>
  </si>
  <si>
    <t>N091</t>
  </si>
  <si>
    <t>N092</t>
  </si>
  <si>
    <t>P002</t>
  </si>
  <si>
    <t>P003</t>
  </si>
  <si>
    <t>P004</t>
  </si>
  <si>
    <t>P031</t>
  </si>
  <si>
    <t>P033</t>
  </si>
  <si>
    <t>P034</t>
  </si>
  <si>
    <t>P044</t>
  </si>
  <si>
    <t>P045</t>
  </si>
  <si>
    <t>P046</t>
  </si>
  <si>
    <t>P051</t>
  </si>
  <si>
    <t>P061</t>
  </si>
  <si>
    <t>P062</t>
  </si>
  <si>
    <t>P063</t>
  </si>
  <si>
    <t>P066</t>
  </si>
  <si>
    <t>P069</t>
  </si>
  <si>
    <t>P074</t>
  </si>
  <si>
    <t>P075</t>
  </si>
  <si>
    <t>P076</t>
  </si>
  <si>
    <t>P077</t>
  </si>
  <si>
    <t>P078</t>
  </si>
  <si>
    <t>P079</t>
  </si>
  <si>
    <t>P080</t>
  </si>
  <si>
    <t>P081</t>
  </si>
  <si>
    <t>P082</t>
  </si>
  <si>
    <t>P083</t>
  </si>
  <si>
    <t>P084</t>
  </si>
  <si>
    <t>P086</t>
  </si>
  <si>
    <t>P087</t>
  </si>
  <si>
    <t>P089</t>
  </si>
  <si>
    <t>P090</t>
  </si>
  <si>
    <t>P091</t>
  </si>
  <si>
    <t>P093</t>
  </si>
  <si>
    <t>P094</t>
  </si>
  <si>
    <t>P096</t>
  </si>
  <si>
    <t>P099</t>
  </si>
  <si>
    <t>P103</t>
  </si>
  <si>
    <t>P104</t>
  </si>
  <si>
    <t>P105</t>
  </si>
  <si>
    <t>P108</t>
  </si>
  <si>
    <t>P109</t>
  </si>
  <si>
    <t>P110</t>
  </si>
  <si>
    <t>P111</t>
  </si>
  <si>
    <t>P112</t>
  </si>
  <si>
    <t>P113</t>
  </si>
  <si>
    <t>P114</t>
  </si>
  <si>
    <t>P115</t>
  </si>
  <si>
    <t>P116</t>
  </si>
  <si>
    <t>P117</t>
  </si>
  <si>
    <t>P118</t>
  </si>
  <si>
    <t>P119</t>
  </si>
  <si>
    <t>P120</t>
  </si>
  <si>
    <t>P121</t>
  </si>
  <si>
    <t>Q001</t>
  </si>
  <si>
    <t>Q002</t>
  </si>
  <si>
    <t>Q003</t>
  </si>
  <si>
    <t>Q024</t>
  </si>
  <si>
    <t>Q026</t>
  </si>
  <si>
    <t>Q035</t>
  </si>
  <si>
    <t>Q041</t>
  </si>
  <si>
    <t>Q042</t>
  </si>
  <si>
    <t>Q044</t>
  </si>
  <si>
    <t>Q046</t>
  </si>
  <si>
    <t>Q054</t>
  </si>
  <si>
    <t>Q060</t>
  </si>
  <si>
    <t>Q062</t>
  </si>
  <si>
    <t>Q069</t>
  </si>
  <si>
    <t>Q070</t>
  </si>
  <si>
    <t>Q077</t>
  </si>
  <si>
    <t>Q080</t>
  </si>
  <si>
    <t>Q081</t>
  </si>
  <si>
    <t>Q089</t>
  </si>
  <si>
    <t>Q090</t>
  </si>
  <si>
    <t>Q091</t>
  </si>
  <si>
    <t>Q092</t>
  </si>
  <si>
    <t>Q093</t>
  </si>
  <si>
    <t>Q094</t>
  </si>
  <si>
    <t>Q095</t>
  </si>
  <si>
    <t>Q096</t>
  </si>
  <si>
    <t>R013</t>
  </si>
  <si>
    <t>R014</t>
  </si>
  <si>
    <t>R016</t>
  </si>
  <si>
    <t>R017</t>
  </si>
  <si>
    <t>R037</t>
  </si>
  <si>
    <t>R040</t>
  </si>
  <si>
    <t>R041</t>
  </si>
  <si>
    <t>R042</t>
  </si>
  <si>
    <t>R052</t>
  </si>
  <si>
    <t>R053</t>
  </si>
  <si>
    <t>R054</t>
  </si>
  <si>
    <t>R055</t>
  </si>
  <si>
    <t>R056</t>
  </si>
  <si>
    <t>R057</t>
  </si>
  <si>
    <t>R067</t>
  </si>
  <si>
    <t>R068</t>
  </si>
  <si>
    <t>R069</t>
  </si>
  <si>
    <t>R094</t>
  </si>
  <si>
    <t>R095</t>
  </si>
  <si>
    <t>R096</t>
  </si>
  <si>
    <t>R097</t>
  </si>
  <si>
    <t>R098</t>
  </si>
  <si>
    <t>R099</t>
  </si>
  <si>
    <t>R100</t>
  </si>
  <si>
    <t>R101</t>
  </si>
  <si>
    <t>R102</t>
  </si>
  <si>
    <t>R103</t>
  </si>
  <si>
    <t>R104</t>
  </si>
  <si>
    <t>R105</t>
  </si>
  <si>
    <t>S002</t>
  </si>
  <si>
    <t>S003</t>
  </si>
  <si>
    <t>S004</t>
  </si>
  <si>
    <t>S005</t>
  </si>
  <si>
    <t>S007</t>
  </si>
  <si>
    <t>S008</t>
  </si>
  <si>
    <t>S012</t>
  </si>
  <si>
    <t>S013</t>
  </si>
  <si>
    <t>S038</t>
  </si>
  <si>
    <t>S041</t>
  </si>
  <si>
    <t>S042</t>
  </si>
  <si>
    <t>S043</t>
  </si>
  <si>
    <t>S044</t>
  </si>
  <si>
    <t>S045</t>
  </si>
  <si>
    <t>S046</t>
  </si>
  <si>
    <t>S048</t>
  </si>
  <si>
    <t>S049</t>
  </si>
  <si>
    <t>S075</t>
  </si>
  <si>
    <t>S081</t>
  </si>
  <si>
    <t>S083</t>
  </si>
  <si>
    <t>S084</t>
  </si>
  <si>
    <t>S086</t>
  </si>
  <si>
    <t>S087</t>
  </si>
  <si>
    <t>S091</t>
  </si>
  <si>
    <t>S094</t>
  </si>
  <si>
    <t>S095</t>
  </si>
  <si>
    <t>S096</t>
  </si>
  <si>
    <t>S099</t>
  </si>
  <si>
    <t>S100</t>
  </si>
  <si>
    <t>S101</t>
  </si>
  <si>
    <t>S102</t>
  </si>
  <si>
    <t>S103</t>
  </si>
  <si>
    <t>S105</t>
  </si>
  <si>
    <t>S113</t>
  </si>
  <si>
    <t>S114</t>
  </si>
  <si>
    <t>S115</t>
  </si>
  <si>
    <t>S116</t>
  </si>
  <si>
    <t>S117</t>
  </si>
  <si>
    <t>S118</t>
  </si>
  <si>
    <t>S123</t>
  </si>
  <si>
    <t>S124</t>
  </si>
  <si>
    <t>S129</t>
  </si>
  <si>
    <t>S130</t>
  </si>
  <si>
    <t>S131</t>
  </si>
  <si>
    <t>S132</t>
  </si>
  <si>
    <t>S134</t>
  </si>
  <si>
    <t>S135</t>
  </si>
  <si>
    <t>S138</t>
  </si>
  <si>
    <t>S140</t>
  </si>
  <si>
    <t>T002</t>
  </si>
  <si>
    <t>T004</t>
  </si>
  <si>
    <t>T008</t>
  </si>
  <si>
    <t>T013</t>
  </si>
  <si>
    <t>T014</t>
  </si>
  <si>
    <t>T018</t>
  </si>
  <si>
    <t>T019</t>
  </si>
  <si>
    <t>T021</t>
  </si>
  <si>
    <t>T022</t>
  </si>
  <si>
    <t>T023</t>
  </si>
  <si>
    <t>T024</t>
  </si>
  <si>
    <t>T025</t>
  </si>
  <si>
    <t>T026</t>
  </si>
  <si>
    <t>T027</t>
  </si>
  <si>
    <t>T028</t>
  </si>
  <si>
    <t>T029</t>
  </si>
  <si>
    <t>T033</t>
  </si>
  <si>
    <t>T040</t>
  </si>
  <si>
    <t>T044</t>
  </si>
  <si>
    <t>T061</t>
  </si>
  <si>
    <t>T062</t>
  </si>
  <si>
    <t>T066</t>
  </si>
  <si>
    <t>T085</t>
  </si>
  <si>
    <t>U003</t>
  </si>
  <si>
    <t>U044</t>
  </si>
  <si>
    <t>U045</t>
  </si>
  <si>
    <t>U046</t>
  </si>
  <si>
    <t>U087</t>
  </si>
  <si>
    <t>U092</t>
  </si>
  <si>
    <t>U094</t>
  </si>
  <si>
    <t>U095</t>
  </si>
  <si>
    <t>U097</t>
  </si>
  <si>
    <t>V001</t>
  </si>
  <si>
    <t>V068</t>
  </si>
  <si>
    <t>V070</t>
  </si>
  <si>
    <t>V071</t>
  </si>
  <si>
    <t>V072</t>
  </si>
  <si>
    <t>V073</t>
  </si>
  <si>
    <t>V074</t>
  </si>
  <si>
    <r>
      <t>2</t>
    </r>
    <r>
      <rPr>
        <sz val="9"/>
        <color rgb="FF000000"/>
        <rFont val="华文细黑"/>
        <family val="3"/>
        <charset val="134"/>
      </rPr>
      <t>号院小计</t>
    </r>
  </si>
  <si>
    <r>
      <rPr>
        <sz val="9"/>
        <color rgb="FF000000"/>
        <rFont val="华文细黑"/>
        <family val="3"/>
        <charset val="134"/>
      </rPr>
      <t>青年路西里</t>
    </r>
    <r>
      <rPr>
        <sz val="9"/>
        <color rgb="FF000000"/>
        <rFont val="Arial"/>
        <family val="2"/>
      </rPr>
      <t>3</t>
    </r>
    <r>
      <rPr>
        <sz val="9"/>
        <color rgb="FF000000"/>
        <rFont val="华文细黑"/>
        <family val="3"/>
        <charset val="134"/>
      </rPr>
      <t>号院</t>
    </r>
  </si>
  <si>
    <t>A1-001</t>
  </si>
  <si>
    <t>A1-002</t>
  </si>
  <si>
    <t>A1-003</t>
  </si>
  <si>
    <t>A1-004</t>
  </si>
  <si>
    <t>A1-006</t>
  </si>
  <si>
    <t>A1-007</t>
  </si>
  <si>
    <t>A1-009</t>
  </si>
  <si>
    <t>A1-010</t>
  </si>
  <si>
    <t>A1-012</t>
  </si>
  <si>
    <t>A1-014</t>
  </si>
  <si>
    <t>A1-015</t>
  </si>
  <si>
    <t>A1-030</t>
  </si>
  <si>
    <t>A1-031</t>
  </si>
  <si>
    <t>A1-032</t>
  </si>
  <si>
    <t>A1-046</t>
  </si>
  <si>
    <t>A1-064</t>
  </si>
  <si>
    <t>A1-087</t>
  </si>
  <si>
    <t>A1-088</t>
  </si>
  <si>
    <t>A1-089</t>
  </si>
  <si>
    <t>B1-001</t>
  </si>
  <si>
    <t>B1-002</t>
  </si>
  <si>
    <t>B1-003</t>
  </si>
  <si>
    <t>B1-004</t>
  </si>
  <si>
    <t>B1-005</t>
  </si>
  <si>
    <t>B1-006</t>
  </si>
  <si>
    <t>B1-007</t>
  </si>
  <si>
    <t>B1-008</t>
  </si>
  <si>
    <t>B1-009</t>
  </si>
  <si>
    <t>B1-010</t>
  </si>
  <si>
    <t>B1-011</t>
  </si>
  <si>
    <t>B1-013</t>
  </si>
  <si>
    <t>B1-016</t>
  </si>
  <si>
    <t>B1-017</t>
  </si>
  <si>
    <t>B1-018</t>
  </si>
  <si>
    <t>B1-019</t>
  </si>
  <si>
    <t>B1-021</t>
  </si>
  <si>
    <t>B1-022</t>
  </si>
  <si>
    <t>B1-023</t>
  </si>
  <si>
    <t>B1-024</t>
  </si>
  <si>
    <t>B1-025</t>
  </si>
  <si>
    <t>B1-026</t>
  </si>
  <si>
    <t>B1-032</t>
  </si>
  <si>
    <t>B1-033</t>
  </si>
  <si>
    <t>B1-034</t>
  </si>
  <si>
    <t>B1-035</t>
  </si>
  <si>
    <t>B1-036</t>
  </si>
  <si>
    <t>B1-037</t>
  </si>
  <si>
    <t>B1-039</t>
  </si>
  <si>
    <t>B1-040</t>
  </si>
  <si>
    <t>B1-062</t>
  </si>
  <si>
    <t>B1-063</t>
  </si>
  <si>
    <t>B1-065</t>
  </si>
  <si>
    <t>B1-066</t>
  </si>
  <si>
    <t>B1-069</t>
  </si>
  <si>
    <t>B1-083</t>
  </si>
  <si>
    <t>B1-087</t>
  </si>
  <si>
    <t>B1-088</t>
  </si>
  <si>
    <t>B1-089</t>
  </si>
  <si>
    <t>B1-090</t>
  </si>
  <si>
    <t>B1-108</t>
  </si>
  <si>
    <t>B1-109</t>
  </si>
  <si>
    <t>B1-110</t>
  </si>
  <si>
    <t>B1-111</t>
  </si>
  <si>
    <t>B1-113</t>
  </si>
  <si>
    <t>C1-001</t>
  </si>
  <si>
    <t>C1-002</t>
  </si>
  <si>
    <t>C1-003</t>
  </si>
  <si>
    <t>C1-004</t>
  </si>
  <si>
    <t>C1-005</t>
  </si>
  <si>
    <t>C1-006</t>
  </si>
  <si>
    <t>C1-007</t>
  </si>
  <si>
    <t>C1-008</t>
  </si>
  <si>
    <t>C1-009</t>
  </si>
  <si>
    <t>C1-023</t>
  </si>
  <si>
    <t>C1-026</t>
  </si>
  <si>
    <t>C1-027</t>
  </si>
  <si>
    <t>C1-028</t>
  </si>
  <si>
    <t>C1-029</t>
  </si>
  <si>
    <t>C1-031</t>
  </si>
  <si>
    <t>C1-038</t>
  </si>
  <si>
    <t>C1-047</t>
  </si>
  <si>
    <t>C1-055</t>
  </si>
  <si>
    <t>C1-056</t>
  </si>
  <si>
    <t>C1-057</t>
  </si>
  <si>
    <t>C1-058</t>
  </si>
  <si>
    <t>C1-059</t>
  </si>
  <si>
    <t>C1-060</t>
  </si>
  <si>
    <t>C1-062</t>
  </si>
  <si>
    <t>C1-065</t>
  </si>
  <si>
    <t>C1-068</t>
  </si>
  <si>
    <t>C1-071</t>
  </si>
  <si>
    <t>C1-072</t>
  </si>
  <si>
    <t>C1-073</t>
  </si>
  <si>
    <t>C1-074</t>
  </si>
  <si>
    <t>C1-075</t>
  </si>
  <si>
    <t>C1-076</t>
  </si>
  <si>
    <t>C1-077</t>
  </si>
  <si>
    <t>C1-078</t>
  </si>
  <si>
    <t>C1-079</t>
  </si>
  <si>
    <t>C1-080</t>
  </si>
  <si>
    <t>C1-081</t>
  </si>
  <si>
    <t>C1-082</t>
  </si>
  <si>
    <t>C1-083</t>
  </si>
  <si>
    <t>C1-084</t>
  </si>
  <si>
    <t>C1-085</t>
  </si>
  <si>
    <t>C1-086</t>
  </si>
  <si>
    <t>D1-001</t>
  </si>
  <si>
    <t>D1-005</t>
  </si>
  <si>
    <t>D1-007</t>
  </si>
  <si>
    <t>D1-008</t>
  </si>
  <si>
    <t>D1-009</t>
  </si>
  <si>
    <t>D1-010</t>
  </si>
  <si>
    <t>D1-013</t>
  </si>
  <si>
    <t>D1-016</t>
  </si>
  <si>
    <t>D1-017</t>
  </si>
  <si>
    <t>D1-023</t>
  </si>
  <si>
    <t>D1-025</t>
  </si>
  <si>
    <t>D1-026</t>
  </si>
  <si>
    <t>D1-027</t>
  </si>
  <si>
    <t>D1-028</t>
  </si>
  <si>
    <t>D1-029</t>
  </si>
  <si>
    <t>D1-030</t>
  </si>
  <si>
    <t>D1-031</t>
  </si>
  <si>
    <t>D1-032</t>
  </si>
  <si>
    <t>D1-033</t>
  </si>
  <si>
    <t>D1-037</t>
  </si>
  <si>
    <t>D1-040</t>
  </si>
  <si>
    <t>D1-041</t>
  </si>
  <si>
    <t>D1-043</t>
  </si>
  <si>
    <t>D1-044</t>
  </si>
  <si>
    <t>D1-048</t>
  </si>
  <si>
    <t>D1-050</t>
  </si>
  <si>
    <t>D1-058</t>
  </si>
  <si>
    <t>D1-060</t>
  </si>
  <si>
    <t>D1-061</t>
  </si>
  <si>
    <t>D1-069</t>
  </si>
  <si>
    <t>D1-070</t>
  </si>
  <si>
    <t>D1-071</t>
  </si>
  <si>
    <t>D1-072</t>
  </si>
  <si>
    <t>D1-073</t>
  </si>
  <si>
    <t>D1-074</t>
  </si>
  <si>
    <t>D1-075</t>
  </si>
  <si>
    <t>D1-076</t>
  </si>
  <si>
    <t>D1-077</t>
  </si>
  <si>
    <t>D1-079</t>
  </si>
  <si>
    <t>D1-087</t>
  </si>
  <si>
    <t>D1-088</t>
  </si>
  <si>
    <t>D1-089</t>
  </si>
  <si>
    <t>D1-094</t>
  </si>
  <si>
    <t>D1-096</t>
  </si>
  <si>
    <t>D1-097</t>
  </si>
  <si>
    <t>D1-102</t>
  </si>
  <si>
    <t>D1-103</t>
  </si>
  <si>
    <t>D1-104</t>
  </si>
  <si>
    <t>D1-105</t>
  </si>
  <si>
    <t>D1-106</t>
  </si>
  <si>
    <t>D1-107</t>
  </si>
  <si>
    <t>D1-109</t>
  </si>
  <si>
    <t>D1-112</t>
  </si>
  <si>
    <t>D1-113</t>
  </si>
  <si>
    <t>D1-114</t>
  </si>
  <si>
    <t>E1-002</t>
  </si>
  <si>
    <t>E1-004</t>
  </si>
  <si>
    <t>E1-005</t>
  </si>
  <si>
    <t>E1-007</t>
  </si>
  <si>
    <t>E1-009</t>
  </si>
  <si>
    <t>E1-010</t>
  </si>
  <si>
    <t>E1-014</t>
  </si>
  <si>
    <t>E1-015</t>
  </si>
  <si>
    <t>E1-016</t>
  </si>
  <si>
    <t>E1-017</t>
  </si>
  <si>
    <t>E1-018</t>
  </si>
  <si>
    <t>E1-019</t>
  </si>
  <si>
    <t>E1-020</t>
  </si>
  <si>
    <t>E1-021</t>
  </si>
  <si>
    <t>E1-022</t>
  </si>
  <si>
    <t>E1-023</t>
  </si>
  <si>
    <t>E1-024</t>
  </si>
  <si>
    <t>E1-040</t>
  </si>
  <si>
    <t>E1-041</t>
  </si>
  <si>
    <t>E1-044</t>
  </si>
  <si>
    <t>E1-081</t>
  </si>
  <si>
    <t>E1-082</t>
  </si>
  <si>
    <t>F1-062</t>
  </si>
  <si>
    <t>F1-063</t>
  </si>
  <si>
    <t>F1-064</t>
  </si>
  <si>
    <t>F1-065</t>
  </si>
  <si>
    <t>F1-066</t>
  </si>
  <si>
    <t>F1-067</t>
  </si>
  <si>
    <t>F1-068</t>
  </si>
  <si>
    <t>F1-079</t>
  </si>
  <si>
    <t>F1-080</t>
  </si>
  <si>
    <t>F1-082</t>
  </si>
  <si>
    <t>F1-083</t>
  </si>
  <si>
    <t>F1-084</t>
  </si>
  <si>
    <t>F1-085</t>
  </si>
  <si>
    <t>F1-086</t>
  </si>
  <si>
    <t>F1-089</t>
  </si>
  <si>
    <t>F1-090</t>
  </si>
  <si>
    <t>F1-091</t>
  </si>
  <si>
    <t>F1-092</t>
  </si>
  <si>
    <t>F1-093</t>
  </si>
  <si>
    <t>F1-094</t>
  </si>
  <si>
    <t>F1-095</t>
  </si>
  <si>
    <t>F1-096</t>
  </si>
  <si>
    <t>F1-097</t>
  </si>
  <si>
    <t>F1-098</t>
  </si>
  <si>
    <t>F1-099</t>
  </si>
  <si>
    <t>F1-100</t>
  </si>
  <si>
    <t>F1-101</t>
  </si>
  <si>
    <t>F1-102</t>
  </si>
  <si>
    <t>F1-103</t>
  </si>
  <si>
    <t>F1-104</t>
  </si>
  <si>
    <t>F1-105</t>
  </si>
  <si>
    <t>F1-107</t>
  </si>
  <si>
    <t>F1-110</t>
  </si>
  <si>
    <t>F1-111</t>
  </si>
  <si>
    <t>F1-112</t>
  </si>
  <si>
    <t>F1-113</t>
  </si>
  <si>
    <t>F1-114</t>
  </si>
  <si>
    <t>F1-116</t>
  </si>
  <si>
    <t>F1-117</t>
  </si>
  <si>
    <t>J1-001</t>
  </si>
  <si>
    <t>J1-002</t>
  </si>
  <si>
    <t>J1-003</t>
  </si>
  <si>
    <t>J1-004</t>
  </si>
  <si>
    <t>J1-005</t>
  </si>
  <si>
    <t>J1-006</t>
  </si>
  <si>
    <t>K1-033</t>
  </si>
  <si>
    <t>K1-034</t>
  </si>
  <si>
    <t>K1-035</t>
  </si>
  <si>
    <t>K1-036</t>
  </si>
  <si>
    <t>K1-037</t>
  </si>
  <si>
    <t>K1-038</t>
  </si>
  <si>
    <t>K1-039</t>
  </si>
  <si>
    <t>K1-040</t>
  </si>
  <si>
    <t>K1-041</t>
  </si>
  <si>
    <t>K1-042</t>
  </si>
  <si>
    <t>K1-043</t>
  </si>
  <si>
    <t>K1-044</t>
  </si>
  <si>
    <t>K1-045</t>
  </si>
  <si>
    <t>K1-046</t>
  </si>
  <si>
    <t>K1-047</t>
  </si>
  <si>
    <t>K1-048</t>
  </si>
  <si>
    <t>K1-049</t>
  </si>
  <si>
    <t>K1-050</t>
  </si>
  <si>
    <t>K1-052</t>
  </si>
  <si>
    <t>K1-053</t>
  </si>
  <si>
    <t>K1-054</t>
  </si>
  <si>
    <t>K1-055</t>
  </si>
  <si>
    <t>M1-073</t>
  </si>
  <si>
    <t>M1-074</t>
  </si>
  <si>
    <t>M1-075</t>
  </si>
  <si>
    <t>M1-077</t>
  </si>
  <si>
    <t>M1-078</t>
  </si>
  <si>
    <t>M1-079</t>
  </si>
  <si>
    <t>M1-080</t>
  </si>
  <si>
    <t>M1-081</t>
  </si>
  <si>
    <t>C1-010</t>
  </si>
  <si>
    <t>C1-011</t>
  </si>
  <si>
    <t>C1-012</t>
  </si>
  <si>
    <t>C1-013</t>
  </si>
  <si>
    <t>C1-014</t>
  </si>
  <si>
    <t>C1-015</t>
  </si>
  <si>
    <t>C1-016</t>
  </si>
  <si>
    <t>C1-017</t>
  </si>
  <si>
    <t>C1-019</t>
  </si>
  <si>
    <t>C1-020</t>
  </si>
  <si>
    <t>C1-021</t>
  </si>
  <si>
    <t>C1-040</t>
  </si>
  <si>
    <t>C1-041</t>
  </si>
  <si>
    <t>C1-042</t>
  </si>
  <si>
    <t>C1-043</t>
  </si>
  <si>
    <t>C1-044</t>
  </si>
  <si>
    <t>C1-045</t>
  </si>
  <si>
    <t>F1-008</t>
  </si>
  <si>
    <t>F1-009</t>
  </si>
  <si>
    <t>F1-010</t>
  </si>
  <si>
    <t>F1-011</t>
  </si>
  <si>
    <t>F1-012</t>
  </si>
  <si>
    <t>F1-013</t>
  </si>
  <si>
    <t>F1-014</t>
  </si>
  <si>
    <t>F1-015</t>
  </si>
  <si>
    <t>F1-016</t>
  </si>
  <si>
    <t>F1-017</t>
  </si>
  <si>
    <t>F1-018</t>
  </si>
  <si>
    <t>F1-019</t>
  </si>
  <si>
    <t>F1-022</t>
  </si>
  <si>
    <t>F1-024</t>
  </si>
  <si>
    <t>F1-025</t>
  </si>
  <si>
    <t>F1-027</t>
  </si>
  <si>
    <t>F1-028</t>
  </si>
  <si>
    <t>F1-029</t>
  </si>
  <si>
    <t>F1-032</t>
  </si>
  <si>
    <t>F1-033</t>
  </si>
  <si>
    <t>F1-034</t>
  </si>
  <si>
    <t>F1-035</t>
  </si>
  <si>
    <t>F1-036</t>
  </si>
  <si>
    <t>F1-041</t>
  </si>
  <si>
    <t>F1-042</t>
  </si>
  <si>
    <t>F1-046</t>
  </si>
  <si>
    <t>G1-002</t>
  </si>
  <si>
    <t>G1-003</t>
  </si>
  <si>
    <t>G1-004</t>
  </si>
  <si>
    <t>G1-005</t>
  </si>
  <si>
    <t>G1-006</t>
  </si>
  <si>
    <t>G1-007</t>
  </si>
  <si>
    <t>G1-008</t>
  </si>
  <si>
    <t>G1-009</t>
  </si>
  <si>
    <t>G1-010</t>
  </si>
  <si>
    <t>G1-011</t>
  </si>
  <si>
    <t>G1-012</t>
  </si>
  <si>
    <t>G1-013</t>
  </si>
  <si>
    <t>G1-014</t>
  </si>
  <si>
    <t>G1-017</t>
  </si>
  <si>
    <t>G1-018</t>
  </si>
  <si>
    <t>G1-019</t>
  </si>
  <si>
    <t>G1-023</t>
  </si>
  <si>
    <t>G1-024</t>
  </si>
  <si>
    <t>G1-025</t>
  </si>
  <si>
    <t>G1-026</t>
  </si>
  <si>
    <t>G1-027</t>
  </si>
  <si>
    <t>G1-028</t>
  </si>
  <si>
    <t>G1-029</t>
  </si>
  <si>
    <t>G1-030</t>
  </si>
  <si>
    <t>G1-031</t>
  </si>
  <si>
    <t>G1-032</t>
  </si>
  <si>
    <t>G1-036</t>
  </si>
  <si>
    <t>G1-038</t>
  </si>
  <si>
    <t>G1-040</t>
  </si>
  <si>
    <t>G1-041</t>
  </si>
  <si>
    <t>G1-044</t>
  </si>
  <si>
    <t>G1-047</t>
  </si>
  <si>
    <t>G1-052</t>
  </si>
  <si>
    <t>G1-053</t>
  </si>
  <si>
    <t>G1-054</t>
  </si>
  <si>
    <t>G1-055</t>
  </si>
  <si>
    <t>G1-056</t>
  </si>
  <si>
    <t>G1-057</t>
  </si>
  <si>
    <t>G1-058</t>
  </si>
  <si>
    <t>G1-059</t>
  </si>
  <si>
    <t>G1-060</t>
  </si>
  <si>
    <t>G1-061</t>
  </si>
  <si>
    <t>G1-063</t>
  </si>
  <si>
    <t>G1-064</t>
  </si>
  <si>
    <t>G1-065</t>
  </si>
  <si>
    <t>G1-067</t>
  </si>
  <si>
    <t>G1-072</t>
  </si>
  <si>
    <t>G1-073</t>
  </si>
  <si>
    <t>G1-074</t>
  </si>
  <si>
    <t>G1-075</t>
  </si>
  <si>
    <t>G1-076</t>
  </si>
  <si>
    <t>G1-077</t>
  </si>
  <si>
    <t>G1-078</t>
  </si>
  <si>
    <t>G1-079</t>
  </si>
  <si>
    <t>G1-080</t>
  </si>
  <si>
    <t>G1-081</t>
  </si>
  <si>
    <t>G1-082</t>
  </si>
  <si>
    <t>G1-083</t>
  </si>
  <si>
    <t>G1-084</t>
  </si>
  <si>
    <t>G1-089</t>
  </si>
  <si>
    <t>G1-090</t>
  </si>
  <si>
    <t>G1-091</t>
  </si>
  <si>
    <t>G1-092</t>
  </si>
  <si>
    <t>G1-093</t>
  </si>
  <si>
    <t>G1-094</t>
  </si>
  <si>
    <t>G1-095</t>
  </si>
  <si>
    <t>G1-096</t>
  </si>
  <si>
    <t>G1-097</t>
  </si>
  <si>
    <t>H1-022</t>
  </si>
  <si>
    <t>H1-023</t>
  </si>
  <si>
    <t>H1-024</t>
  </si>
  <si>
    <t>H1-025</t>
  </si>
  <si>
    <t>H1-026</t>
  </si>
  <si>
    <t>H1-029</t>
  </si>
  <si>
    <t>H1-031</t>
  </si>
  <si>
    <t>H1-032</t>
  </si>
  <si>
    <t>H1-034</t>
  </si>
  <si>
    <t>H1-035</t>
  </si>
  <si>
    <t>H1-037</t>
  </si>
  <si>
    <t>H1-038</t>
  </si>
  <si>
    <t>H1-039</t>
  </si>
  <si>
    <t>H1-040</t>
  </si>
  <si>
    <t>H1-043</t>
  </si>
  <si>
    <t>H1-044</t>
  </si>
  <si>
    <t>H1-045</t>
  </si>
  <si>
    <t>H1-046</t>
  </si>
  <si>
    <t>H1-047</t>
  </si>
  <si>
    <t>J1-007</t>
  </si>
  <si>
    <t>J1-008</t>
  </si>
  <si>
    <t>J1-009</t>
  </si>
  <si>
    <t>J1-010</t>
  </si>
  <si>
    <t>J1-011</t>
  </si>
  <si>
    <t>J1-012</t>
  </si>
  <si>
    <t>J1-013</t>
  </si>
  <si>
    <t>J1-014</t>
  </si>
  <si>
    <t>J1-015</t>
  </si>
  <si>
    <t>J1-016</t>
  </si>
  <si>
    <t>J1-017</t>
  </si>
  <si>
    <t>J1-018</t>
  </si>
  <si>
    <t>J1-019</t>
  </si>
  <si>
    <t>J1-020</t>
  </si>
  <si>
    <t>J1-021</t>
  </si>
  <si>
    <t>J1-022</t>
  </si>
  <si>
    <t>J1-023</t>
  </si>
  <si>
    <t>J1-025</t>
  </si>
  <si>
    <t>J1-026</t>
  </si>
  <si>
    <t>J1-027</t>
  </si>
  <si>
    <t>J1-028</t>
  </si>
  <si>
    <t>J1-029</t>
  </si>
  <si>
    <t>J1-030</t>
  </si>
  <si>
    <t>J1-031</t>
  </si>
  <si>
    <t>J1-032</t>
  </si>
  <si>
    <t>J1-033</t>
  </si>
  <si>
    <t>J1-034</t>
  </si>
  <si>
    <t>J1-035</t>
  </si>
  <si>
    <t>J1-036</t>
  </si>
  <si>
    <t>J1-037</t>
  </si>
  <si>
    <t>J1-038</t>
  </si>
  <si>
    <t>J1-039</t>
  </si>
  <si>
    <t>J1-041</t>
  </si>
  <si>
    <t>J1-042</t>
  </si>
  <si>
    <t>J1-043</t>
  </si>
  <si>
    <t>J1-046</t>
  </si>
  <si>
    <t>J1-047</t>
  </si>
  <si>
    <t>J1-048</t>
  </si>
  <si>
    <t>J1-059</t>
  </si>
  <si>
    <t>J1-060</t>
  </si>
  <si>
    <t>J1-061</t>
  </si>
  <si>
    <t>J1-063</t>
  </si>
  <si>
    <t>J1-064</t>
  </si>
  <si>
    <t>J1-065</t>
  </si>
  <si>
    <t>J1-067</t>
  </si>
  <si>
    <t>J1-073</t>
  </si>
  <si>
    <t>J1-074</t>
  </si>
  <si>
    <t>J1-077</t>
  </si>
  <si>
    <t>J1-079</t>
  </si>
  <si>
    <t>J1-080</t>
  </si>
  <si>
    <t>J1-082</t>
  </si>
  <si>
    <t>J1-083</t>
  </si>
  <si>
    <t>J1-084</t>
  </si>
  <si>
    <t>J1-085</t>
  </si>
  <si>
    <t>J1-086</t>
  </si>
  <si>
    <t>J1-089</t>
  </si>
  <si>
    <t>J1-090</t>
  </si>
  <si>
    <t>J1-092</t>
  </si>
  <si>
    <t>J1-093</t>
  </si>
  <si>
    <t>J1-094</t>
  </si>
  <si>
    <t>J1-096</t>
  </si>
  <si>
    <t>K1-001</t>
  </si>
  <si>
    <t>K1-002</t>
  </si>
  <si>
    <t>K1-003</t>
  </si>
  <si>
    <t>K1-005</t>
  </si>
  <si>
    <t>K1-008</t>
  </si>
  <si>
    <t>K1-011</t>
  </si>
  <si>
    <t>K1-012</t>
  </si>
  <si>
    <t>K1-013</t>
  </si>
  <si>
    <t>K1-016</t>
  </si>
  <si>
    <t>K1-017</t>
  </si>
  <si>
    <t>K1-019</t>
  </si>
  <si>
    <t>K1-020</t>
  </si>
  <si>
    <t>K1-021</t>
  </si>
  <si>
    <t>K1-022</t>
  </si>
  <si>
    <t>K1-023</t>
  </si>
  <si>
    <t>K1-024</t>
  </si>
  <si>
    <t>K1-025</t>
  </si>
  <si>
    <t>K1-026</t>
  </si>
  <si>
    <t>K1-027</t>
  </si>
  <si>
    <t>K1-028</t>
  </si>
  <si>
    <t>K1-029</t>
  </si>
  <si>
    <t>K1-030</t>
  </si>
  <si>
    <t>K1-031</t>
  </si>
  <si>
    <t>K1-032</t>
  </si>
  <si>
    <t>K1-059</t>
  </si>
  <si>
    <t>K1-061</t>
  </si>
  <si>
    <t>K1-062</t>
  </si>
  <si>
    <t>K1-063</t>
  </si>
  <si>
    <t>K1-064</t>
  </si>
  <si>
    <t>K1-067</t>
  </si>
  <si>
    <t>K1-070</t>
  </si>
  <si>
    <t>K1-071</t>
  </si>
  <si>
    <t>K1-072</t>
  </si>
  <si>
    <t>K1-076</t>
  </si>
  <si>
    <t>K1-077</t>
  </si>
  <si>
    <t>K1-080</t>
  </si>
  <si>
    <t>K1-082</t>
  </si>
  <si>
    <t>K1-083</t>
  </si>
  <si>
    <t>K1-084</t>
  </si>
  <si>
    <t>K1-085</t>
  </si>
  <si>
    <t>K1-086</t>
  </si>
  <si>
    <t>K1-087</t>
  </si>
  <si>
    <t>K1-088</t>
  </si>
  <si>
    <t>K1-089</t>
  </si>
  <si>
    <t>K1-090</t>
  </si>
  <si>
    <t>K1-091</t>
  </si>
  <si>
    <t>K1-092</t>
  </si>
  <si>
    <t>K1-094</t>
  </si>
  <si>
    <t>K1-097</t>
  </si>
  <si>
    <t>K1-106</t>
  </si>
  <si>
    <t>K1-107</t>
  </si>
  <si>
    <t>K1-108</t>
  </si>
  <si>
    <t>K1-109</t>
  </si>
  <si>
    <t>K1-110</t>
  </si>
  <si>
    <t>L1-001</t>
  </si>
  <si>
    <t>L1-003</t>
  </si>
  <si>
    <t>L1-004</t>
  </si>
  <si>
    <t>L1-005</t>
  </si>
  <si>
    <t>L1-006</t>
  </si>
  <si>
    <t>L1-007</t>
  </si>
  <si>
    <t>L1-008</t>
  </si>
  <si>
    <t>L1-009</t>
  </si>
  <si>
    <t>L1-010</t>
  </si>
  <si>
    <t>L1-011</t>
  </si>
  <si>
    <t>L1-012</t>
  </si>
  <si>
    <t>L1-013</t>
  </si>
  <si>
    <t>L1-014</t>
  </si>
  <si>
    <t>L1-015</t>
  </si>
  <si>
    <t>L1-016</t>
  </si>
  <si>
    <t>L1-017</t>
  </si>
  <si>
    <t>L1-020</t>
  </si>
  <si>
    <t>L1-021</t>
  </si>
  <si>
    <t>L1-022</t>
  </si>
  <si>
    <t>L1-023</t>
  </si>
  <si>
    <t>L1-024</t>
  </si>
  <si>
    <t>L1-025</t>
  </si>
  <si>
    <t>L1-026</t>
  </si>
  <si>
    <t>L1-027</t>
  </si>
  <si>
    <t>L1-028</t>
  </si>
  <si>
    <t>L1-029</t>
  </si>
  <si>
    <t>L1-030</t>
  </si>
  <si>
    <t>L1-031</t>
  </si>
  <si>
    <t>L1-032</t>
  </si>
  <si>
    <t>L1-033</t>
  </si>
  <si>
    <t>L1-034</t>
  </si>
  <si>
    <t>L1-035</t>
  </si>
  <si>
    <t>L1-036</t>
  </si>
  <si>
    <t>L1-037</t>
  </si>
  <si>
    <t>L1-038</t>
  </si>
  <si>
    <t>L1-039</t>
  </si>
  <si>
    <t>L1-040</t>
  </si>
  <si>
    <t>L1-041</t>
  </si>
  <si>
    <t>L1-042</t>
  </si>
  <si>
    <t>L1-043</t>
  </si>
  <si>
    <t>L1-044</t>
  </si>
  <si>
    <t>L1-045</t>
  </si>
  <si>
    <t>L1-046</t>
  </si>
  <si>
    <t>L1-047</t>
  </si>
  <si>
    <t>L1-048</t>
  </si>
  <si>
    <t>L1-049</t>
  </si>
  <si>
    <t>L1-050</t>
  </si>
  <si>
    <t>L1-051</t>
  </si>
  <si>
    <t>L1-054</t>
  </si>
  <si>
    <t>L1-055</t>
  </si>
  <si>
    <t>L1-057</t>
  </si>
  <si>
    <t>L1-059</t>
  </si>
  <si>
    <t>L1-060</t>
  </si>
  <si>
    <t>L1-061</t>
  </si>
  <si>
    <t>L1-062</t>
  </si>
  <si>
    <t>L1-063</t>
  </si>
  <si>
    <t>L1-069</t>
  </si>
  <si>
    <t>M1-001</t>
  </si>
  <si>
    <t>M1-002</t>
  </si>
  <si>
    <t>M1-003</t>
  </si>
  <si>
    <t>M1-004</t>
  </si>
  <si>
    <t>M1-005</t>
  </si>
  <si>
    <t>M1-006</t>
  </si>
  <si>
    <t>M1-007</t>
  </si>
  <si>
    <t>M1-008</t>
  </si>
  <si>
    <t>M1-009</t>
  </si>
  <si>
    <t>M1-010</t>
  </si>
  <si>
    <t>M1-011</t>
  </si>
  <si>
    <t>M1-012</t>
  </si>
  <si>
    <t>M1-013</t>
  </si>
  <si>
    <t>M1-014</t>
  </si>
  <si>
    <t>M1-016</t>
  </si>
  <si>
    <t>M1-032</t>
  </si>
  <si>
    <t>M1-033</t>
  </si>
  <si>
    <t>M1-034</t>
  </si>
  <si>
    <t>M1-035</t>
  </si>
  <si>
    <t>M1-037</t>
  </si>
  <si>
    <t>M1-038</t>
  </si>
  <si>
    <t>M1-040</t>
  </si>
  <si>
    <t>M1-041</t>
  </si>
  <si>
    <t>M1-042</t>
  </si>
  <si>
    <t>M1-043</t>
  </si>
  <si>
    <t>M1-044</t>
  </si>
  <si>
    <t>M1-045</t>
  </si>
  <si>
    <t>M1-046</t>
  </si>
  <si>
    <t>M1-047</t>
  </si>
  <si>
    <t>M1-048</t>
  </si>
  <si>
    <t>M1-049</t>
  </si>
  <si>
    <t>M1-050</t>
  </si>
  <si>
    <t>M1-051</t>
  </si>
  <si>
    <t>M1-052</t>
  </si>
  <si>
    <t>M1-053</t>
  </si>
  <si>
    <t>M1-054</t>
  </si>
  <si>
    <t>M1-055</t>
  </si>
  <si>
    <t>M1-056</t>
  </si>
  <si>
    <t>M1-057</t>
  </si>
  <si>
    <t>M1-058</t>
  </si>
  <si>
    <t>M1-059</t>
  </si>
  <si>
    <t>M1-060</t>
  </si>
  <si>
    <t>M1-061</t>
  </si>
  <si>
    <t>M1-062</t>
  </si>
  <si>
    <t>M1-063</t>
  </si>
  <si>
    <t>M1-064</t>
  </si>
  <si>
    <t>M1-065</t>
  </si>
  <si>
    <t>M1-066</t>
  </si>
  <si>
    <r>
      <t>3</t>
    </r>
    <r>
      <rPr>
        <sz val="9"/>
        <color rgb="FF000000"/>
        <rFont val="华文细黑"/>
        <family val="3"/>
        <charset val="134"/>
      </rPr>
      <t>号院小计</t>
    </r>
  </si>
  <si>
    <r>
      <rPr>
        <sz val="9"/>
        <color rgb="FF000000"/>
        <rFont val="华文细黑"/>
        <family val="3"/>
        <charset val="134"/>
      </rPr>
      <t>总计</t>
    </r>
  </si>
  <si>
    <t>抵押</t>
  </si>
  <si>
    <t>房地产抵押价值</t>
  </si>
  <si>
    <t>北京市</t>
  </si>
  <si>
    <t>企业</t>
  </si>
  <si>
    <t>出让</t>
  </si>
  <si>
    <t>分摊土地面积</t>
    <phoneticPr fontId="141" type="noConversion"/>
  </si>
  <si>
    <t>2号院车位面积</t>
    <phoneticPr fontId="141" type="noConversion"/>
  </si>
  <si>
    <t>3号院车位面积</t>
  </si>
  <si>
    <t>2号院总面积</t>
    <phoneticPr fontId="141" type="noConversion"/>
  </si>
  <si>
    <t>3号院总面积</t>
  </si>
  <si>
    <t>2号院土地面积</t>
    <phoneticPr fontId="141" type="noConversion"/>
  </si>
  <si>
    <t>3号院土地面积</t>
  </si>
  <si>
    <t>是</t>
  </si>
  <si>
    <t>车库</t>
  </si>
  <si>
    <t>其他</t>
    <phoneticPr fontId="8" type="noConversion"/>
  </si>
  <si>
    <t>地下</t>
  </si>
  <si>
    <t>利息：取LPR加浮动点数</t>
  </si>
  <si>
    <t>成新度</t>
  </si>
  <si>
    <t>收益法 (元)</t>
  </si>
  <si>
    <t>自定义</t>
  </si>
  <si>
    <t>按租金收入计税</t>
  </si>
  <si>
    <t>钢混</t>
  </si>
  <si>
    <t>非生产用房</t>
  </si>
  <si>
    <t>住宅</t>
  </si>
  <si>
    <t>售价</t>
  </si>
  <si>
    <t>需扣减承租人权益</t>
  </si>
  <si>
    <t>珠江罗马嘉园</t>
    <phoneticPr fontId="141" type="noConversion"/>
  </si>
  <si>
    <t>熙悦尚郡</t>
    <phoneticPr fontId="141" type="noConversion"/>
  </si>
  <si>
    <t>润枫嘉尚</t>
    <phoneticPr fontId="141" type="noConversion"/>
  </si>
  <si>
    <t>正常</t>
    <phoneticPr fontId="33" type="noConversion"/>
  </si>
  <si>
    <t>正常</t>
    <phoneticPr fontId="33" type="noConversion"/>
  </si>
  <si>
    <t>一般</t>
    <phoneticPr fontId="33" type="noConversion"/>
  </si>
  <si>
    <t>较好</t>
    <phoneticPr fontId="33" type="noConversion"/>
  </si>
  <si>
    <t>一般</t>
    <phoneticPr fontId="33" type="noConversion"/>
  </si>
  <si>
    <t>较好</t>
    <phoneticPr fontId="33" type="noConversion"/>
  </si>
  <si>
    <t>30-40（含）</t>
  </si>
  <si>
    <t>40-50（含）</t>
  </si>
  <si>
    <t>住宅</t>
    <phoneticPr fontId="33" type="noConversion"/>
  </si>
  <si>
    <t>比较法-车位</t>
  </si>
  <si>
    <t>典型户型修正</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</si>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</sst>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9"/>
      <color rgb="FF000000"/>
      <name val="Arial"/>
      <family val="2"/>
    </font>
    <font>
      <sz val="9"/>
      <color rgb="FF000000"/>
      <name val="华文细黑"/>
      <family val="3"/>
      <charset val="134"/>
    </font>
    <font>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cellStyleXfs>
  <cellXfs count="361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256" fillId="0" borderId="1" xfId="0" applyNumberFormat="1" applyFont="1" applyBorder="1" applyAlignment="1">
      <alignment horizontal="left" vertical="center"/>
    </xf>
    <xf numFmtId="0" fontId="103" fillId="0" borderId="0" xfId="0" applyNumberFormat="1" applyFont="1" applyAlignment="1">
      <alignment horizontal="left" vertical="center"/>
    </xf>
    <xf numFmtId="0" fontId="58" fillId="0" borderId="1" xfId="17" applyNumberFormat="1" applyFont="1" applyFill="1" applyBorder="1" applyAlignment="1">
      <alignment horizontal="left" vertical="center" wrapText="1"/>
    </xf>
    <xf numFmtId="0" fontId="256" fillId="0" borderId="1" xfId="0" applyNumberFormat="1" applyFont="1" applyBorder="1" applyAlignment="1">
      <alignment horizontal="left" vertical="center" wrapText="1"/>
    </xf>
    <xf numFmtId="0" fontId="99" fillId="0" borderId="0" xfId="0" applyFont="1">
      <alignment vertical="center"/>
    </xf>
    <xf numFmtId="43" fontId="0" fillId="0" borderId="0" xfId="0" applyNumberFormat="1">
      <alignment vertical="center"/>
    </xf>
    <xf numFmtId="0" fontId="258" fillId="0" borderId="0" xfId="0" applyNumberFormat="1" applyFont="1" applyAlignment="1">
      <alignment horizontal="left" vertical="center"/>
    </xf>
    <xf numFmtId="177" fontId="80" fillId="0" borderId="1" xfId="1" applyNumberFormat="1" applyFont="1" applyFill="1" applyBorder="1" applyAlignment="1" applyProtection="1">
      <alignment vertical="center"/>
      <protection locked="0" hidden="1"/>
    </xf>
    <xf numFmtId="49" fontId="135"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2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56" fillId="0" borderId="1" xfId="0" applyNumberFormat="1" applyFont="1" applyBorder="1" applyAlignment="1">
      <alignment horizontal="left" vertical="center" wrapText="1"/>
    </xf>
    <xf numFmtId="0" fontId="256" fillId="0" borderId="1" xfId="0" applyNumberFormat="1" applyFont="1" applyBorder="1" applyAlignment="1">
      <alignment horizontal="left" vertical="center"/>
    </xf>
    <xf numFmtId="0" fontId="256" fillId="0" borderId="5" xfId="0" applyNumberFormat="1" applyFont="1" applyBorder="1" applyAlignment="1">
      <alignment horizontal="left" vertical="center" wrapText="1"/>
    </xf>
    <xf numFmtId="0" fontId="256" fillId="0" borderId="3" xfId="0" applyNumberFormat="1" applyFont="1" applyBorder="1" applyAlignment="1">
      <alignment horizontal="left" vertical="center" wrapText="1"/>
    </xf>
    <xf numFmtId="0" fontId="104" fillId="0" borderId="1" xfId="0" applyNumberFormat="1" applyFont="1" applyBorder="1" applyAlignment="1">
      <alignment horizontal="left" vertical="center" wrapText="1"/>
    </xf>
    <xf numFmtId="0" fontId="256" fillId="0" borderId="13" xfId="0" applyNumberFormat="1" applyFont="1" applyBorder="1" applyAlignment="1">
      <alignment horizontal="left" vertical="center"/>
    </xf>
    <xf numFmtId="0" fontId="256" fillId="0" borderId="15" xfId="0" applyNumberFormat="1" applyFont="1" applyBorder="1" applyAlignment="1">
      <alignment horizontal="left" vertical="center"/>
    </xf>
    <xf numFmtId="0" fontId="256" fillId="0" borderId="2" xfId="0" applyNumberFormat="1" applyFont="1" applyBorder="1" applyAlignment="1">
      <alignment horizontal="lef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7 2 3 5" xfId="1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503820</xdr:colOff>
      <xdr:row>40</xdr:row>
      <xdr:rowOff>65810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47620" cy="6923810"/>
        </a:xfrm>
        <a:prstGeom prst="rect">
          <a:avLst/>
        </a:prstGeom>
      </xdr:spPr>
    </xdr:pic>
    <xdr:clientData/>
  </xdr:twoCellAnchor>
  <xdr:twoCellAnchor editAs="oneCell">
    <xdr:from>
      <xdr:col>0</xdr:col>
      <xdr:colOff>0</xdr:colOff>
      <xdr:row>41</xdr:row>
      <xdr:rowOff>0</xdr:rowOff>
    </xdr:from>
    <xdr:to>
      <xdr:col>11</xdr:col>
      <xdr:colOff>446677</xdr:colOff>
      <xdr:row>80</xdr:row>
      <xdr:rowOff>132498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7990477" cy="6819048"/>
        </a:xfrm>
        <a:prstGeom prst="rect">
          <a:avLst/>
        </a:prstGeom>
      </xdr:spPr>
    </xdr:pic>
    <xdr:clientData/>
  </xdr:twoCellAnchor>
  <xdr:twoCellAnchor editAs="oneCell">
    <xdr:from>
      <xdr:col>0</xdr:col>
      <xdr:colOff>0</xdr:colOff>
      <xdr:row>81</xdr:row>
      <xdr:rowOff>0</xdr:rowOff>
    </xdr:from>
    <xdr:to>
      <xdr:col>11</xdr:col>
      <xdr:colOff>675248</xdr:colOff>
      <xdr:row>124</xdr:row>
      <xdr:rowOff>141936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887450"/>
          <a:ext cx="8219048" cy="7514286"/>
        </a:xfrm>
        <a:prstGeom prst="rect">
          <a:avLst/>
        </a:prstGeom>
      </xdr:spPr>
    </xdr:pic>
    <xdr:clientData/>
  </xdr:twoCellAnchor>
  <xdr:twoCellAnchor editAs="oneCell">
    <xdr:from>
      <xdr:col>0</xdr:col>
      <xdr:colOff>19050</xdr:colOff>
      <xdr:row>124</xdr:row>
      <xdr:rowOff>76200</xdr:rowOff>
    </xdr:from>
    <xdr:to>
      <xdr:col>15</xdr:col>
      <xdr:colOff>160572</xdr:colOff>
      <xdr:row>170</xdr:row>
      <xdr:rowOff>46643</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 y="21336000"/>
          <a:ext cx="10828572" cy="7857143"/>
        </a:xfrm>
        <a:prstGeom prst="rect">
          <a:avLst/>
        </a:prstGeom>
      </xdr:spPr>
    </xdr:pic>
    <xdr:clientData/>
  </xdr:twoCellAnchor>
  <xdr:twoCellAnchor editAs="oneCell">
    <xdr:from>
      <xdr:col>0</xdr:col>
      <xdr:colOff>0</xdr:colOff>
      <xdr:row>173</xdr:row>
      <xdr:rowOff>0</xdr:rowOff>
    </xdr:from>
    <xdr:to>
      <xdr:col>14</xdr:col>
      <xdr:colOff>93989</xdr:colOff>
      <xdr:row>210</xdr:row>
      <xdr:rowOff>123017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9660850"/>
          <a:ext cx="10095239" cy="6466667"/>
        </a:xfrm>
        <a:prstGeom prst="rect">
          <a:avLst/>
        </a:prstGeom>
      </xdr:spPr>
    </xdr:pic>
    <xdr:clientData/>
  </xdr:twoCellAnchor>
  <xdr:twoCellAnchor editAs="oneCell">
    <xdr:from>
      <xdr:col>0</xdr:col>
      <xdr:colOff>0</xdr:colOff>
      <xdr:row>211</xdr:row>
      <xdr:rowOff>0</xdr:rowOff>
    </xdr:from>
    <xdr:to>
      <xdr:col>12</xdr:col>
      <xdr:colOff>84686</xdr:colOff>
      <xdr:row>251</xdr:row>
      <xdr:rowOff>46762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6175950"/>
          <a:ext cx="8314286" cy="6904762"/>
        </a:xfrm>
        <a:prstGeom prst="rect">
          <a:avLst/>
        </a:prstGeom>
      </xdr:spPr>
    </xdr:pic>
    <xdr:clientData/>
  </xdr:twoCellAnchor>
  <xdr:twoCellAnchor editAs="oneCell">
    <xdr:from>
      <xdr:col>0</xdr:col>
      <xdr:colOff>0</xdr:colOff>
      <xdr:row>252</xdr:row>
      <xdr:rowOff>0</xdr:rowOff>
    </xdr:from>
    <xdr:to>
      <xdr:col>11</xdr:col>
      <xdr:colOff>599058</xdr:colOff>
      <xdr:row>295</xdr:row>
      <xdr:rowOff>141936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3205400"/>
          <a:ext cx="8142858"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022-1-0030-P02DYGJ2&#21271;&#20140;&#24066;&#26397;&#38451;&#21306;&#38738;&#24180;&#36335;&#35199;&#37324;2&#21495;&#38498;&#21450;3&#21495;&#38498;900&#22871;&#22320;&#19979;&#36710;&#24211;&#25151;&#22320;&#20135;&#25269;&#25276;&#20215;&#20540;&#35780;&#20272;-&#35299;&#22269;&#26126;20220408-1445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结果表 基准"/>
      <sheetName val="比较法-车位"/>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 val="Sheet3"/>
      <sheetName val="Sheet1"/>
      <sheetName val="Sheet4"/>
      <sheetName val="Sheet5"/>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96">
          <cell r="F296">
            <v>37.11</v>
          </cell>
        </row>
        <row r="297">
          <cell r="F297">
            <v>37.11</v>
          </cell>
        </row>
        <row r="298">
          <cell r="F298">
            <v>37.11</v>
          </cell>
        </row>
        <row r="299">
          <cell r="F299">
            <v>37.11</v>
          </cell>
        </row>
        <row r="300">
          <cell r="F300">
            <v>37.11</v>
          </cell>
        </row>
        <row r="301">
          <cell r="F301">
            <v>37.11</v>
          </cell>
        </row>
        <row r="302">
          <cell r="F302">
            <v>37.11</v>
          </cell>
        </row>
        <row r="303">
          <cell r="F303">
            <v>37.11</v>
          </cell>
        </row>
        <row r="304">
          <cell r="F304">
            <v>37.11</v>
          </cell>
        </row>
        <row r="305">
          <cell r="F305">
            <v>38.659999999999997</v>
          </cell>
        </row>
        <row r="306">
          <cell r="F306">
            <v>38.659999999999997</v>
          </cell>
        </row>
        <row r="307">
          <cell r="F307">
            <v>37.11</v>
          </cell>
        </row>
        <row r="308">
          <cell r="F308">
            <v>37.11</v>
          </cell>
        </row>
        <row r="309">
          <cell r="F309">
            <v>36.369999999999997</v>
          </cell>
        </row>
        <row r="310">
          <cell r="F310">
            <v>37.11</v>
          </cell>
        </row>
        <row r="311">
          <cell r="F311">
            <v>40.200000000000003</v>
          </cell>
        </row>
        <row r="312">
          <cell r="F312">
            <v>37.11</v>
          </cell>
        </row>
        <row r="313">
          <cell r="F313">
            <v>37.11</v>
          </cell>
        </row>
        <row r="314">
          <cell r="F314">
            <v>37.11</v>
          </cell>
        </row>
        <row r="315">
          <cell r="F315">
            <v>37.49</v>
          </cell>
        </row>
        <row r="316">
          <cell r="F316">
            <v>37.49</v>
          </cell>
        </row>
        <row r="317">
          <cell r="F317">
            <v>37.49</v>
          </cell>
        </row>
        <row r="318">
          <cell r="F318">
            <v>37.49</v>
          </cell>
        </row>
        <row r="319">
          <cell r="F319">
            <v>37.49</v>
          </cell>
        </row>
        <row r="320">
          <cell r="F320">
            <v>37.49</v>
          </cell>
        </row>
        <row r="321">
          <cell r="F321">
            <v>37.49</v>
          </cell>
        </row>
        <row r="322">
          <cell r="F322">
            <v>37.49</v>
          </cell>
        </row>
        <row r="323">
          <cell r="F323">
            <v>37.49</v>
          </cell>
        </row>
        <row r="324">
          <cell r="F324">
            <v>37.49</v>
          </cell>
        </row>
        <row r="325">
          <cell r="F325">
            <v>37.49</v>
          </cell>
        </row>
        <row r="326">
          <cell r="F326">
            <v>37.49</v>
          </cell>
        </row>
        <row r="327">
          <cell r="F327">
            <v>37.49</v>
          </cell>
        </row>
        <row r="328">
          <cell r="F328">
            <v>37.49</v>
          </cell>
        </row>
        <row r="329">
          <cell r="F329">
            <v>37.49</v>
          </cell>
        </row>
        <row r="330">
          <cell r="F330">
            <v>37.49</v>
          </cell>
        </row>
        <row r="331">
          <cell r="F331">
            <v>37.49</v>
          </cell>
        </row>
        <row r="332">
          <cell r="F332">
            <v>37.49</v>
          </cell>
        </row>
        <row r="333">
          <cell r="F333">
            <v>37.49</v>
          </cell>
        </row>
        <row r="334">
          <cell r="F334">
            <v>37.49</v>
          </cell>
        </row>
        <row r="335">
          <cell r="F335">
            <v>37.49</v>
          </cell>
        </row>
        <row r="336">
          <cell r="F336">
            <v>35.99</v>
          </cell>
        </row>
        <row r="337">
          <cell r="F337">
            <v>35.99</v>
          </cell>
        </row>
        <row r="338">
          <cell r="F338">
            <v>35.99</v>
          </cell>
        </row>
        <row r="339">
          <cell r="F339">
            <v>35.99</v>
          </cell>
        </row>
        <row r="340">
          <cell r="F340">
            <v>35.99</v>
          </cell>
        </row>
        <row r="341">
          <cell r="F341">
            <v>35.99</v>
          </cell>
        </row>
        <row r="342">
          <cell r="F342">
            <v>35.99</v>
          </cell>
        </row>
        <row r="343">
          <cell r="F343">
            <v>35.99</v>
          </cell>
        </row>
        <row r="344">
          <cell r="F344">
            <v>35.99</v>
          </cell>
        </row>
        <row r="345">
          <cell r="F345">
            <v>35.99</v>
          </cell>
        </row>
        <row r="346">
          <cell r="F346">
            <v>35.99</v>
          </cell>
        </row>
        <row r="347">
          <cell r="F347">
            <v>35.99</v>
          </cell>
        </row>
        <row r="348">
          <cell r="F348">
            <v>35.99</v>
          </cell>
        </row>
        <row r="349">
          <cell r="F349">
            <v>35.99</v>
          </cell>
        </row>
        <row r="350">
          <cell r="F350">
            <v>35.99</v>
          </cell>
        </row>
        <row r="351">
          <cell r="F351">
            <v>35.99</v>
          </cell>
        </row>
        <row r="352">
          <cell r="F352">
            <v>35.99</v>
          </cell>
        </row>
        <row r="353">
          <cell r="F353">
            <v>35.99</v>
          </cell>
        </row>
        <row r="354">
          <cell r="F354">
            <v>35.99</v>
          </cell>
        </row>
        <row r="355">
          <cell r="F355">
            <v>35.99</v>
          </cell>
        </row>
        <row r="356">
          <cell r="F356">
            <v>35.99</v>
          </cell>
        </row>
        <row r="357">
          <cell r="F357">
            <v>35.99</v>
          </cell>
        </row>
        <row r="358">
          <cell r="F358">
            <v>35.99</v>
          </cell>
        </row>
        <row r="359">
          <cell r="F359">
            <v>35.99</v>
          </cell>
        </row>
        <row r="360">
          <cell r="F360">
            <v>37.11</v>
          </cell>
        </row>
        <row r="361">
          <cell r="F361">
            <v>37.11</v>
          </cell>
        </row>
        <row r="362">
          <cell r="F362">
            <v>37.11</v>
          </cell>
        </row>
        <row r="363">
          <cell r="F363">
            <v>37.11</v>
          </cell>
        </row>
        <row r="364">
          <cell r="F364">
            <v>37.11</v>
          </cell>
        </row>
        <row r="365">
          <cell r="F365">
            <v>37.11</v>
          </cell>
        </row>
        <row r="366">
          <cell r="F366">
            <v>37.11</v>
          </cell>
        </row>
        <row r="367">
          <cell r="F367">
            <v>37.11</v>
          </cell>
        </row>
        <row r="368">
          <cell r="F368">
            <v>37.11</v>
          </cell>
        </row>
        <row r="369">
          <cell r="F369">
            <v>37.11</v>
          </cell>
        </row>
        <row r="370">
          <cell r="F370">
            <v>37.11</v>
          </cell>
        </row>
        <row r="371">
          <cell r="F371">
            <v>37.11</v>
          </cell>
        </row>
        <row r="372">
          <cell r="F372">
            <v>37.11</v>
          </cell>
        </row>
        <row r="373">
          <cell r="F373">
            <v>37.11</v>
          </cell>
        </row>
        <row r="374">
          <cell r="F374">
            <v>37.11</v>
          </cell>
        </row>
        <row r="375">
          <cell r="F375">
            <v>37.11</v>
          </cell>
        </row>
        <row r="376">
          <cell r="F376">
            <v>37.11</v>
          </cell>
        </row>
        <row r="377">
          <cell r="F377">
            <v>36.340000000000003</v>
          </cell>
        </row>
        <row r="378">
          <cell r="F378">
            <v>36.340000000000003</v>
          </cell>
        </row>
        <row r="379">
          <cell r="F379">
            <v>36.340000000000003</v>
          </cell>
        </row>
        <row r="380">
          <cell r="F380">
            <v>36.340000000000003</v>
          </cell>
        </row>
        <row r="381">
          <cell r="F381">
            <v>36.340000000000003</v>
          </cell>
        </row>
        <row r="382">
          <cell r="F382">
            <v>36.340000000000003</v>
          </cell>
        </row>
        <row r="383">
          <cell r="F383">
            <v>36.340000000000003</v>
          </cell>
        </row>
        <row r="384">
          <cell r="F384">
            <v>38.659999999999997</v>
          </cell>
        </row>
        <row r="385">
          <cell r="F385">
            <v>38.659999999999997</v>
          </cell>
        </row>
        <row r="386">
          <cell r="F386">
            <v>38.659999999999997</v>
          </cell>
        </row>
        <row r="387">
          <cell r="F387">
            <v>38.659999999999997</v>
          </cell>
        </row>
        <row r="388">
          <cell r="F388">
            <v>36.340000000000003</v>
          </cell>
        </row>
        <row r="389">
          <cell r="F389">
            <v>36.340000000000003</v>
          </cell>
        </row>
        <row r="390">
          <cell r="F390">
            <v>36.340000000000003</v>
          </cell>
        </row>
        <row r="391">
          <cell r="F391">
            <v>36.340000000000003</v>
          </cell>
        </row>
        <row r="392">
          <cell r="F392">
            <v>36.340000000000003</v>
          </cell>
        </row>
        <row r="393">
          <cell r="F393">
            <v>36.340000000000003</v>
          </cell>
        </row>
        <row r="394">
          <cell r="F394">
            <v>36.340000000000003</v>
          </cell>
        </row>
        <row r="395">
          <cell r="F395">
            <v>36.340000000000003</v>
          </cell>
        </row>
        <row r="396">
          <cell r="F396">
            <v>36.340000000000003</v>
          </cell>
        </row>
        <row r="397">
          <cell r="F397">
            <v>36.340000000000003</v>
          </cell>
        </row>
        <row r="398">
          <cell r="F398">
            <v>36.340000000000003</v>
          </cell>
        </row>
        <row r="399">
          <cell r="F399">
            <v>36.340000000000003</v>
          </cell>
        </row>
        <row r="400">
          <cell r="F400">
            <v>37.11</v>
          </cell>
        </row>
        <row r="401">
          <cell r="F401">
            <v>37.11</v>
          </cell>
        </row>
        <row r="402">
          <cell r="F402">
            <v>35.99</v>
          </cell>
        </row>
        <row r="403">
          <cell r="F403">
            <v>37.49</v>
          </cell>
        </row>
        <row r="404">
          <cell r="F404">
            <v>37.49</v>
          </cell>
        </row>
        <row r="405">
          <cell r="F405">
            <v>35.99</v>
          </cell>
        </row>
        <row r="406">
          <cell r="F406">
            <v>37.49</v>
          </cell>
        </row>
        <row r="407">
          <cell r="F407">
            <v>37.49</v>
          </cell>
        </row>
        <row r="408">
          <cell r="F408">
            <v>37.49</v>
          </cell>
        </row>
        <row r="409">
          <cell r="F409">
            <v>37.49</v>
          </cell>
        </row>
        <row r="410">
          <cell r="F410">
            <v>37.49</v>
          </cell>
        </row>
        <row r="411">
          <cell r="F411">
            <v>37.49</v>
          </cell>
        </row>
        <row r="412">
          <cell r="F412">
            <v>37.49</v>
          </cell>
        </row>
        <row r="413">
          <cell r="F413">
            <v>35.99</v>
          </cell>
        </row>
        <row r="414">
          <cell r="F414">
            <v>37.49</v>
          </cell>
        </row>
        <row r="415">
          <cell r="F415">
            <v>37.49</v>
          </cell>
        </row>
        <row r="416">
          <cell r="F416">
            <v>37.49</v>
          </cell>
        </row>
        <row r="417">
          <cell r="F417">
            <v>35.24</v>
          </cell>
        </row>
        <row r="418">
          <cell r="F418">
            <v>35.24</v>
          </cell>
        </row>
        <row r="419">
          <cell r="F419">
            <v>35.24</v>
          </cell>
        </row>
        <row r="420">
          <cell r="F420">
            <v>37.49</v>
          </cell>
        </row>
        <row r="421">
          <cell r="F421">
            <v>37.49</v>
          </cell>
        </row>
        <row r="422">
          <cell r="F422">
            <v>37.49</v>
          </cell>
        </row>
        <row r="423">
          <cell r="F423">
            <v>37.49</v>
          </cell>
        </row>
        <row r="424">
          <cell r="F424">
            <v>37.49</v>
          </cell>
        </row>
        <row r="425">
          <cell r="F425">
            <v>37.49</v>
          </cell>
        </row>
        <row r="426">
          <cell r="F426">
            <v>37.49</v>
          </cell>
        </row>
        <row r="427">
          <cell r="F427">
            <v>37.49</v>
          </cell>
        </row>
        <row r="428">
          <cell r="F428">
            <v>35.99</v>
          </cell>
        </row>
        <row r="429">
          <cell r="F429">
            <v>35.99</v>
          </cell>
        </row>
        <row r="430">
          <cell r="F430">
            <v>35.99</v>
          </cell>
        </row>
        <row r="431">
          <cell r="F431">
            <v>35.99</v>
          </cell>
        </row>
        <row r="432">
          <cell r="F432">
            <v>35.99</v>
          </cell>
        </row>
        <row r="433">
          <cell r="F433">
            <v>35.99</v>
          </cell>
        </row>
        <row r="434">
          <cell r="F434">
            <v>35.99</v>
          </cell>
        </row>
        <row r="435">
          <cell r="F435">
            <v>35.99</v>
          </cell>
        </row>
        <row r="436">
          <cell r="F436">
            <v>35.99</v>
          </cell>
        </row>
        <row r="437">
          <cell r="F437">
            <v>35.99</v>
          </cell>
        </row>
        <row r="438">
          <cell r="F438">
            <v>35.99</v>
          </cell>
        </row>
        <row r="439">
          <cell r="F439">
            <v>35.99</v>
          </cell>
        </row>
        <row r="440">
          <cell r="F440">
            <v>35.99</v>
          </cell>
        </row>
        <row r="441">
          <cell r="F441">
            <v>35.99</v>
          </cell>
        </row>
        <row r="442">
          <cell r="F442">
            <v>35.99</v>
          </cell>
        </row>
        <row r="443">
          <cell r="F443">
            <v>35.99</v>
          </cell>
        </row>
        <row r="444">
          <cell r="F444">
            <v>34.49</v>
          </cell>
        </row>
        <row r="445">
          <cell r="F445">
            <v>34.49</v>
          </cell>
        </row>
        <row r="446">
          <cell r="F446">
            <v>34.49</v>
          </cell>
        </row>
        <row r="447">
          <cell r="F447">
            <v>35.99</v>
          </cell>
        </row>
        <row r="448">
          <cell r="F448">
            <v>35.99</v>
          </cell>
        </row>
        <row r="449">
          <cell r="F449">
            <v>35.99</v>
          </cell>
        </row>
        <row r="450">
          <cell r="F450">
            <v>35.99</v>
          </cell>
        </row>
        <row r="451">
          <cell r="F451">
            <v>35.99</v>
          </cell>
        </row>
        <row r="452">
          <cell r="F452">
            <v>37.49</v>
          </cell>
        </row>
        <row r="453">
          <cell r="F453">
            <v>35.99</v>
          </cell>
        </row>
        <row r="454">
          <cell r="F454">
            <v>35.99</v>
          </cell>
        </row>
        <row r="455">
          <cell r="F455">
            <v>35.99</v>
          </cell>
        </row>
        <row r="456">
          <cell r="F456">
            <v>35.99</v>
          </cell>
        </row>
        <row r="457">
          <cell r="F457">
            <v>37.49</v>
          </cell>
        </row>
        <row r="458">
          <cell r="F458">
            <v>37.49</v>
          </cell>
        </row>
        <row r="459">
          <cell r="F459">
            <v>37.49</v>
          </cell>
        </row>
        <row r="460">
          <cell r="F460">
            <v>36.71</v>
          </cell>
        </row>
        <row r="461">
          <cell r="F461">
            <v>37.49</v>
          </cell>
        </row>
        <row r="462">
          <cell r="F462">
            <v>37.49</v>
          </cell>
        </row>
        <row r="463">
          <cell r="F463">
            <v>38.99</v>
          </cell>
        </row>
        <row r="464">
          <cell r="F464">
            <v>35.99</v>
          </cell>
        </row>
        <row r="465">
          <cell r="F465">
            <v>35.99</v>
          </cell>
        </row>
        <row r="466">
          <cell r="F466">
            <v>35.99</v>
          </cell>
        </row>
        <row r="467">
          <cell r="F467">
            <v>35.99</v>
          </cell>
        </row>
        <row r="468">
          <cell r="F468">
            <v>35.99</v>
          </cell>
        </row>
        <row r="469">
          <cell r="F469">
            <v>35.99</v>
          </cell>
        </row>
        <row r="470">
          <cell r="F470">
            <v>37.49</v>
          </cell>
        </row>
        <row r="471">
          <cell r="F471">
            <v>37.49</v>
          </cell>
        </row>
        <row r="472">
          <cell r="F472">
            <v>35.99</v>
          </cell>
        </row>
        <row r="473">
          <cell r="F473">
            <v>35.99</v>
          </cell>
        </row>
        <row r="474">
          <cell r="F474">
            <v>35.99</v>
          </cell>
        </row>
        <row r="475">
          <cell r="F475">
            <v>35.99</v>
          </cell>
        </row>
        <row r="476">
          <cell r="F476">
            <v>35.99</v>
          </cell>
        </row>
        <row r="477">
          <cell r="F477">
            <v>35.99</v>
          </cell>
        </row>
        <row r="478">
          <cell r="F478">
            <v>35.99</v>
          </cell>
        </row>
        <row r="479">
          <cell r="F479">
            <v>36.340000000000003</v>
          </cell>
        </row>
        <row r="480">
          <cell r="F480">
            <v>36.340000000000003</v>
          </cell>
        </row>
        <row r="481">
          <cell r="F481">
            <v>36.340000000000003</v>
          </cell>
        </row>
        <row r="482">
          <cell r="F482">
            <v>36.340000000000003</v>
          </cell>
        </row>
        <row r="483">
          <cell r="F483">
            <v>36.340000000000003</v>
          </cell>
        </row>
        <row r="484">
          <cell r="F484">
            <v>38.659999999999997</v>
          </cell>
        </row>
        <row r="485">
          <cell r="F485">
            <v>38.659999999999997</v>
          </cell>
        </row>
        <row r="486">
          <cell r="F486">
            <v>35.56</v>
          </cell>
        </row>
        <row r="487">
          <cell r="F487">
            <v>35.56</v>
          </cell>
        </row>
        <row r="488">
          <cell r="F488">
            <v>35.56</v>
          </cell>
        </row>
        <row r="489">
          <cell r="F489">
            <v>35.56</v>
          </cell>
        </row>
        <row r="490">
          <cell r="F490">
            <v>35.56</v>
          </cell>
        </row>
        <row r="491">
          <cell r="F491">
            <v>35.56</v>
          </cell>
        </row>
        <row r="492">
          <cell r="F492">
            <v>35.56</v>
          </cell>
        </row>
        <row r="493">
          <cell r="F493">
            <v>35.56</v>
          </cell>
        </row>
        <row r="494">
          <cell r="F494">
            <v>35.56</v>
          </cell>
        </row>
        <row r="495">
          <cell r="F495">
            <v>36.340000000000003</v>
          </cell>
        </row>
        <row r="496">
          <cell r="F496">
            <v>36.340000000000003</v>
          </cell>
        </row>
        <row r="497">
          <cell r="F497">
            <v>36.340000000000003</v>
          </cell>
        </row>
        <row r="498">
          <cell r="F498">
            <v>36.340000000000003</v>
          </cell>
        </row>
        <row r="499">
          <cell r="F499">
            <v>36.340000000000003</v>
          </cell>
        </row>
        <row r="500">
          <cell r="F500">
            <v>36.340000000000003</v>
          </cell>
        </row>
        <row r="501">
          <cell r="F501">
            <v>36.340000000000003</v>
          </cell>
        </row>
        <row r="502">
          <cell r="F502">
            <v>36.340000000000003</v>
          </cell>
        </row>
        <row r="503">
          <cell r="F503">
            <v>36.340000000000003</v>
          </cell>
        </row>
        <row r="504">
          <cell r="F504">
            <v>36.340000000000003</v>
          </cell>
        </row>
        <row r="505">
          <cell r="F505">
            <v>36.340000000000003</v>
          </cell>
        </row>
        <row r="506">
          <cell r="F506">
            <v>36.340000000000003</v>
          </cell>
        </row>
        <row r="507">
          <cell r="F507">
            <v>36.340000000000003</v>
          </cell>
        </row>
        <row r="508">
          <cell r="F508">
            <v>36.340000000000003</v>
          </cell>
        </row>
        <row r="509">
          <cell r="F509">
            <v>36.340000000000003</v>
          </cell>
        </row>
        <row r="510">
          <cell r="F510">
            <v>37.11</v>
          </cell>
        </row>
        <row r="511">
          <cell r="F511">
            <v>37.11</v>
          </cell>
        </row>
        <row r="512">
          <cell r="F512">
            <v>37.11</v>
          </cell>
        </row>
        <row r="513">
          <cell r="F513">
            <v>35.630000000000003</v>
          </cell>
        </row>
        <row r="514">
          <cell r="F514">
            <v>35.630000000000003</v>
          </cell>
        </row>
        <row r="515">
          <cell r="F515">
            <v>35.630000000000003</v>
          </cell>
        </row>
        <row r="516">
          <cell r="F516">
            <v>37.85</v>
          </cell>
        </row>
        <row r="517">
          <cell r="F517">
            <v>37.85</v>
          </cell>
        </row>
        <row r="518">
          <cell r="F518">
            <v>35.630000000000003</v>
          </cell>
        </row>
        <row r="519">
          <cell r="F519">
            <v>35.630000000000003</v>
          </cell>
        </row>
        <row r="520">
          <cell r="F520">
            <v>35.630000000000003</v>
          </cell>
        </row>
        <row r="521">
          <cell r="F521">
            <v>35.630000000000003</v>
          </cell>
        </row>
        <row r="522">
          <cell r="F522">
            <v>35.630000000000003</v>
          </cell>
        </row>
        <row r="523">
          <cell r="F523">
            <v>35.630000000000003</v>
          </cell>
        </row>
        <row r="524">
          <cell r="F524">
            <v>35.99</v>
          </cell>
        </row>
        <row r="525">
          <cell r="F525">
            <v>37.49</v>
          </cell>
        </row>
        <row r="526">
          <cell r="F526">
            <v>37.49</v>
          </cell>
        </row>
        <row r="527">
          <cell r="F527">
            <v>35.99</v>
          </cell>
        </row>
        <row r="528">
          <cell r="F528">
            <v>35.99</v>
          </cell>
        </row>
        <row r="529">
          <cell r="F529">
            <v>35.99</v>
          </cell>
        </row>
        <row r="530">
          <cell r="F530">
            <v>35.99</v>
          </cell>
        </row>
        <row r="531">
          <cell r="F531">
            <v>35.99</v>
          </cell>
        </row>
        <row r="532">
          <cell r="F532">
            <v>35.99</v>
          </cell>
        </row>
        <row r="533">
          <cell r="F533">
            <v>35.99</v>
          </cell>
        </row>
        <row r="534">
          <cell r="F534">
            <v>35.99</v>
          </cell>
        </row>
        <row r="535">
          <cell r="F535">
            <v>35.99</v>
          </cell>
        </row>
        <row r="536">
          <cell r="F536">
            <v>33.65</v>
          </cell>
        </row>
        <row r="537">
          <cell r="F537">
            <v>37.49</v>
          </cell>
        </row>
        <row r="538">
          <cell r="F538">
            <v>37.49</v>
          </cell>
        </row>
        <row r="539">
          <cell r="F539">
            <v>37.49</v>
          </cell>
        </row>
        <row r="540">
          <cell r="F540">
            <v>37.49</v>
          </cell>
        </row>
        <row r="541">
          <cell r="F541">
            <v>37.49</v>
          </cell>
        </row>
        <row r="542">
          <cell r="F542">
            <v>37.49</v>
          </cell>
        </row>
        <row r="543">
          <cell r="F543">
            <v>37.49</v>
          </cell>
        </row>
        <row r="544">
          <cell r="F544">
            <v>37.49</v>
          </cell>
        </row>
        <row r="545">
          <cell r="F545">
            <v>37.49</v>
          </cell>
        </row>
        <row r="546">
          <cell r="F546">
            <v>37.49</v>
          </cell>
        </row>
        <row r="547">
          <cell r="F547">
            <v>37.49</v>
          </cell>
        </row>
        <row r="548">
          <cell r="F548">
            <v>37.49</v>
          </cell>
        </row>
        <row r="549">
          <cell r="F549">
            <v>37.49</v>
          </cell>
        </row>
        <row r="550">
          <cell r="F550">
            <v>37.49</v>
          </cell>
        </row>
        <row r="551">
          <cell r="F551">
            <v>37.49</v>
          </cell>
        </row>
        <row r="552">
          <cell r="F552">
            <v>37.49</v>
          </cell>
        </row>
        <row r="553">
          <cell r="F553">
            <v>37.49</v>
          </cell>
        </row>
        <row r="554">
          <cell r="F554">
            <v>37.520000000000003</v>
          </cell>
        </row>
        <row r="555">
          <cell r="F555">
            <v>37.520000000000003</v>
          </cell>
        </row>
        <row r="556">
          <cell r="F556">
            <v>37.520000000000003</v>
          </cell>
        </row>
        <row r="557">
          <cell r="F557">
            <v>37.520000000000003</v>
          </cell>
        </row>
        <row r="558">
          <cell r="F558">
            <v>37.520000000000003</v>
          </cell>
        </row>
        <row r="559">
          <cell r="F559">
            <v>37.520000000000003</v>
          </cell>
        </row>
        <row r="560">
          <cell r="F560">
            <v>37.520000000000003</v>
          </cell>
        </row>
        <row r="561">
          <cell r="F561">
            <v>37.520000000000003</v>
          </cell>
        </row>
        <row r="562">
          <cell r="F562">
            <v>37.520000000000003</v>
          </cell>
        </row>
        <row r="563">
          <cell r="F563">
            <v>37.520000000000003</v>
          </cell>
        </row>
        <row r="564">
          <cell r="F564">
            <v>37.520000000000003</v>
          </cell>
        </row>
        <row r="565">
          <cell r="F565">
            <v>35.96</v>
          </cell>
        </row>
        <row r="566">
          <cell r="F566">
            <v>35.96</v>
          </cell>
        </row>
        <row r="567">
          <cell r="F567">
            <v>31.27</v>
          </cell>
        </row>
        <row r="568">
          <cell r="F568">
            <v>39.090000000000003</v>
          </cell>
        </row>
        <row r="569">
          <cell r="F569">
            <v>35.96</v>
          </cell>
        </row>
        <row r="570">
          <cell r="F570">
            <v>35.96</v>
          </cell>
        </row>
        <row r="571">
          <cell r="F571">
            <v>39.090000000000003</v>
          </cell>
        </row>
        <row r="572">
          <cell r="F572">
            <v>39.090000000000003</v>
          </cell>
        </row>
        <row r="573">
          <cell r="F573">
            <v>39.090000000000003</v>
          </cell>
        </row>
        <row r="574">
          <cell r="F574">
            <v>39.090000000000003</v>
          </cell>
        </row>
        <row r="575">
          <cell r="F575">
            <v>37.520000000000003</v>
          </cell>
        </row>
        <row r="576">
          <cell r="F576">
            <v>37.520000000000003</v>
          </cell>
        </row>
        <row r="577">
          <cell r="F577">
            <v>37.520000000000003</v>
          </cell>
        </row>
        <row r="578">
          <cell r="F578">
            <v>37.520000000000003</v>
          </cell>
        </row>
        <row r="579">
          <cell r="F579">
            <v>37.520000000000003</v>
          </cell>
        </row>
        <row r="580">
          <cell r="F580">
            <v>37.520000000000003</v>
          </cell>
        </row>
        <row r="581">
          <cell r="F581">
            <v>37.520000000000003</v>
          </cell>
        </row>
        <row r="582">
          <cell r="F582">
            <v>37.520000000000003</v>
          </cell>
        </row>
        <row r="583">
          <cell r="F583">
            <v>37.520000000000003</v>
          </cell>
        </row>
        <row r="584">
          <cell r="F584">
            <v>37.520000000000003</v>
          </cell>
        </row>
        <row r="585">
          <cell r="F585">
            <v>37.520000000000003</v>
          </cell>
        </row>
        <row r="586">
          <cell r="F586">
            <v>37.520000000000003</v>
          </cell>
        </row>
        <row r="587">
          <cell r="F587">
            <v>37.520000000000003</v>
          </cell>
        </row>
        <row r="588">
          <cell r="F588">
            <v>37.520000000000003</v>
          </cell>
        </row>
        <row r="589">
          <cell r="F589">
            <v>37.520000000000003</v>
          </cell>
        </row>
        <row r="590">
          <cell r="F590">
            <v>37.520000000000003</v>
          </cell>
        </row>
        <row r="591">
          <cell r="F591">
            <v>37.520000000000003</v>
          </cell>
        </row>
        <row r="592">
          <cell r="F592">
            <v>37.520000000000003</v>
          </cell>
        </row>
        <row r="593">
          <cell r="F593">
            <v>37.520000000000003</v>
          </cell>
        </row>
        <row r="594">
          <cell r="F594">
            <v>37.520000000000003</v>
          </cell>
        </row>
        <row r="595">
          <cell r="F595">
            <v>37.520000000000003</v>
          </cell>
        </row>
        <row r="596">
          <cell r="F596">
            <v>37.520000000000003</v>
          </cell>
        </row>
        <row r="597">
          <cell r="F597">
            <v>37.520000000000003</v>
          </cell>
        </row>
        <row r="598">
          <cell r="F598">
            <v>37.520000000000003</v>
          </cell>
        </row>
        <row r="599">
          <cell r="F599">
            <v>37.520000000000003</v>
          </cell>
        </row>
        <row r="600">
          <cell r="F600">
            <v>37.520000000000003</v>
          </cell>
        </row>
        <row r="601">
          <cell r="F601">
            <v>37.520000000000003</v>
          </cell>
        </row>
        <row r="602">
          <cell r="F602">
            <v>37.520000000000003</v>
          </cell>
        </row>
        <row r="603">
          <cell r="F603">
            <v>37.520000000000003</v>
          </cell>
        </row>
        <row r="604">
          <cell r="F604">
            <v>37.520000000000003</v>
          </cell>
        </row>
        <row r="605">
          <cell r="F605">
            <v>37.520000000000003</v>
          </cell>
        </row>
        <row r="606">
          <cell r="F606">
            <v>37.520000000000003</v>
          </cell>
        </row>
        <row r="607">
          <cell r="F607">
            <v>37.520000000000003</v>
          </cell>
        </row>
        <row r="608">
          <cell r="F608">
            <v>37.520000000000003</v>
          </cell>
        </row>
        <row r="609">
          <cell r="F609">
            <v>37.520000000000003</v>
          </cell>
        </row>
        <row r="610">
          <cell r="F610">
            <v>37.520000000000003</v>
          </cell>
        </row>
        <row r="611">
          <cell r="F611">
            <v>37.520000000000003</v>
          </cell>
        </row>
        <row r="612">
          <cell r="F612">
            <v>37.520000000000003</v>
          </cell>
        </row>
        <row r="613">
          <cell r="F613">
            <v>37.520000000000003</v>
          </cell>
        </row>
        <row r="614">
          <cell r="F614">
            <v>37.520000000000003</v>
          </cell>
        </row>
        <row r="615">
          <cell r="F615">
            <v>37.520000000000003</v>
          </cell>
        </row>
        <row r="616">
          <cell r="F616">
            <v>37.520000000000003</v>
          </cell>
        </row>
        <row r="617">
          <cell r="F617">
            <v>37.520000000000003</v>
          </cell>
        </row>
        <row r="618">
          <cell r="F618">
            <v>37.520000000000003</v>
          </cell>
        </row>
        <row r="619">
          <cell r="F619">
            <v>37.520000000000003</v>
          </cell>
        </row>
        <row r="620">
          <cell r="F620">
            <v>37.520000000000003</v>
          </cell>
        </row>
        <row r="621">
          <cell r="F621">
            <v>37.520000000000003</v>
          </cell>
        </row>
        <row r="622">
          <cell r="F622">
            <v>37.520000000000003</v>
          </cell>
        </row>
        <row r="623">
          <cell r="F623">
            <v>37.520000000000003</v>
          </cell>
        </row>
        <row r="624">
          <cell r="F624">
            <v>37.520000000000003</v>
          </cell>
        </row>
        <row r="625">
          <cell r="F625">
            <v>37.520000000000003</v>
          </cell>
        </row>
        <row r="626">
          <cell r="F626">
            <v>37.520000000000003</v>
          </cell>
        </row>
        <row r="627">
          <cell r="F627">
            <v>37.520000000000003</v>
          </cell>
        </row>
        <row r="628">
          <cell r="F628">
            <v>37.520000000000003</v>
          </cell>
        </row>
        <row r="629">
          <cell r="F629">
            <v>37.520000000000003</v>
          </cell>
        </row>
        <row r="630">
          <cell r="F630">
            <v>37.520000000000003</v>
          </cell>
        </row>
        <row r="631">
          <cell r="F631">
            <v>37.520000000000003</v>
          </cell>
        </row>
        <row r="632">
          <cell r="F632">
            <v>37.520000000000003</v>
          </cell>
        </row>
        <row r="633">
          <cell r="F633">
            <v>37.520000000000003</v>
          </cell>
        </row>
        <row r="634">
          <cell r="F634">
            <v>37.520000000000003</v>
          </cell>
        </row>
        <row r="635">
          <cell r="F635">
            <v>37.520000000000003</v>
          </cell>
        </row>
        <row r="636">
          <cell r="F636">
            <v>37.520000000000003</v>
          </cell>
        </row>
        <row r="637">
          <cell r="F637">
            <v>37.520000000000003</v>
          </cell>
        </row>
        <row r="638">
          <cell r="F638">
            <v>37.520000000000003</v>
          </cell>
        </row>
        <row r="639">
          <cell r="F639">
            <v>39.090000000000003</v>
          </cell>
        </row>
        <row r="640">
          <cell r="F640">
            <v>39.090000000000003</v>
          </cell>
        </row>
        <row r="641">
          <cell r="F641">
            <v>39.090000000000003</v>
          </cell>
        </row>
        <row r="642">
          <cell r="F642">
            <v>37.520000000000003</v>
          </cell>
        </row>
        <row r="643">
          <cell r="F643">
            <v>36.020000000000003</v>
          </cell>
        </row>
        <row r="644">
          <cell r="F644">
            <v>36.020000000000003</v>
          </cell>
        </row>
        <row r="645">
          <cell r="F645">
            <v>36.020000000000003</v>
          </cell>
        </row>
        <row r="646">
          <cell r="F646">
            <v>36.020000000000003</v>
          </cell>
        </row>
        <row r="647">
          <cell r="F647">
            <v>36.020000000000003</v>
          </cell>
        </row>
        <row r="648">
          <cell r="F648">
            <v>36.020000000000003</v>
          </cell>
        </row>
        <row r="649">
          <cell r="F649">
            <v>36.020000000000003</v>
          </cell>
        </row>
        <row r="650">
          <cell r="F650">
            <v>36.020000000000003</v>
          </cell>
        </row>
        <row r="651">
          <cell r="F651">
            <v>36.020000000000003</v>
          </cell>
        </row>
        <row r="652">
          <cell r="F652">
            <v>36.020000000000003</v>
          </cell>
        </row>
        <row r="653">
          <cell r="F653">
            <v>36.020000000000003</v>
          </cell>
        </row>
        <row r="654">
          <cell r="F654">
            <v>36.020000000000003</v>
          </cell>
        </row>
        <row r="655">
          <cell r="F655">
            <v>37.520000000000003</v>
          </cell>
        </row>
        <row r="656">
          <cell r="F656">
            <v>37.520000000000003</v>
          </cell>
        </row>
        <row r="657">
          <cell r="F657">
            <v>37.520000000000003</v>
          </cell>
        </row>
        <row r="658">
          <cell r="F658">
            <v>42.21</v>
          </cell>
        </row>
        <row r="659">
          <cell r="F659">
            <v>39.090000000000003</v>
          </cell>
        </row>
        <row r="660">
          <cell r="F660">
            <v>39.090000000000003</v>
          </cell>
        </row>
        <row r="661">
          <cell r="F661">
            <v>39.090000000000003</v>
          </cell>
        </row>
        <row r="662">
          <cell r="F662">
            <v>37.520000000000003</v>
          </cell>
        </row>
        <row r="663">
          <cell r="F663">
            <v>37.520000000000003</v>
          </cell>
        </row>
        <row r="664">
          <cell r="F664">
            <v>37.520000000000003</v>
          </cell>
        </row>
        <row r="665">
          <cell r="F665">
            <v>39.090000000000003</v>
          </cell>
        </row>
        <row r="666">
          <cell r="F666">
            <v>39.090000000000003</v>
          </cell>
        </row>
        <row r="667">
          <cell r="F667">
            <v>39.090000000000003</v>
          </cell>
        </row>
        <row r="668">
          <cell r="F668">
            <v>39.090000000000003</v>
          </cell>
        </row>
        <row r="669">
          <cell r="F669">
            <v>39.090000000000003</v>
          </cell>
        </row>
        <row r="670">
          <cell r="F670">
            <v>37.520000000000003</v>
          </cell>
        </row>
        <row r="671">
          <cell r="F671">
            <v>37.520000000000003</v>
          </cell>
        </row>
        <row r="672">
          <cell r="F672">
            <v>39.090000000000003</v>
          </cell>
        </row>
        <row r="673">
          <cell r="F673">
            <v>37.520000000000003</v>
          </cell>
        </row>
        <row r="674">
          <cell r="F674">
            <v>37.520000000000003</v>
          </cell>
        </row>
        <row r="675">
          <cell r="F675">
            <v>37.520000000000003</v>
          </cell>
        </row>
        <row r="676">
          <cell r="F676">
            <v>37.520000000000003</v>
          </cell>
        </row>
        <row r="677">
          <cell r="F677">
            <v>37.520000000000003</v>
          </cell>
        </row>
        <row r="678">
          <cell r="F678">
            <v>37.520000000000003</v>
          </cell>
        </row>
        <row r="679">
          <cell r="F679">
            <v>39.090000000000003</v>
          </cell>
        </row>
        <row r="680">
          <cell r="F680">
            <v>39.090000000000003</v>
          </cell>
        </row>
        <row r="681">
          <cell r="F681">
            <v>37.520000000000003</v>
          </cell>
        </row>
        <row r="682">
          <cell r="F682">
            <v>37.520000000000003</v>
          </cell>
        </row>
        <row r="683">
          <cell r="F683">
            <v>48.78</v>
          </cell>
        </row>
        <row r="684">
          <cell r="F684">
            <v>36.020000000000003</v>
          </cell>
        </row>
        <row r="685">
          <cell r="F685">
            <v>36.020000000000003</v>
          </cell>
        </row>
        <row r="686">
          <cell r="F686">
            <v>36.020000000000003</v>
          </cell>
        </row>
        <row r="687">
          <cell r="F687">
            <v>36.020000000000003</v>
          </cell>
        </row>
        <row r="688">
          <cell r="F688">
            <v>36.020000000000003</v>
          </cell>
        </row>
        <row r="689">
          <cell r="F689">
            <v>36.020000000000003</v>
          </cell>
        </row>
        <row r="690">
          <cell r="F690">
            <v>37.520000000000003</v>
          </cell>
        </row>
        <row r="691">
          <cell r="F691">
            <v>37.520000000000003</v>
          </cell>
        </row>
        <row r="692">
          <cell r="F692">
            <v>37.520000000000003</v>
          </cell>
        </row>
        <row r="693">
          <cell r="F693">
            <v>39.090000000000003</v>
          </cell>
        </row>
        <row r="694">
          <cell r="F694">
            <v>39.090000000000003</v>
          </cell>
        </row>
        <row r="695">
          <cell r="F695">
            <v>39.090000000000003</v>
          </cell>
        </row>
        <row r="696">
          <cell r="F696">
            <v>37.4</v>
          </cell>
        </row>
        <row r="697">
          <cell r="F697">
            <v>39.840000000000003</v>
          </cell>
        </row>
        <row r="698">
          <cell r="F698">
            <v>45.34</v>
          </cell>
        </row>
        <row r="699">
          <cell r="F699">
            <v>45.34</v>
          </cell>
        </row>
        <row r="700">
          <cell r="F700">
            <v>45.34</v>
          </cell>
        </row>
        <row r="701">
          <cell r="F701">
            <v>36.020000000000003</v>
          </cell>
        </row>
        <row r="702">
          <cell r="F702">
            <v>36.020000000000003</v>
          </cell>
        </row>
        <row r="703">
          <cell r="F703">
            <v>36.020000000000003</v>
          </cell>
        </row>
        <row r="704">
          <cell r="F704">
            <v>36.020000000000003</v>
          </cell>
        </row>
        <row r="705">
          <cell r="F705">
            <v>36.020000000000003</v>
          </cell>
        </row>
        <row r="706">
          <cell r="F706">
            <v>36.020000000000003</v>
          </cell>
        </row>
        <row r="707">
          <cell r="F707">
            <v>36.020000000000003</v>
          </cell>
        </row>
        <row r="708">
          <cell r="F708">
            <v>36.020000000000003</v>
          </cell>
        </row>
        <row r="709">
          <cell r="F709">
            <v>36.020000000000003</v>
          </cell>
        </row>
        <row r="710">
          <cell r="F710">
            <v>36.020000000000003</v>
          </cell>
        </row>
        <row r="711">
          <cell r="F711">
            <v>36.020000000000003</v>
          </cell>
        </row>
        <row r="712">
          <cell r="F712">
            <v>36.020000000000003</v>
          </cell>
        </row>
        <row r="713">
          <cell r="F713">
            <v>39.090000000000003</v>
          </cell>
        </row>
        <row r="714">
          <cell r="F714">
            <v>39.090000000000003</v>
          </cell>
        </row>
        <row r="715">
          <cell r="F715">
            <v>39.090000000000003</v>
          </cell>
        </row>
        <row r="716">
          <cell r="F716">
            <v>36.020000000000003</v>
          </cell>
        </row>
        <row r="717">
          <cell r="F717">
            <v>36.020000000000003</v>
          </cell>
        </row>
        <row r="718">
          <cell r="F718">
            <v>36.020000000000003</v>
          </cell>
        </row>
        <row r="719">
          <cell r="F719">
            <v>39.090000000000003</v>
          </cell>
        </row>
        <row r="720">
          <cell r="F720">
            <v>39.090000000000003</v>
          </cell>
        </row>
        <row r="721">
          <cell r="F721">
            <v>39.090000000000003</v>
          </cell>
        </row>
        <row r="722">
          <cell r="F722">
            <v>39.090000000000003</v>
          </cell>
        </row>
        <row r="723">
          <cell r="F723">
            <v>39.090000000000003</v>
          </cell>
        </row>
        <row r="724">
          <cell r="F724">
            <v>36.74</v>
          </cell>
        </row>
        <row r="725">
          <cell r="F725">
            <v>36.74</v>
          </cell>
        </row>
        <row r="726">
          <cell r="F726">
            <v>36.74</v>
          </cell>
        </row>
        <row r="727">
          <cell r="F727">
            <v>36.74</v>
          </cell>
        </row>
        <row r="728">
          <cell r="F728">
            <v>36.74</v>
          </cell>
        </row>
        <row r="729">
          <cell r="F729">
            <v>37.520000000000003</v>
          </cell>
        </row>
        <row r="730">
          <cell r="F730">
            <v>37.520000000000003</v>
          </cell>
        </row>
        <row r="731">
          <cell r="F731">
            <v>37.520000000000003</v>
          </cell>
        </row>
        <row r="732">
          <cell r="F732">
            <v>37.520000000000003</v>
          </cell>
        </row>
        <row r="733">
          <cell r="F733">
            <v>37.520000000000003</v>
          </cell>
        </row>
        <row r="734">
          <cell r="F734">
            <v>37.520000000000003</v>
          </cell>
        </row>
        <row r="735">
          <cell r="F735">
            <v>37.520000000000003</v>
          </cell>
        </row>
        <row r="736">
          <cell r="F736">
            <v>37.520000000000003</v>
          </cell>
        </row>
        <row r="737">
          <cell r="F737">
            <v>37.520000000000003</v>
          </cell>
        </row>
        <row r="738">
          <cell r="F738">
            <v>37.520000000000003</v>
          </cell>
        </row>
        <row r="739">
          <cell r="F739">
            <v>37.520000000000003</v>
          </cell>
        </row>
        <row r="740">
          <cell r="F740">
            <v>37.520000000000003</v>
          </cell>
        </row>
        <row r="741">
          <cell r="F741">
            <v>37.520000000000003</v>
          </cell>
        </row>
        <row r="742">
          <cell r="F742">
            <v>37.520000000000003</v>
          </cell>
        </row>
        <row r="743">
          <cell r="F743">
            <v>37.520000000000003</v>
          </cell>
        </row>
        <row r="744">
          <cell r="F744">
            <v>37.520000000000003</v>
          </cell>
        </row>
        <row r="745">
          <cell r="F745">
            <v>37.520000000000003</v>
          </cell>
        </row>
        <row r="746">
          <cell r="F746">
            <v>37.520000000000003</v>
          </cell>
        </row>
        <row r="747">
          <cell r="F747">
            <v>37.520000000000003</v>
          </cell>
        </row>
        <row r="748">
          <cell r="F748">
            <v>39.090000000000003</v>
          </cell>
        </row>
        <row r="749">
          <cell r="F749">
            <v>39.090000000000003</v>
          </cell>
        </row>
        <row r="750">
          <cell r="F750">
            <v>46.91</v>
          </cell>
        </row>
        <row r="751">
          <cell r="F751">
            <v>46.91</v>
          </cell>
        </row>
        <row r="752">
          <cell r="F752">
            <v>46.91</v>
          </cell>
        </row>
        <row r="753">
          <cell r="F753">
            <v>46.91</v>
          </cell>
        </row>
        <row r="754">
          <cell r="F754">
            <v>46.91</v>
          </cell>
        </row>
        <row r="755">
          <cell r="F755">
            <v>46.91</v>
          </cell>
        </row>
        <row r="756">
          <cell r="F756">
            <v>46.91</v>
          </cell>
        </row>
        <row r="757">
          <cell r="F757">
            <v>48.78</v>
          </cell>
        </row>
        <row r="758">
          <cell r="F758">
            <v>37.520000000000003</v>
          </cell>
        </row>
        <row r="759">
          <cell r="F759">
            <v>37.520000000000003</v>
          </cell>
        </row>
        <row r="760">
          <cell r="F760">
            <v>37.520000000000003</v>
          </cell>
        </row>
        <row r="761">
          <cell r="F761">
            <v>37.520000000000003</v>
          </cell>
        </row>
        <row r="762">
          <cell r="F762">
            <v>37.520000000000003</v>
          </cell>
        </row>
        <row r="763">
          <cell r="F763">
            <v>37.520000000000003</v>
          </cell>
        </row>
        <row r="764">
          <cell r="F764">
            <v>37.520000000000003</v>
          </cell>
        </row>
        <row r="765">
          <cell r="F765">
            <v>37.520000000000003</v>
          </cell>
        </row>
        <row r="766">
          <cell r="F766">
            <v>37.520000000000003</v>
          </cell>
        </row>
        <row r="767">
          <cell r="F767">
            <v>37.520000000000003</v>
          </cell>
        </row>
        <row r="768">
          <cell r="F768">
            <v>37.520000000000003</v>
          </cell>
        </row>
        <row r="769">
          <cell r="F769">
            <v>39.090000000000003</v>
          </cell>
        </row>
        <row r="770">
          <cell r="F770">
            <v>39.090000000000003</v>
          </cell>
        </row>
        <row r="771">
          <cell r="F771">
            <v>39.090000000000003</v>
          </cell>
        </row>
        <row r="772">
          <cell r="F772">
            <v>39.090000000000003</v>
          </cell>
        </row>
        <row r="773">
          <cell r="F773">
            <v>39.090000000000003</v>
          </cell>
        </row>
        <row r="774">
          <cell r="F774">
            <v>39.090000000000003</v>
          </cell>
        </row>
        <row r="775">
          <cell r="F775">
            <v>39.090000000000003</v>
          </cell>
        </row>
        <row r="776">
          <cell r="F776">
            <v>39.090000000000003</v>
          </cell>
        </row>
        <row r="777">
          <cell r="F777">
            <v>39.090000000000003</v>
          </cell>
        </row>
        <row r="778">
          <cell r="F778">
            <v>36.74</v>
          </cell>
        </row>
        <row r="779">
          <cell r="F779">
            <v>36.74</v>
          </cell>
        </row>
        <row r="780">
          <cell r="F780">
            <v>36.74</v>
          </cell>
        </row>
        <row r="781">
          <cell r="F781">
            <v>36.74</v>
          </cell>
        </row>
        <row r="782">
          <cell r="F782">
            <v>36.74</v>
          </cell>
        </row>
        <row r="783">
          <cell r="F783">
            <v>36.74</v>
          </cell>
        </row>
        <row r="784">
          <cell r="F784">
            <v>36.74</v>
          </cell>
        </row>
        <row r="785">
          <cell r="F785">
            <v>36.74</v>
          </cell>
        </row>
        <row r="786">
          <cell r="F786">
            <v>36.74</v>
          </cell>
        </row>
        <row r="787">
          <cell r="F787">
            <v>39.090000000000003</v>
          </cell>
        </row>
        <row r="788">
          <cell r="F788">
            <v>39.090000000000003</v>
          </cell>
        </row>
        <row r="789">
          <cell r="F789">
            <v>39.090000000000003</v>
          </cell>
        </row>
        <row r="790">
          <cell r="F790">
            <v>39.090000000000003</v>
          </cell>
        </row>
        <row r="791">
          <cell r="F791">
            <v>39.090000000000003</v>
          </cell>
        </row>
        <row r="792">
          <cell r="F792">
            <v>39.090000000000003</v>
          </cell>
        </row>
        <row r="793">
          <cell r="F793">
            <v>39.090000000000003</v>
          </cell>
        </row>
        <row r="794">
          <cell r="F794">
            <v>36.74</v>
          </cell>
        </row>
        <row r="795">
          <cell r="F795">
            <v>36.74</v>
          </cell>
        </row>
        <row r="796">
          <cell r="F796">
            <v>36.770000000000003</v>
          </cell>
        </row>
        <row r="797">
          <cell r="F797">
            <v>36.770000000000003</v>
          </cell>
        </row>
        <row r="798">
          <cell r="F798">
            <v>36.770000000000003</v>
          </cell>
        </row>
        <row r="799">
          <cell r="F799">
            <v>40.65</v>
          </cell>
        </row>
        <row r="800">
          <cell r="F800">
            <v>37.520000000000003</v>
          </cell>
        </row>
        <row r="801">
          <cell r="F801">
            <v>37.520000000000003</v>
          </cell>
        </row>
        <row r="802">
          <cell r="F802">
            <v>37.520000000000003</v>
          </cell>
        </row>
        <row r="803">
          <cell r="F803">
            <v>37.520000000000003</v>
          </cell>
        </row>
        <row r="804">
          <cell r="F804">
            <v>37.520000000000003</v>
          </cell>
        </row>
        <row r="805">
          <cell r="F805">
            <v>37.520000000000003</v>
          </cell>
        </row>
        <row r="806">
          <cell r="F806">
            <v>37.520000000000003</v>
          </cell>
        </row>
        <row r="807">
          <cell r="F807">
            <v>37.520000000000003</v>
          </cell>
        </row>
        <row r="808">
          <cell r="F808">
            <v>36.020000000000003</v>
          </cell>
        </row>
        <row r="809">
          <cell r="F809">
            <v>36.020000000000003</v>
          </cell>
        </row>
        <row r="810">
          <cell r="F810">
            <v>36.020000000000003</v>
          </cell>
        </row>
        <row r="811">
          <cell r="F811">
            <v>36.020000000000003</v>
          </cell>
        </row>
        <row r="812">
          <cell r="F812">
            <v>36.020000000000003</v>
          </cell>
        </row>
        <row r="813">
          <cell r="F813">
            <v>36.020000000000003</v>
          </cell>
        </row>
        <row r="814">
          <cell r="F814">
            <v>36.020000000000003</v>
          </cell>
        </row>
        <row r="815">
          <cell r="F815">
            <v>39.090000000000003</v>
          </cell>
        </row>
        <row r="816">
          <cell r="F816">
            <v>39.090000000000003</v>
          </cell>
        </row>
        <row r="817">
          <cell r="F817">
            <v>39.090000000000003</v>
          </cell>
        </row>
        <row r="818">
          <cell r="F818">
            <v>36.020000000000003</v>
          </cell>
        </row>
        <row r="819">
          <cell r="F819">
            <v>36.020000000000003</v>
          </cell>
        </row>
        <row r="820">
          <cell r="F820">
            <v>36.020000000000003</v>
          </cell>
        </row>
        <row r="821">
          <cell r="F821">
            <v>39.090000000000003</v>
          </cell>
        </row>
        <row r="822">
          <cell r="F822">
            <v>39.090000000000003</v>
          </cell>
        </row>
        <row r="823">
          <cell r="F823">
            <v>39.090000000000003</v>
          </cell>
        </row>
        <row r="824">
          <cell r="F824">
            <v>39.090000000000003</v>
          </cell>
        </row>
        <row r="825">
          <cell r="F825">
            <v>39.090000000000003</v>
          </cell>
        </row>
        <row r="826">
          <cell r="F826">
            <v>39.090000000000003</v>
          </cell>
        </row>
        <row r="827">
          <cell r="F827">
            <v>36.74</v>
          </cell>
        </row>
        <row r="828">
          <cell r="F828">
            <v>36.74</v>
          </cell>
        </row>
        <row r="829">
          <cell r="F829">
            <v>36.74</v>
          </cell>
        </row>
        <row r="830">
          <cell r="F830">
            <v>36.74</v>
          </cell>
        </row>
        <row r="831">
          <cell r="F831">
            <v>36.74</v>
          </cell>
        </row>
        <row r="832">
          <cell r="F832">
            <v>36.74</v>
          </cell>
        </row>
        <row r="833">
          <cell r="F833">
            <v>39.090000000000003</v>
          </cell>
        </row>
        <row r="834">
          <cell r="F834">
            <v>39.090000000000003</v>
          </cell>
        </row>
        <row r="835">
          <cell r="F835">
            <v>39.090000000000003</v>
          </cell>
        </row>
        <row r="836">
          <cell r="F836">
            <v>39.090000000000003</v>
          </cell>
        </row>
        <row r="837">
          <cell r="F837">
            <v>39.090000000000003</v>
          </cell>
        </row>
        <row r="838">
          <cell r="F838">
            <v>39.090000000000003</v>
          </cell>
        </row>
        <row r="839">
          <cell r="F839">
            <v>39.090000000000003</v>
          </cell>
        </row>
        <row r="840">
          <cell r="F840">
            <v>39.090000000000003</v>
          </cell>
        </row>
        <row r="841">
          <cell r="F841">
            <v>39.090000000000003</v>
          </cell>
        </row>
        <row r="842">
          <cell r="F842">
            <v>39.090000000000003</v>
          </cell>
        </row>
        <row r="843">
          <cell r="F843">
            <v>39.090000000000003</v>
          </cell>
        </row>
        <row r="844">
          <cell r="F844">
            <v>39.090000000000003</v>
          </cell>
        </row>
        <row r="845">
          <cell r="F845">
            <v>36.74</v>
          </cell>
        </row>
        <row r="846">
          <cell r="F846">
            <v>36.74</v>
          </cell>
        </row>
        <row r="847">
          <cell r="F847">
            <v>36.74</v>
          </cell>
        </row>
        <row r="848">
          <cell r="F848">
            <v>36.74</v>
          </cell>
        </row>
        <row r="849">
          <cell r="F849">
            <v>36.74</v>
          </cell>
        </row>
        <row r="850">
          <cell r="F850">
            <v>36.74</v>
          </cell>
        </row>
        <row r="851">
          <cell r="F851">
            <v>36.74</v>
          </cell>
        </row>
        <row r="852">
          <cell r="F852">
            <v>36.74</v>
          </cell>
        </row>
        <row r="853">
          <cell r="F853">
            <v>39.090000000000003</v>
          </cell>
        </row>
        <row r="854">
          <cell r="F854">
            <v>39.090000000000003</v>
          </cell>
        </row>
        <row r="855">
          <cell r="F855">
            <v>39.090000000000003</v>
          </cell>
        </row>
        <row r="856">
          <cell r="F856">
            <v>39.090000000000003</v>
          </cell>
        </row>
        <row r="857">
          <cell r="F857">
            <v>39.090000000000003</v>
          </cell>
        </row>
        <row r="858">
          <cell r="F858">
            <v>32.83</v>
          </cell>
        </row>
        <row r="859">
          <cell r="F859">
            <v>39.090000000000003</v>
          </cell>
        </row>
        <row r="860">
          <cell r="F860">
            <v>37.520000000000003</v>
          </cell>
        </row>
        <row r="861">
          <cell r="F861">
            <v>37.520000000000003</v>
          </cell>
        </row>
        <row r="862">
          <cell r="F862">
            <v>37.520000000000003</v>
          </cell>
        </row>
        <row r="863">
          <cell r="F863">
            <v>37.520000000000003</v>
          </cell>
        </row>
        <row r="864">
          <cell r="F864">
            <v>37.520000000000003</v>
          </cell>
        </row>
        <row r="865">
          <cell r="F865">
            <v>37.520000000000003</v>
          </cell>
        </row>
        <row r="866">
          <cell r="F866">
            <v>32.270000000000003</v>
          </cell>
        </row>
        <row r="867">
          <cell r="F867">
            <v>32.270000000000003</v>
          </cell>
        </row>
        <row r="868">
          <cell r="F868">
            <v>32.270000000000003</v>
          </cell>
        </row>
        <row r="869">
          <cell r="F869">
            <v>39.090000000000003</v>
          </cell>
        </row>
        <row r="870">
          <cell r="F870">
            <v>38.31</v>
          </cell>
        </row>
        <row r="871">
          <cell r="F871">
            <v>39.090000000000003</v>
          </cell>
        </row>
        <row r="872">
          <cell r="F872">
            <v>39.090000000000003</v>
          </cell>
        </row>
        <row r="873">
          <cell r="F873">
            <v>36.74</v>
          </cell>
        </row>
        <row r="874">
          <cell r="F874">
            <v>36.74</v>
          </cell>
        </row>
        <row r="875">
          <cell r="F875">
            <v>36.74</v>
          </cell>
        </row>
        <row r="876">
          <cell r="F876">
            <v>36.74</v>
          </cell>
        </row>
        <row r="877">
          <cell r="F877">
            <v>39.090000000000003</v>
          </cell>
        </row>
        <row r="878">
          <cell r="F878">
            <v>39.090000000000003</v>
          </cell>
        </row>
        <row r="879">
          <cell r="F879">
            <v>39.090000000000003</v>
          </cell>
        </row>
        <row r="880">
          <cell r="F880">
            <v>39.090000000000003</v>
          </cell>
        </row>
        <row r="881">
          <cell r="F881">
            <v>39.090000000000003</v>
          </cell>
        </row>
        <row r="882">
          <cell r="F882">
            <v>39.090000000000003</v>
          </cell>
        </row>
        <row r="883">
          <cell r="F883">
            <v>36.74</v>
          </cell>
        </row>
        <row r="884">
          <cell r="F884">
            <v>36.74</v>
          </cell>
        </row>
        <row r="885">
          <cell r="F885">
            <v>36.74</v>
          </cell>
        </row>
        <row r="886">
          <cell r="F886">
            <v>36.74</v>
          </cell>
        </row>
        <row r="887">
          <cell r="F887">
            <v>36.74</v>
          </cell>
        </row>
        <row r="888">
          <cell r="F888">
            <v>36.74</v>
          </cell>
        </row>
        <row r="889">
          <cell r="F889">
            <v>39.090000000000003</v>
          </cell>
        </row>
        <row r="890">
          <cell r="F890">
            <v>39.090000000000003</v>
          </cell>
        </row>
        <row r="891">
          <cell r="F891">
            <v>39.090000000000003</v>
          </cell>
        </row>
        <row r="892">
          <cell r="F892">
            <v>39.090000000000003</v>
          </cell>
        </row>
        <row r="893">
          <cell r="F893">
            <v>39.090000000000003</v>
          </cell>
        </row>
        <row r="894">
          <cell r="F894">
            <v>39.090000000000003</v>
          </cell>
        </row>
        <row r="895">
          <cell r="F895">
            <v>39.090000000000003</v>
          </cell>
        </row>
        <row r="896">
          <cell r="F896">
            <v>39.090000000000003</v>
          </cell>
        </row>
        <row r="897">
          <cell r="F897">
            <v>36.74</v>
          </cell>
        </row>
        <row r="898">
          <cell r="F898">
            <v>36.74</v>
          </cell>
        </row>
        <row r="899">
          <cell r="F899">
            <v>36.74</v>
          </cell>
        </row>
        <row r="900">
          <cell r="F900">
            <v>37.520000000000003</v>
          </cell>
        </row>
        <row r="901">
          <cell r="F901">
            <v>37.520000000000003</v>
          </cell>
        </row>
        <row r="902">
          <cell r="F902">
            <v>39.090000000000003</v>
          </cell>
        </row>
        <row r="903">
          <cell r="F903">
            <v>39.090000000000003</v>
          </cell>
        </row>
      </sheetData>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估价对象为北京市房地产，为所有。根据《国有土地使用证》[]，估价对象（分摊）出让国有建设用地使用权面积为6976.24平方米，建筑面积为32206.8900000002平方米。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估价对象为北京市房地产,属开发建设的，该项目尚在开发建设中。根据《国有土地使用证》[]，估价对象（分摊）出让国有建设用地使用权面积为6976.24平方米，规划建筑面积为32206.8900000002平方米。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2022年5月17日</v>
      </c>
    </row>
    <row r="13" spans="1:2" s="1317" customFormat="1">
      <c r="A13" s="1315" t="s">
        <v>954</v>
      </c>
      <c r="B13" s="1316" t="str">
        <f>'预评函-1'!A18</f>
        <v>本次估价的“房地产价值”是指在正常市场情况下，在价值时点2022年5月17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 thickBot="1">
      <c r="A18" s="1318" t="s">
        <v>959</v>
      </c>
      <c r="B18" s="1319" t="str">
        <f>'预评函-1'!A24</f>
        <v>本次评估采用的主估价方法为基准地价系数修正法和基准地价系数修正法。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18313</v>
      </c>
    </row>
    <row r="21" spans="1:2" s="1317" customFormat="1">
      <c r="A21" s="1315" t="s">
        <v>962</v>
      </c>
      <c r="B21" s="1316">
        <f ca="1">'预评函-2'!D7</f>
        <v>5686</v>
      </c>
    </row>
    <row r="22" spans="1:2" s="1317" customFormat="1">
      <c r="A22" s="1315" t="s">
        <v>963</v>
      </c>
      <c r="B22" s="1316" t="str">
        <f ca="1">'预评函-2'!D6</f>
        <v>壹亿捌仟叁佰壹拾叁万元整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18313</v>
      </c>
    </row>
    <row r="31" spans="1:2" s="1317" customFormat="1">
      <c r="A31" s="1315" t="s">
        <v>1001</v>
      </c>
      <c r="B31" s="1316">
        <f ca="1">'预评函-2'!D15</f>
        <v>5686</v>
      </c>
    </row>
    <row r="32" spans="1:2" s="1317" customFormat="1">
      <c r="A32" s="1315" t="s">
        <v>968</v>
      </c>
      <c r="B32" s="1316" t="str">
        <f ca="1">'预评函-2'!D14</f>
        <v>壹亿捌仟叁佰壹拾叁万元整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32206.890000000196</v>
      </c>
    </row>
    <row r="44" spans="1:2" s="1317" customFormat="1">
      <c r="A44" s="1315" t="s">
        <v>1000</v>
      </c>
      <c r="B44" s="1316" t="str">
        <f>'预评函-3'!C2</f>
        <v>(分摊)土地面积</v>
      </c>
    </row>
    <row r="45" spans="1:2" s="1317" customFormat="1">
      <c r="A45" s="1315" t="s">
        <v>972</v>
      </c>
      <c r="B45" s="1316">
        <f>'预评函-3'!C4</f>
        <v>6976.24</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01"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1"/>
      <c r="B54" s="1689" t="s">
        <v>651</v>
      </c>
      <c r="C54" s="1686" t="s">
        <v>1008</v>
      </c>
    </row>
    <row r="55" spans="1:4">
      <c r="A55" s="3301"/>
      <c r="B55" s="1689" t="s">
        <v>652</v>
      </c>
      <c r="C55" s="1686" t="s">
        <v>1009</v>
      </c>
    </row>
    <row r="56" spans="1:4">
      <c r="A56" s="3301"/>
      <c r="B56" s="1689" t="s">
        <v>653</v>
      </c>
      <c r="C56" s="1686" t="s">
        <v>1013</v>
      </c>
    </row>
    <row r="57" spans="1:4">
      <c r="A57" s="3301"/>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2" sqref="H22"/>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302" t="str">
        <f>IF(B10="北京市","北京市",C10)&amp;F10&amp;IF(结果表!G1="在建","出让国有建设用地使用权及在建建筑物",IF(结果表!G1="土地","出让国有建设用地使用权",))&amp;B9&amp;"预评估"</f>
        <v>北京市房地产抵押价值预评估</v>
      </c>
      <c r="C1" s="3303"/>
      <c r="D1" s="3303"/>
      <c r="E1" s="3303"/>
      <c r="F1" s="3303"/>
      <c r="G1" s="3303"/>
      <c r="H1" s="3303"/>
      <c r="I1" s="3304"/>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7" t="s">
        <v>2670</v>
      </c>
      <c r="B3" s="2546"/>
      <c r="C3" s="2547" t="s">
        <v>2671</v>
      </c>
      <c r="D3" s="2546">
        <v>44698</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4087</v>
      </c>
      <c r="C8" s="2563"/>
      <c r="D8" s="3305" t="s">
        <v>2677</v>
      </c>
      <c r="E8" s="2564" t="s">
        <v>4088</v>
      </c>
      <c r="F8" s="2565"/>
      <c r="G8" s="2839"/>
      <c r="H8" s="2839"/>
      <c r="I8" s="2839"/>
      <c r="J8" s="2614"/>
      <c r="K8" s="2789"/>
      <c r="L8" s="2788"/>
      <c r="M8" s="2788"/>
      <c r="N8" s="2614"/>
      <c r="O8" s="2625"/>
      <c r="P8" s="2614"/>
      <c r="Q8" s="2614"/>
      <c r="R8" s="2614"/>
    </row>
    <row r="9" spans="1:28" ht="13.5" thickBot="1">
      <c r="A9" s="2566" t="s">
        <v>2678</v>
      </c>
      <c r="B9" s="2567" t="s">
        <v>4088</v>
      </c>
      <c r="C9" s="2568"/>
      <c r="D9" s="3306"/>
      <c r="E9" s="2567" t="s">
        <v>70</v>
      </c>
      <c r="F9" s="2569"/>
      <c r="G9" s="2841"/>
      <c r="H9" s="2841"/>
      <c r="I9" s="2841"/>
      <c r="J9" s="2614"/>
      <c r="K9" s="2791"/>
      <c r="L9" s="2788"/>
      <c r="M9" s="2788"/>
      <c r="N9" s="2614"/>
      <c r="O9" s="2625"/>
      <c r="P9" s="2614"/>
      <c r="Q9" s="2614"/>
      <c r="R9" s="2614"/>
    </row>
    <row r="10" spans="1:28" ht="13.5" thickTop="1">
      <c r="A10" s="2570" t="s">
        <v>2679</v>
      </c>
      <c r="B10" s="2571" t="s">
        <v>4089</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t="s">
        <v>4090</v>
      </c>
      <c r="C11" s="2576"/>
      <c r="D11" s="2577"/>
      <c r="E11" s="2543"/>
      <c r="F11" s="2543"/>
      <c r="G11" s="2543"/>
      <c r="H11" s="2543"/>
      <c r="I11" s="2543"/>
      <c r="J11" s="2614"/>
      <c r="K11" s="2791"/>
      <c r="L11" s="2788"/>
      <c r="M11" s="2788"/>
      <c r="N11" s="2614"/>
      <c r="O11" s="2625"/>
      <c r="P11" s="2614"/>
      <c r="Q11" s="2614"/>
      <c r="R11" s="2614"/>
    </row>
    <row r="12" spans="1:28">
      <c r="A12" s="2578" t="s">
        <v>2682</v>
      </c>
      <c r="B12" s="2575" t="s">
        <v>4091</v>
      </c>
      <c r="C12" s="328"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3"/>
      <c r="B13" s="2580"/>
      <c r="C13" s="2581" t="s">
        <v>2690</v>
      </c>
      <c r="D13" s="945"/>
      <c r="E13" s="945"/>
      <c r="F13" s="945"/>
      <c r="G13" s="945">
        <v>56354</v>
      </c>
      <c r="H13" s="945"/>
      <c r="I13" s="945"/>
      <c r="J13" s="2614"/>
      <c r="K13" s="2791"/>
      <c r="L13" s="2788"/>
      <c r="M13" s="2788"/>
      <c r="N13" s="2614"/>
      <c r="O13" s="2625"/>
      <c r="P13" s="2614"/>
      <c r="Q13" s="2614"/>
      <c r="R13" s="2614"/>
    </row>
    <row r="14" spans="1:28">
      <c r="A14" s="1193"/>
      <c r="B14" s="2580"/>
      <c r="C14" s="2581" t="s">
        <v>2691</v>
      </c>
      <c r="D14" s="2582"/>
      <c r="E14" s="2582"/>
      <c r="F14" s="2582"/>
      <c r="G14" s="2582">
        <v>50</v>
      </c>
      <c r="H14" s="2582"/>
      <c r="I14" s="2582"/>
      <c r="J14" s="2614"/>
      <c r="K14" s="2792"/>
      <c r="L14" s="2788"/>
      <c r="M14" s="2788"/>
      <c r="N14" s="2614"/>
      <c r="O14" s="2625"/>
      <c r="P14" s="2614"/>
      <c r="Q14" s="2614"/>
      <c r="R14" s="2614"/>
    </row>
    <row r="15" spans="1:28">
      <c r="A15" s="325"/>
      <c r="B15" s="2583"/>
      <c r="C15" s="2584" t="s">
        <v>2692</v>
      </c>
      <c r="D15" s="2585" t="str">
        <f>IF(B12="出让",IF(D13="","",ROUNDDOWN(MIN((D13-$D$3)/365,D14),2)),D14)</f>
        <v/>
      </c>
      <c r="E15" s="2585" t="str">
        <f>IF(B12="出让",IF(E13="","",ROUNDDOWN(MIN((E13-$D$3)/365,E14),2)),E14)</f>
        <v/>
      </c>
      <c r="F15" s="2585" t="str">
        <f>IF(B12="出让",IF(F13="","",ROUNDDOWN(MIN((F13-$D$3)/365,F14),2)),F14)</f>
        <v/>
      </c>
      <c r="G15" s="2585">
        <f>IF(B12="出让",IF(G13="","",ROUNDDOWN(MIN((G13-$D$3)/365,G14),2)),G14)</f>
        <v>31.93</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312"/>
      <c r="C16" s="3313"/>
      <c r="D16" s="3314"/>
      <c r="E16" s="2588" t="s">
        <v>2694</v>
      </c>
      <c r="F16" s="3315"/>
      <c r="G16" s="3316"/>
      <c r="H16" s="3316"/>
      <c r="I16" s="3317"/>
      <c r="J16" s="2614"/>
      <c r="K16" s="2793"/>
      <c r="L16" s="2626"/>
      <c r="M16" s="2626"/>
      <c r="N16" s="2684"/>
      <c r="O16" s="2626"/>
      <c r="P16" s="2684"/>
      <c r="Q16" s="2614"/>
      <c r="R16" s="2614"/>
    </row>
    <row r="17" spans="1:28">
      <c r="A17" s="318" t="s">
        <v>2695</v>
      </c>
      <c r="B17" s="307" t="s">
        <v>2696</v>
      </c>
      <c r="C17" s="11">
        <f>'数据-汇总表'!E3</f>
        <v>32206.890000000196</v>
      </c>
      <c r="D17" s="2495" t="s">
        <v>2697</v>
      </c>
      <c r="E17" s="3318" t="s">
        <v>2698</v>
      </c>
      <c r="F17" s="3319"/>
      <c r="G17" s="3319"/>
      <c r="H17" s="3319"/>
      <c r="I17" s="3320"/>
      <c r="J17" s="2614"/>
      <c r="K17" s="2794"/>
      <c r="L17" s="2626"/>
      <c r="M17" s="2626"/>
      <c r="N17" s="2684"/>
      <c r="O17" s="2626"/>
      <c r="P17" s="2684"/>
      <c r="Q17" s="2614"/>
      <c r="R17" s="2614"/>
      <c r="S17" s="2614"/>
      <c r="T17" s="2614"/>
      <c r="U17" s="2614"/>
      <c r="V17" s="2614"/>
    </row>
    <row r="18" spans="1:28" ht="24.75" thickBot="1">
      <c r="A18" s="2589" t="s">
        <v>2699</v>
      </c>
      <c r="B18" s="1202" t="s">
        <v>2700</v>
      </c>
      <c r="C18" s="2590">
        <f>'数据-汇总表'!D3</f>
        <v>6976.24</v>
      </c>
      <c r="D18" s="1204" t="s">
        <v>2701</v>
      </c>
      <c r="E18" s="3321" t="s">
        <v>2702</v>
      </c>
      <c r="F18" s="3322"/>
      <c r="G18" s="3322"/>
      <c r="H18" s="3322"/>
      <c r="I18" s="3323"/>
      <c r="J18" s="2614"/>
      <c r="K18" s="2794"/>
      <c r="L18" s="2626"/>
      <c r="M18" s="2626"/>
      <c r="N18" s="2684"/>
      <c r="O18" s="2626"/>
      <c r="P18" s="2684"/>
      <c r="Q18" s="2614"/>
      <c r="R18" s="2614"/>
      <c r="S18" s="2614"/>
      <c r="T18" s="2614"/>
      <c r="U18" s="2614"/>
      <c r="V18" s="2614"/>
    </row>
    <row r="19" spans="1:28" ht="37.5" thickTop="1" thickBot="1">
      <c r="A19" s="332" t="s">
        <v>1500</v>
      </c>
      <c r="B19" s="312"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308" t="s">
        <v>2706</v>
      </c>
      <c r="C20" s="3309"/>
      <c r="D20" s="3310" t="s">
        <v>2707</v>
      </c>
      <c r="E20" s="3311"/>
      <c r="F20" s="2823" t="s">
        <v>1501</v>
      </c>
      <c r="G20" s="2840"/>
      <c r="H20" s="2840"/>
      <c r="I20" s="2840"/>
      <c r="J20" s="2614"/>
      <c r="K20" s="3307"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3" t="s">
        <v>2710</v>
      </c>
      <c r="E21" s="2811" t="s">
        <v>1502</v>
      </c>
      <c r="F21" s="2824"/>
      <c r="G21" s="2840"/>
      <c r="H21" s="2840"/>
      <c r="I21" s="2840"/>
      <c r="J21" s="2614"/>
      <c r="K21" s="330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307"/>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25" t="s">
        <v>2714</v>
      </c>
      <c r="B27" s="325"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25"/>
      <c r="B28" s="307"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25"/>
      <c r="B29" s="307"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26"/>
      <c r="B30" s="307" t="s">
        <v>2718</v>
      </c>
      <c r="C30" s="3327"/>
      <c r="D30" s="3328"/>
      <c r="E30" s="2840"/>
      <c r="F30" s="2840"/>
      <c r="G30" s="2840"/>
      <c r="H30" s="2840"/>
      <c r="I30" s="2840"/>
      <c r="J30" s="2614"/>
      <c r="K30" s="2791"/>
      <c r="L30" s="2788"/>
      <c r="M30" s="2788"/>
      <c r="N30" s="2614"/>
      <c r="O30" s="2625"/>
      <c r="P30" s="2614"/>
      <c r="Q30" s="2614"/>
      <c r="R30" s="2614"/>
      <c r="S30" s="2614"/>
      <c r="T30" s="2614"/>
      <c r="U30" s="2614"/>
      <c r="V30" s="2614"/>
    </row>
    <row r="31" spans="1:28">
      <c r="A31" s="3329"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30"/>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30"/>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7" t="s">
        <v>2720</v>
      </c>
      <c r="B34" s="2164"/>
      <c r="C34" s="2164"/>
      <c r="D34" s="2164"/>
      <c r="E34" s="2164"/>
      <c r="F34" s="2164"/>
      <c r="G34" s="2164"/>
      <c r="H34" s="2164"/>
      <c r="I34" s="2840"/>
      <c r="J34" s="2614"/>
      <c r="K34" s="2602">
        <f>COUNTIF(B34:H34,"——")</f>
        <v>0</v>
      </c>
      <c r="L34" s="328" t="s">
        <v>2721</v>
      </c>
      <c r="M34" s="328" t="s">
        <v>2722</v>
      </c>
      <c r="N34" s="328" t="s">
        <v>2723</v>
      </c>
      <c r="O34" s="328" t="s">
        <v>2724</v>
      </c>
      <c r="P34" s="328" t="s">
        <v>2725</v>
      </c>
      <c r="Q34" s="328" t="s">
        <v>2726</v>
      </c>
      <c r="R34" s="328" t="s">
        <v>2727</v>
      </c>
      <c r="S34" s="3324" t="s">
        <v>2728</v>
      </c>
      <c r="T34" s="2603" t="str">
        <f>NUMBERSTRING(7-K34,1)&amp;"通"</f>
        <v>七通</v>
      </c>
      <c r="U34" s="2614"/>
      <c r="V34" s="2614"/>
    </row>
    <row r="35" spans="1:30">
      <c r="A35" s="2604"/>
      <c r="B35" s="3331" t="s">
        <v>2729</v>
      </c>
      <c r="C35" s="3331"/>
      <c r="D35" s="3331"/>
      <c r="E35" s="3331"/>
      <c r="F35" s="672">
        <f>C10</f>
        <v>0</v>
      </c>
      <c r="G35" s="2840"/>
      <c r="H35" s="2840"/>
      <c r="I35" s="2840"/>
      <c r="J35" s="261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24"/>
      <c r="T35" s="334" t="str">
        <f>IF(T34="一通",L35,IF(T34="二通",M35,IF(T34="三通",N35,IF(T34="四通",O35,IF(T34="五通",P35,IF(T34="六通",Q35,R35))))))</f>
        <v>、、、、、、</v>
      </c>
      <c r="U35" s="2614"/>
      <c r="V35" s="2614"/>
    </row>
    <row r="36" spans="1:30">
      <c r="A36" s="2605"/>
      <c r="B36" s="672" t="s">
        <v>2685</v>
      </c>
      <c r="C36" s="672" t="s">
        <v>2686</v>
      </c>
      <c r="D36" s="672" t="s">
        <v>2684</v>
      </c>
      <c r="E36" s="672"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8"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f>Sheet1!L5</f>
        <v>6976.24</v>
      </c>
      <c r="B3" s="14">
        <f>IF(C3="否",G5-AT5,G5)</f>
        <v>32206.890000000196</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32206.890000000196</v>
      </c>
      <c r="H5" s="16">
        <f t="shared" ref="H5:AT5" si="0">SUM(H13:H656)</f>
        <v>32206.890000000196</v>
      </c>
      <c r="I5" s="16">
        <f t="shared" si="0"/>
        <v>32206.890000000196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32206.890000000196</v>
      </c>
      <c r="BA5" s="18">
        <f t="shared" si="1"/>
        <v>32206.890000000196</v>
      </c>
      <c r="BB5" s="18">
        <f t="shared" si="1"/>
        <v>32206.890000000196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6976.24</v>
      </c>
      <c r="F6" s="16" t="s">
        <v>1</v>
      </c>
      <c r="G6" s="16" t="s">
        <v>2</v>
      </c>
      <c r="H6" s="20">
        <f>SUMIF(I$12:AB$12,"总值",I6:AB6)</f>
        <v>6976.24</v>
      </c>
      <c r="I6" s="16">
        <f t="shared" ref="I6:AB6" si="2">ROUND($A$3*I5/$B$3,2)</f>
        <v>6976.24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6976.24</v>
      </c>
      <c r="AZ6" s="16" t="s">
        <v>3</v>
      </c>
      <c r="BA6" s="16">
        <f>ROUND($AY$6*BA5/$AZ$5,2)</f>
        <v>6976.24</v>
      </c>
      <c r="BB6" s="16">
        <f>ROUND($AY$6*BB5/$AZ$5,2)</f>
        <v>6976.24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4102</v>
      </c>
      <c r="J9" s="898"/>
      <c r="K9" s="1738"/>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4100</v>
      </c>
      <c r="J10" s="898"/>
      <c r="K10" s="1744"/>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地下</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车库</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c r="D13" s="1760" t="s">
        <v>4099</v>
      </c>
      <c r="E13" s="16">
        <f>IF($C$3="是",ROUND($A$3*G13/$B$3,2),ROUND($A$3*(G13-AT13)/$B$3,2))</f>
        <v>7.35</v>
      </c>
      <c r="F13" s="32"/>
      <c r="G13" s="33">
        <f>H13+AC13+AT13</f>
        <v>33.93</v>
      </c>
      <c r="H13" s="20">
        <f>SUMIF(I$12:AB$12,"总值",I13:AB13)</f>
        <v>33.93</v>
      </c>
      <c r="I13" s="1761">
        <f>Sheet1!F2</f>
        <v>33.93</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7.35</v>
      </c>
      <c r="AZ13" s="16">
        <f>BA13+BL13</f>
        <v>33.93</v>
      </c>
      <c r="BA13" s="16">
        <f>SUM(BB13:BK13)</f>
        <v>33.93</v>
      </c>
      <c r="BB13" s="16">
        <f>IF($D13="是",I13-J13,0)</f>
        <v>33.93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t="s">
        <v>4099</v>
      </c>
      <c r="E14" s="16">
        <f>IF($C$3="是",ROUND($A$3*G14/$B$3,2),ROUND($A$3*(G14-AT14)/$B$3,2))</f>
        <v>6968.89</v>
      </c>
      <c r="F14" s="32"/>
      <c r="G14" s="33">
        <f>H14+AC14+AT14</f>
        <v>32172.960000000196</v>
      </c>
      <c r="H14" s="20">
        <f>SUMIF(I$12:AB$12,"总值",I14:AB14)</f>
        <v>32172.960000000196</v>
      </c>
      <c r="I14" s="1761">
        <f>Sheet1!J5+Sheet1!J4-Sheet1!F2</f>
        <v>32172.960000000196</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6968.89</v>
      </c>
      <c r="AZ14" s="16">
        <f>BA14+BL14</f>
        <v>32172.960000000196</v>
      </c>
      <c r="BA14" s="16">
        <f>SUM(BB14:BK14)</f>
        <v>32172.960000000196</v>
      </c>
      <c r="BB14" s="16">
        <f>IF($D14="是",I14-J14,0)</f>
        <v>32172.960000000196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2" t="s">
        <v>0</v>
      </c>
      <c r="B1" s="3332" t="s">
        <v>4</v>
      </c>
      <c r="C1" s="3332" t="s">
        <v>5</v>
      </c>
      <c r="D1" s="3333" t="s">
        <v>53</v>
      </c>
      <c r="E1" s="3333" t="s">
        <v>54</v>
      </c>
      <c r="F1" s="3333"/>
      <c r="G1" s="3333"/>
      <c r="H1" s="3333"/>
      <c r="I1" s="3333"/>
      <c r="J1" s="3333"/>
      <c r="K1" s="3333"/>
      <c r="L1" s="3333"/>
      <c r="M1" s="3333"/>
    </row>
    <row r="2" spans="1:13" ht="27" customHeight="1">
      <c r="A2" s="3332"/>
      <c r="B2" s="3332"/>
      <c r="C2" s="3332"/>
      <c r="D2" s="3333"/>
      <c r="E2" s="3333" t="s">
        <v>37</v>
      </c>
      <c r="F2" s="3333" t="s">
        <v>38</v>
      </c>
      <c r="G2" s="3333"/>
      <c r="H2" s="3333"/>
      <c r="I2" s="3333"/>
      <c r="J2" s="3333" t="s">
        <v>39</v>
      </c>
      <c r="K2" s="3333"/>
      <c r="L2" s="3333"/>
      <c r="M2" s="3333"/>
    </row>
    <row r="3" spans="1:13" ht="28.5">
      <c r="A3" s="3332"/>
      <c r="B3" s="3332"/>
      <c r="C3" s="3332"/>
      <c r="D3" s="3333"/>
      <c r="E3" s="33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3" t="s">
        <v>55</v>
      </c>
      <c r="B9" s="3333"/>
      <c r="C9" s="33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43" t="s">
        <v>1576</v>
      </c>
      <c r="B2" s="3343"/>
      <c r="C2" s="3343"/>
      <c r="D2" s="884" t="s">
        <v>1552</v>
      </c>
      <c r="E2" s="1774" t="s">
        <v>1553</v>
      </c>
      <c r="F2" s="2835"/>
      <c r="G2" s="2826"/>
      <c r="H2" s="2827"/>
      <c r="I2" s="2498" t="s">
        <v>1577</v>
      </c>
      <c r="J2" s="2835"/>
      <c r="K2" s="2835"/>
      <c r="L2" s="2835"/>
      <c r="M2" s="2835"/>
      <c r="N2" s="2837"/>
      <c r="O2" s="2835"/>
      <c r="P2" s="2835"/>
    </row>
    <row r="3" spans="1:16" ht="15.75" thickBot="1">
      <c r="A3" s="3344" t="s">
        <v>1550</v>
      </c>
      <c r="B3" s="3344"/>
      <c r="C3" s="3344"/>
      <c r="D3" s="46">
        <f>'数据-基础表'!AY6</f>
        <v>6976.24</v>
      </c>
      <c r="E3" s="46">
        <f>'数据-基础表'!AZ5</f>
        <v>32206.890000000196</v>
      </c>
      <c r="F3" s="2835"/>
      <c r="G3" s="1259"/>
      <c r="H3" s="1137" t="s">
        <v>1551</v>
      </c>
      <c r="I3" s="944">
        <f>ROUND('数据-基础表'!B3/'数据-基础表'!A3,2)</f>
        <v>4.62</v>
      </c>
      <c r="J3" s="2835"/>
      <c r="K3" s="2835"/>
      <c r="L3" s="2835"/>
      <c r="M3" s="2835"/>
      <c r="N3" s="2837"/>
      <c r="O3" s="2835"/>
      <c r="P3" s="2835"/>
    </row>
    <row r="4" spans="1:16" ht="15">
      <c r="A4" s="3345"/>
      <c r="B4" s="3346"/>
      <c r="C4" s="3347"/>
      <c r="D4" s="1776" t="s">
        <v>1552</v>
      </c>
      <c r="E4" s="1777" t="s">
        <v>1553</v>
      </c>
      <c r="F4" s="2835"/>
      <c r="G4" s="2828" t="s">
        <v>1578</v>
      </c>
      <c r="H4" s="1137" t="s">
        <v>1558</v>
      </c>
      <c r="I4" s="944">
        <f>ROUND(SUMIF('数据-基础表'!I9:AS9,"地上",'数据-基础表'!I5:AS5)/'数据-基础表'!A3,2)</f>
        <v>0</v>
      </c>
      <c r="J4" s="2835"/>
      <c r="K4" s="2835"/>
      <c r="L4" s="2835"/>
      <c r="M4" s="2835"/>
      <c r="N4" s="2837"/>
      <c r="O4" s="2835"/>
      <c r="P4" s="2835"/>
    </row>
    <row r="5" spans="1:16">
      <c r="A5" s="47" t="s">
        <v>1554</v>
      </c>
      <c r="B5" s="3348" t="s">
        <v>1555</v>
      </c>
      <c r="C5" s="3348"/>
      <c r="D5" s="48">
        <f>ROUND($D$3*E5/$E$3,2)</f>
        <v>0</v>
      </c>
      <c r="E5" s="49">
        <f>SUMIF('数据-基础表'!$11:$11,"住宅",'数据-基础表'!$5:$5)</f>
        <v>0</v>
      </c>
      <c r="F5" s="2835"/>
      <c r="G5" s="1259"/>
      <c r="H5" s="1137" t="s">
        <v>1551</v>
      </c>
      <c r="I5" s="944">
        <f>ROUND(E31/D31,2)</f>
        <v>4.62</v>
      </c>
      <c r="J5" s="2835"/>
      <c r="K5" s="2835"/>
      <c r="L5" s="2835"/>
      <c r="M5" s="2835"/>
      <c r="N5" s="2835"/>
      <c r="O5" s="2835"/>
      <c r="P5" s="2835"/>
    </row>
    <row r="6" spans="1:16" ht="15" thickBot="1">
      <c r="A6" s="1779"/>
      <c r="B6" s="3348" t="s">
        <v>1556</v>
      </c>
      <c r="C6" s="3348"/>
      <c r="D6" s="48">
        <f>ROUND($D$3*E6/$E$3,2)</f>
        <v>6976.24</v>
      </c>
      <c r="E6" s="49">
        <f>E3-E5</f>
        <v>32206.890000000196</v>
      </c>
      <c r="F6" s="2835"/>
      <c r="G6" s="2829" t="s">
        <v>1557</v>
      </c>
      <c r="H6" s="1260" t="s">
        <v>1558</v>
      </c>
      <c r="I6" s="2830">
        <f>ROUND(F31/D31,2)</f>
        <v>0</v>
      </c>
      <c r="J6" s="2835"/>
      <c r="K6" s="2835"/>
      <c r="L6" s="2835"/>
      <c r="M6" s="2835"/>
      <c r="N6" s="2835"/>
      <c r="O6" s="2835"/>
      <c r="P6" s="2835"/>
    </row>
    <row r="7" spans="1:16" ht="15.75" thickBot="1">
      <c r="A7" s="3340"/>
      <c r="B7" s="3341"/>
      <c r="C7" s="3342"/>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0</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6976.24</v>
      </c>
      <c r="E13" s="51">
        <f>SUMPRODUCT(('数据-基础表'!BB10:BK10="地下")*('数据-基础表'!BB11:BK11="车库")*('数据-基础表'!BB5:BK5))</f>
        <v>32206.890000000196</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6976.24</v>
      </c>
      <c r="E16" s="53">
        <f>SUM(E8:E15)</f>
        <v>32206.890000000196</v>
      </c>
      <c r="F16" s="2835"/>
      <c r="G16" s="2836"/>
      <c r="H16" s="1783" t="s">
        <v>1580</v>
      </c>
      <c r="I16" s="1784"/>
      <c r="J16" s="1253"/>
      <c r="K16" s="3337" t="s">
        <v>1580</v>
      </c>
      <c r="L16" s="3338"/>
      <c r="M16" s="3338"/>
      <c r="N16" s="3338"/>
      <c r="O16" s="3338"/>
      <c r="P16" s="3339"/>
    </row>
    <row r="17" spans="1:19" ht="15">
      <c r="A17" s="1785" t="s">
        <v>1581</v>
      </c>
      <c r="B17" s="1786" t="s">
        <v>1582</v>
      </c>
      <c r="C17" s="1787" t="s">
        <v>1583</v>
      </c>
      <c r="D17" s="1788" t="s">
        <v>1571</v>
      </c>
      <c r="E17" s="1789" t="s">
        <v>1572</v>
      </c>
      <c r="F17" s="1790"/>
      <c r="G17" s="1791"/>
      <c r="H17" s="1792" t="s">
        <v>1584</v>
      </c>
      <c r="I17" s="1793" t="s">
        <v>1569</v>
      </c>
      <c r="J17" s="1253"/>
      <c r="K17" s="3334" t="s">
        <v>1585</v>
      </c>
      <c r="L17" s="3335"/>
      <c r="M17" s="3336"/>
      <c r="N17" s="3334" t="s">
        <v>1586</v>
      </c>
      <c r="O17" s="3335"/>
      <c r="P17" s="3336"/>
      <c r="R17" s="1775" t="s">
        <v>1587</v>
      </c>
      <c r="S17" s="59"/>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1803" t="str">
        <f>Sheet1!E2</f>
        <v>B078</v>
      </c>
      <c r="D19" s="48">
        <f>Sheet1!H2</f>
        <v>8.27</v>
      </c>
      <c r="E19" s="56">
        <f t="shared" ref="E19:E26" si="1">SUM(F19:G19)</f>
        <v>33.93</v>
      </c>
      <c r="F19" s="2975"/>
      <c r="G19" s="2976">
        <f>'数据-基础表'!I13</f>
        <v>33.93</v>
      </c>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8.27</v>
      </c>
      <c r="S19" s="1138">
        <f t="shared" si="5"/>
        <v>33.93</v>
      </c>
    </row>
    <row r="20" spans="1:19">
      <c r="A20" s="1806"/>
      <c r="B20" s="50" t="s">
        <v>1598</v>
      </c>
      <c r="C20" s="3254" t="s">
        <v>4101</v>
      </c>
      <c r="D20" s="48">
        <f>D3-D19</f>
        <v>6967.9699999999993</v>
      </c>
      <c r="E20" s="56">
        <f t="shared" si="1"/>
        <v>32172.960000000196</v>
      </c>
      <c r="F20" s="2975"/>
      <c r="G20" s="2976">
        <f>'数据-基础表'!I14</f>
        <v>32172.960000000196</v>
      </c>
      <c r="H20" s="678">
        <f t="shared" ref="H20:H26" si="6">ROUND($D$3*I20/$E$3,2)</f>
        <v>0</v>
      </c>
      <c r="I20" s="51">
        <f t="shared" si="2"/>
        <v>0</v>
      </c>
      <c r="J20" s="1253"/>
      <c r="K20" s="1252">
        <f t="shared" si="3"/>
        <v>0</v>
      </c>
      <c r="L20" s="1137">
        <f t="shared" si="4"/>
        <v>0</v>
      </c>
      <c r="M20" s="1264">
        <f t="shared" ref="M20:M26" si="7">K20+L20</f>
        <v>0</v>
      </c>
      <c r="N20" s="1804"/>
      <c r="O20" s="1805"/>
      <c r="P20" s="1264">
        <f t="shared" ref="P20:P26" si="8">N20+O20</f>
        <v>0</v>
      </c>
      <c r="R20" s="1137">
        <f t="shared" si="5"/>
        <v>6967.9699999999993</v>
      </c>
      <c r="S20" s="1138">
        <f t="shared" si="5"/>
        <v>32172.960000000196</v>
      </c>
    </row>
    <row r="21" spans="1:19">
      <c r="A21" s="1806"/>
      <c r="B21" s="50" t="s">
        <v>1598</v>
      </c>
      <c r="C21" s="1803"/>
      <c r="D21" s="48">
        <f t="shared" ref="D21:D26" si="9">ROUND($D$3*E21/$E$3,2)</f>
        <v>0</v>
      </c>
      <c r="E21" s="56">
        <f t="shared" si="1"/>
        <v>0</v>
      </c>
      <c r="F21" s="2975"/>
      <c r="G21" s="2976"/>
      <c r="H21" s="678">
        <f t="shared" si="6"/>
        <v>0</v>
      </c>
      <c r="I21" s="51">
        <f t="shared" si="2"/>
        <v>0</v>
      </c>
      <c r="J21" s="1253"/>
      <c r="K21" s="1252">
        <f t="shared" si="3"/>
        <v>0</v>
      </c>
      <c r="L21" s="1137">
        <f t="shared" si="4"/>
        <v>0</v>
      </c>
      <c r="M21" s="1264">
        <f t="shared" si="7"/>
        <v>0</v>
      </c>
      <c r="N21" s="1804"/>
      <c r="O21" s="1805"/>
      <c r="P21" s="1264">
        <f t="shared" si="8"/>
        <v>0</v>
      </c>
      <c r="R21" s="1137">
        <f t="shared" si="5"/>
        <v>0</v>
      </c>
      <c r="S21" s="1138">
        <f t="shared" si="5"/>
        <v>0</v>
      </c>
    </row>
    <row r="22" spans="1:19">
      <c r="A22" s="1806"/>
      <c r="B22" s="50" t="s">
        <v>1598</v>
      </c>
      <c r="C22" s="57"/>
      <c r="D22" s="48">
        <f t="shared" si="9"/>
        <v>0</v>
      </c>
      <c r="E22" s="56">
        <f t="shared" si="1"/>
        <v>0</v>
      </c>
      <c r="F22" s="2977"/>
      <c r="G22" s="2978"/>
      <c r="H22" s="678">
        <f t="shared" si="6"/>
        <v>0</v>
      </c>
      <c r="I22" s="51">
        <f t="shared" si="2"/>
        <v>0</v>
      </c>
      <c r="J22" s="1253"/>
      <c r="K22" s="1252">
        <f t="shared" si="3"/>
        <v>0</v>
      </c>
      <c r="L22" s="1137">
        <f t="shared" si="4"/>
        <v>0</v>
      </c>
      <c r="M22" s="1264">
        <f t="shared" si="7"/>
        <v>0</v>
      </c>
      <c r="N22" s="1804"/>
      <c r="O22" s="1805"/>
      <c r="P22" s="1264">
        <f t="shared" si="8"/>
        <v>0</v>
      </c>
      <c r="R22" s="1137">
        <f t="shared" si="5"/>
        <v>0</v>
      </c>
      <c r="S22" s="1138">
        <f t="shared" si="5"/>
        <v>0</v>
      </c>
    </row>
    <row r="23" spans="1:19">
      <c r="A23" s="1806"/>
      <c r="B23" s="50" t="s">
        <v>1598</v>
      </c>
      <c r="C23" s="57"/>
      <c r="D23" s="48">
        <f>ROUND($D$3*E23/$E$3,2)</f>
        <v>0</v>
      </c>
      <c r="E23" s="56">
        <f>SUM(F23:G23)</f>
        <v>0</v>
      </c>
      <c r="F23" s="2977"/>
      <c r="G23" s="2978"/>
      <c r="H23" s="678">
        <f>ROUND($D$3*I23/$E$3,2)</f>
        <v>0</v>
      </c>
      <c r="I23" s="51">
        <f t="shared" si="2"/>
        <v>0</v>
      </c>
      <c r="J23" s="1253"/>
      <c r="K23" s="1252">
        <f t="shared" si="3"/>
        <v>0</v>
      </c>
      <c r="L23" s="1137">
        <f t="shared" si="4"/>
        <v>0</v>
      </c>
      <c r="M23" s="1264">
        <f t="shared" si="7"/>
        <v>0</v>
      </c>
      <c r="N23" s="1804"/>
      <c r="O23" s="1805"/>
      <c r="P23" s="1264">
        <f t="shared" si="8"/>
        <v>0</v>
      </c>
      <c r="R23" s="1137">
        <f t="shared" si="5"/>
        <v>0</v>
      </c>
      <c r="S23" s="1138">
        <f t="shared" si="5"/>
        <v>0</v>
      </c>
    </row>
    <row r="24" spans="1:19">
      <c r="A24" s="1806"/>
      <c r="B24" s="50" t="s">
        <v>1598</v>
      </c>
      <c r="C24" s="57"/>
      <c r="D24" s="48">
        <f>ROUND($D$3*E24/$E$3,2)</f>
        <v>0</v>
      </c>
      <c r="E24" s="56">
        <f>SUM(F24:G24)</f>
        <v>0</v>
      </c>
      <c r="F24" s="2977"/>
      <c r="G24" s="2978"/>
      <c r="H24" s="678">
        <f>ROUND($D$3*I24/$E$3,2)</f>
        <v>0</v>
      </c>
      <c r="I24" s="51">
        <f t="shared" si="2"/>
        <v>0</v>
      </c>
      <c r="J24" s="1253"/>
      <c r="K24" s="1252">
        <f t="shared" si="3"/>
        <v>0</v>
      </c>
      <c r="L24" s="1137">
        <f t="shared" si="4"/>
        <v>0</v>
      </c>
      <c r="M24" s="1264">
        <f t="shared" si="7"/>
        <v>0</v>
      </c>
      <c r="N24" s="1804"/>
      <c r="O24" s="1805"/>
      <c r="P24" s="1264">
        <f t="shared" si="8"/>
        <v>0</v>
      </c>
      <c r="R24" s="1137">
        <f t="shared" si="5"/>
        <v>0</v>
      </c>
      <c r="S24" s="1138">
        <f t="shared" si="5"/>
        <v>0</v>
      </c>
    </row>
    <row r="25" spans="1:19">
      <c r="A25" s="1806"/>
      <c r="B25" s="50" t="s">
        <v>1598</v>
      </c>
      <c r="C25" s="57"/>
      <c r="D25" s="48">
        <f t="shared" si="9"/>
        <v>0</v>
      </c>
      <c r="E25" s="56">
        <f t="shared" si="1"/>
        <v>0</v>
      </c>
      <c r="F25" s="2977"/>
      <c r="G25" s="2978"/>
      <c r="H25" s="47">
        <f t="shared" si="6"/>
        <v>0</v>
      </c>
      <c r="I25" s="51">
        <f t="shared" si="2"/>
        <v>0</v>
      </c>
      <c r="J25" s="1253"/>
      <c r="K25" s="1252">
        <f t="shared" si="3"/>
        <v>0</v>
      </c>
      <c r="L25" s="1137">
        <f t="shared" si="4"/>
        <v>0</v>
      </c>
      <c r="M25" s="1264">
        <f t="shared" si="7"/>
        <v>0</v>
      </c>
      <c r="N25" s="1804"/>
      <c r="O25" s="1805"/>
      <c r="P25" s="1264">
        <f t="shared" si="8"/>
        <v>0</v>
      </c>
      <c r="R25" s="1137">
        <f t="shared" si="5"/>
        <v>0</v>
      </c>
      <c r="S25" s="1138">
        <f t="shared" si="5"/>
        <v>0</v>
      </c>
    </row>
    <row r="26" spans="1:19">
      <c r="A26" s="1806"/>
      <c r="B26" s="50" t="s">
        <v>1598</v>
      </c>
      <c r="C26" s="58"/>
      <c r="D26" s="48">
        <f t="shared" si="9"/>
        <v>0</v>
      </c>
      <c r="E26" s="56">
        <f t="shared" si="1"/>
        <v>0</v>
      </c>
      <c r="F26" s="2977"/>
      <c r="G26" s="2978"/>
      <c r="H26" s="47">
        <f t="shared" si="6"/>
        <v>0</v>
      </c>
      <c r="I26" s="51">
        <f t="shared" si="2"/>
        <v>0</v>
      </c>
      <c r="J26" s="1253"/>
      <c r="K26" s="1259">
        <f t="shared" si="3"/>
        <v>0</v>
      </c>
      <c r="L26" s="1260">
        <f t="shared" si="4"/>
        <v>0</v>
      </c>
      <c r="M26" s="62">
        <f t="shared" si="7"/>
        <v>0</v>
      </c>
      <c r="N26" s="1807"/>
      <c r="O26" s="1808"/>
      <c r="P26" s="62">
        <f t="shared" si="8"/>
        <v>0</v>
      </c>
      <c r="R26" s="1137">
        <f t="shared" si="5"/>
        <v>0</v>
      </c>
      <c r="S26" s="1138">
        <f t="shared" si="5"/>
        <v>0</v>
      </c>
    </row>
    <row r="27" spans="1:19" ht="15.75" thickBot="1">
      <c r="A27" s="1806"/>
      <c r="B27" s="48"/>
      <c r="C27" s="1809" t="s">
        <v>1599</v>
      </c>
      <c r="D27" s="1254">
        <f>SUM(D19:D26)</f>
        <v>6976.24</v>
      </c>
      <c r="E27" s="1255">
        <f>IF(SUM(E19:E26)='数据-基础表'!BA5,SUM(E19:E26),IF(F27="地上面积有误","面积有误","地下面积有误"))</f>
        <v>32206.890000000196</v>
      </c>
      <c r="F27" s="1254">
        <f>IF(SUM(F19:F26)=E8,SUM(F19:F26),"地上面积有误")</f>
        <v>0</v>
      </c>
      <c r="G27" s="1256">
        <f>SUM(G19:G26)</f>
        <v>32206.890000000196</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6976.24</v>
      </c>
      <c r="S27" s="1137">
        <f>IF(SUM(S19:S26)=$E$3,SUM(S19:S26),SUM(S19:S26)&amp;"误差"&amp;ROUND(SUM(S19:S26)-E3,2))</f>
        <v>32206.890000000196</v>
      </c>
    </row>
    <row r="28" spans="1:19">
      <c r="A28" s="1806"/>
      <c r="B28" s="50" t="s">
        <v>1600</v>
      </c>
      <c r="C28" s="1149" t="s">
        <v>1601</v>
      </c>
      <c r="D28" s="48">
        <f>ROUND($D$3*E28/$E$3,2)</f>
        <v>0</v>
      </c>
      <c r="E28" s="56">
        <f>SUM(F28:G28)</f>
        <v>0</v>
      </c>
      <c r="F28" s="59">
        <f>'数据-基础表'!BQ5+'数据-基础表'!BS5</f>
        <v>0</v>
      </c>
      <c r="G28" s="60">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1">
        <f>'数据-基础表'!BM5+'数据-基础表'!BO5</f>
        <v>0</v>
      </c>
      <c r="G29" s="62">
        <f>'数据-基础表'!BN5+'数据-基础表'!BP5</f>
        <v>0</v>
      </c>
      <c r="H29" s="2835"/>
      <c r="I29" s="2835"/>
      <c r="J29" s="2835"/>
      <c r="K29" s="2835"/>
      <c r="L29" s="2835"/>
      <c r="M29" s="2835"/>
      <c r="N29" s="2835"/>
      <c r="O29" s="2835"/>
      <c r="P29" s="2835"/>
    </row>
    <row r="30" spans="1:19" ht="15">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4" t="s">
        <v>1603</v>
      </c>
      <c r="D31" s="684">
        <f>D27+D30</f>
        <v>6976.24</v>
      </c>
      <c r="E31" s="684">
        <f>E27+E30</f>
        <v>32206.890000000196</v>
      </c>
      <c r="F31" s="685">
        <f>F27+F30</f>
        <v>0</v>
      </c>
      <c r="G31" s="686">
        <f>G27+G30</f>
        <v>32206.890000000196</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W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44698</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3"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4104</v>
      </c>
      <c r="O5" s="1838" t="s">
        <v>1626</v>
      </c>
      <c r="P5" s="1841" t="s">
        <v>1627</v>
      </c>
      <c r="Q5" s="64" t="s">
        <v>1628</v>
      </c>
      <c r="R5" s="1842" t="s">
        <v>1629</v>
      </c>
      <c r="S5" s="1843" t="s">
        <v>1630</v>
      </c>
      <c r="T5" s="1844" t="s">
        <v>1631</v>
      </c>
      <c r="U5" s="1157" t="s">
        <v>1632</v>
      </c>
      <c r="V5" s="1158" t="s">
        <v>1633</v>
      </c>
      <c r="W5" s="1158" t="s">
        <v>1634</v>
      </c>
      <c r="X5" s="66"/>
      <c r="Y5" s="65" t="s">
        <v>1635</v>
      </c>
      <c r="Z5" s="1845" t="s">
        <v>1632</v>
      </c>
      <c r="AA5" s="1158" t="s">
        <v>1633</v>
      </c>
      <c r="AB5" s="1158" t="s">
        <v>1634</v>
      </c>
      <c r="AC5" s="66"/>
      <c r="AD5" s="66" t="s">
        <v>1635</v>
      </c>
      <c r="AE5" s="1157" t="s">
        <v>1636</v>
      </c>
      <c r="AF5" s="1158" t="s">
        <v>1637</v>
      </c>
      <c r="AG5" s="65" t="s">
        <v>1638</v>
      </c>
      <c r="AH5" s="1157" t="s">
        <v>1639</v>
      </c>
      <c r="AI5" s="1845" t="s">
        <v>1640</v>
      </c>
      <c r="AJ5" s="1845" t="s">
        <v>1641</v>
      </c>
      <c r="AK5" s="1158" t="s">
        <v>1642</v>
      </c>
      <c r="AL5" s="1158" t="s">
        <v>1643</v>
      </c>
      <c r="AM5" s="65"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B078</v>
      </c>
      <c r="B6" s="1849" t="str">
        <f>IF(A6=0,"","经营性")</f>
        <v>经营性</v>
      </c>
      <c r="C6" s="1850" t="s">
        <v>4100</v>
      </c>
      <c r="D6" s="947">
        <f>SUMIF(项目基本情况!D$12:I$12,C6,项目基本情况!D$14:I$14)</f>
        <v>50</v>
      </c>
      <c r="E6" s="946">
        <f>IF(B6="","",SUMIF(项目基本情况!D$12:I$12,C6,项目基本情况!D$13:I$13))</f>
        <v>56354</v>
      </c>
      <c r="F6" s="67">
        <f>SUMIF(项目基本情况!D$12:I$12,C6,项目基本情况!D$15:I$15)</f>
        <v>31.93</v>
      </c>
      <c r="G6" s="68">
        <f>IF(ISERROR(ROUND(POWER(1+H6,D6-F6)*(POWER(1+H6,F6)-1)/(POWER(1+H6,D6)-1),3)),0,ROUND(POWER(1+H6,D6-F6)*(POWER(1+H6,F6)-1)/(POWER(1+H6,D6)-1),3))</f>
        <v>0.84899999999999998</v>
      </c>
      <c r="H6" s="740">
        <v>4.4999999999999998E-2</v>
      </c>
      <c r="I6" s="740">
        <v>0.05</v>
      </c>
      <c r="J6" s="69">
        <v>6.5000000000000002E-2</v>
      </c>
      <c r="K6" s="1141">
        <f>SUMIF('数据-汇总表'!C$19:C$33,A6,'数据-汇总表'!E$19:E$33)</f>
        <v>33.93</v>
      </c>
      <c r="L6" s="741">
        <v>3500</v>
      </c>
      <c r="M6" s="70">
        <f t="shared" ref="M6:M14" si="0">ROUND(K6*L6/10000,0)</f>
        <v>12</v>
      </c>
      <c r="N6" s="739">
        <f>N21</f>
        <v>0.73</v>
      </c>
      <c r="O6" s="70" t="str">
        <f>IF($N$5="成新度","——",ROUND(M6*N6,0))</f>
        <v>——</v>
      </c>
      <c r="P6" s="71" t="str">
        <f>IF($N$5="成新度","——",M6-O6)</f>
        <v>——</v>
      </c>
      <c r="Q6" s="742">
        <v>0.05</v>
      </c>
      <c r="R6" s="72">
        <f ca="1">SUMIF('数据-汇总表'!C$19:C$33,A6,'数据-汇总表'!R$19:R$27)</f>
        <v>8.27</v>
      </c>
      <c r="S6" s="54">
        <f>IF('数据-汇总表'!$I$17="按面积比例",SUMIF('数据-汇总表'!C$19:C$33,A6,'数据-汇总表'!K$19:K$33),SUMIF('数据-汇总表'!C$19:C$33,A6,'数据-汇总表'!N$19:N$33))</f>
        <v>0</v>
      </c>
      <c r="T6" s="1286">
        <f>ROUND($L$14*S6/10000,0)</f>
        <v>0</v>
      </c>
      <c r="U6" s="73">
        <v>212</v>
      </c>
      <c r="V6" s="74">
        <v>0</v>
      </c>
      <c r="W6" s="74">
        <v>0</v>
      </c>
      <c r="X6" s="1151"/>
      <c r="Y6" s="75">
        <f>N6</f>
        <v>0.73</v>
      </c>
      <c r="Z6" s="76">
        <v>600</v>
      </c>
      <c r="AA6" s="69">
        <v>0.02</v>
      </c>
      <c r="AB6" s="69">
        <v>0.2</v>
      </c>
      <c r="AC6" s="1151"/>
      <c r="AD6" s="77">
        <f>ROUND(1-(2025-2006)/60,2)</f>
        <v>0.68</v>
      </c>
      <c r="AE6" s="1152">
        <f ca="1">IF(AN6="",0,SUMIF(INDIRECT("'"&amp;AN6&amp;"'"&amp;"!E:E"),$AE$5,INDIRECT("'"&amp;AN6&amp;"'"&amp;"!F:F")))</f>
        <v>31.93</v>
      </c>
      <c r="AF6" s="1482">
        <v>3</v>
      </c>
      <c r="AG6" s="142">
        <f ca="1">IF(AF6="",0,AE6-AF6)</f>
        <v>28.93</v>
      </c>
      <c r="AH6" s="78">
        <v>1</v>
      </c>
      <c r="AI6" s="80">
        <v>12</v>
      </c>
      <c r="AJ6" s="81"/>
      <c r="AK6" s="82">
        <v>5.0000000000000001E-3</v>
      </c>
      <c r="AL6" s="83">
        <v>1E-3</v>
      </c>
      <c r="AM6" s="84">
        <v>0.01</v>
      </c>
      <c r="AN6" s="1851" t="s">
        <v>4105</v>
      </c>
      <c r="AO6" s="55">
        <f ca="1">SUMIF(INDIRECT("'"&amp;AN6&amp;"'"&amp;"!A:A"),"总价",INDIRECT("'"&amp;AN6&amp;"'"&amp;"!B:B"))</f>
        <v>7</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其他</v>
      </c>
      <c r="B7" s="1849" t="str">
        <f t="shared" ref="B7:B13" si="1">IF(A7=0,"","经营性")</f>
        <v>经营性</v>
      </c>
      <c r="C7" s="1850" t="s">
        <v>4100</v>
      </c>
      <c r="D7" s="947">
        <f>SUMIF(项目基本情况!D$12:I$12,C7,项目基本情况!D$14:I$14)</f>
        <v>50</v>
      </c>
      <c r="E7" s="946">
        <f>IF(B7="","",SUMIF(项目基本情况!D$12:I$12,C7,项目基本情况!D$13:I$13))</f>
        <v>56354</v>
      </c>
      <c r="F7" s="67">
        <f>SUMIF(项目基本情况!D$12:I$12,C7,项目基本情况!D$15:I$15)</f>
        <v>31.93</v>
      </c>
      <c r="G7" s="68">
        <f t="shared" ref="G7:G11" si="2">IF(ISERROR(ROUND(POWER(1+H7,D7-F7)*(POWER(1+H7,F7)-1)/(POWER(1+H7,D7)-1),3)),0,ROUND(POWER(1+H7,D7-F7)*(POWER(1+H7,F7)-1)/(POWER(1+H7,D7)-1),3))</f>
        <v>0.84899999999999998</v>
      </c>
      <c r="H7" s="740">
        <f>H6</f>
        <v>4.4999999999999998E-2</v>
      </c>
      <c r="I7" s="740">
        <f>I6</f>
        <v>0.05</v>
      </c>
      <c r="J7" s="69">
        <f>J6</f>
        <v>6.5000000000000002E-2</v>
      </c>
      <c r="K7" s="1141">
        <f>SUMIF('数据-汇总表'!C$19:C$33,A7,'数据-汇总表'!E$19:E$33)</f>
        <v>32172.960000000196</v>
      </c>
      <c r="L7" s="741">
        <v>3500</v>
      </c>
      <c r="M7" s="70">
        <f t="shared" si="0"/>
        <v>11261</v>
      </c>
      <c r="N7" s="739">
        <f>N6</f>
        <v>0.73</v>
      </c>
      <c r="O7" s="70" t="str">
        <f t="shared" ref="O7:O14" si="3">IF($N$5="成新度","——",ROUND(M7*N7,0))</f>
        <v>——</v>
      </c>
      <c r="P7" s="71" t="str">
        <f t="shared" ref="P7:P14" si="4">IF($N$5="成新度","——",M7-O7)</f>
        <v>——</v>
      </c>
      <c r="Q7" s="742">
        <f>Q6</f>
        <v>0.05</v>
      </c>
      <c r="R7" s="72">
        <f ca="1">SUMIF('数据-汇总表'!C$19:C$33,A7,'数据-汇总表'!R$19:R$27)</f>
        <v>6967.9699999999993</v>
      </c>
      <c r="S7" s="54">
        <f>IF('数据-汇总表'!$I$17="按面积比例",SUMIF('数据-汇总表'!C$19:C$33,A7,'数据-汇总表'!K$19:K$33),SUMIF('数据-汇总表'!C$19:C$33,A7,'数据-汇总表'!N$19:N$33))</f>
        <v>0</v>
      </c>
      <c r="T7" s="1286">
        <f t="shared" ref="T7:T13" si="5">ROUND($L$14*S7/10000,0)</f>
        <v>0</v>
      </c>
      <c r="U7" s="73">
        <v>212</v>
      </c>
      <c r="V7" s="74">
        <v>0</v>
      </c>
      <c r="W7" s="74">
        <v>0</v>
      </c>
      <c r="X7" s="1151"/>
      <c r="Y7" s="75">
        <f>Y6</f>
        <v>0.73</v>
      </c>
      <c r="Z7" s="76">
        <v>600</v>
      </c>
      <c r="AA7" s="69">
        <v>0.02</v>
      </c>
      <c r="AB7" s="69">
        <v>0.2</v>
      </c>
      <c r="AC7" s="1151"/>
      <c r="AD7" s="77">
        <f>AD6</f>
        <v>0.68</v>
      </c>
      <c r="AE7" s="1152">
        <f t="shared" ref="AE7:AE13" ca="1" si="6">IF(AN7="",0,SUMIF(INDIRECT("'"&amp;AN7&amp;"'"&amp;"!E:E"),$AE$5,INDIRECT("'"&amp;AN7&amp;"'"&amp;"!F:F")))</f>
        <v>0</v>
      </c>
      <c r="AF7" s="1482">
        <v>3</v>
      </c>
      <c r="AG7" s="142">
        <f t="shared" ref="AG7:AG13" ca="1" si="7">IF(AF7="",0,AE7-AF7)</f>
        <v>-3</v>
      </c>
      <c r="AH7" s="78">
        <v>899</v>
      </c>
      <c r="AI7" s="80">
        <v>12</v>
      </c>
      <c r="AJ7" s="81"/>
      <c r="AK7" s="82">
        <f>AK6</f>
        <v>5.0000000000000001E-3</v>
      </c>
      <c r="AL7" s="83">
        <f>AL6</f>
        <v>1E-3</v>
      </c>
      <c r="AM7" s="84">
        <f>AM6</f>
        <v>0.01</v>
      </c>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7">
        <f>SUMIF(项目基本情况!D$12:I$12,C8,项目基本情况!D$15:I$15)</f>
        <v>0</v>
      </c>
      <c r="G8" s="68">
        <f t="shared" si="2"/>
        <v>0</v>
      </c>
      <c r="H8" s="740"/>
      <c r="I8" s="740"/>
      <c r="J8" s="69"/>
      <c r="K8" s="1141">
        <f>SUMIF('数据-汇总表'!C$19:C$33,A8,'数据-汇总表'!E$19:E$33)</f>
        <v>0</v>
      </c>
      <c r="L8" s="741"/>
      <c r="M8" s="70">
        <f>ROUND(K8*L8/10000,0)</f>
        <v>0</v>
      </c>
      <c r="N8" s="739"/>
      <c r="O8" s="70" t="str">
        <f t="shared" si="3"/>
        <v>——</v>
      </c>
      <c r="P8" s="71" t="str">
        <f t="shared" si="4"/>
        <v>——</v>
      </c>
      <c r="Q8" s="742"/>
      <c r="R8" s="72">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6"/>
      <c r="AA8" s="69"/>
      <c r="AB8" s="69"/>
      <c r="AC8" s="1151"/>
      <c r="AD8" s="77"/>
      <c r="AE8" s="1152">
        <f t="shared" ca="1" si="6"/>
        <v>0</v>
      </c>
      <c r="AF8" s="1482"/>
      <c r="AG8" s="142">
        <f t="shared" si="7"/>
        <v>0</v>
      </c>
      <c r="AH8" s="746"/>
      <c r="AI8" s="80"/>
      <c r="AJ8" s="81"/>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7">
        <f>SUMIF(项目基本情况!D$12:I$12,C9,项目基本情况!D$15:I$15)</f>
        <v>0</v>
      </c>
      <c r="G9" s="68">
        <f t="shared" si="2"/>
        <v>0</v>
      </c>
      <c r="H9" s="69"/>
      <c r="I9" s="69"/>
      <c r="J9" s="69"/>
      <c r="K9" s="1141">
        <f>SUMIF('数据-汇总表'!C$19:C$33,A9,'数据-汇总表'!E$19:E$33)</f>
        <v>0</v>
      </c>
      <c r="L9" s="741"/>
      <c r="M9" s="70">
        <f t="shared" si="0"/>
        <v>0</v>
      </c>
      <c r="N9" s="739"/>
      <c r="O9" s="70" t="str">
        <f t="shared" si="3"/>
        <v>——</v>
      </c>
      <c r="P9" s="71" t="str">
        <f t="shared" si="4"/>
        <v>——</v>
      </c>
      <c r="Q9" s="85"/>
      <c r="R9" s="72">
        <f ca="1">SUMIF('数据-汇总表'!C$19:C$33,A9,'数据-汇总表'!R$19:R$27)</f>
        <v>0</v>
      </c>
      <c r="S9" s="54">
        <f>IF('数据-汇总表'!$I$17="按面积比例",SUMIF('数据-汇总表'!C$19:C$33,A9,'数据-汇总表'!K$19:K$33),SUMIF('数据-汇总表'!C$19:C$33,A9,'数据-汇总表'!N$19:N$33))</f>
        <v>0</v>
      </c>
      <c r="T9" s="1286">
        <f t="shared" si="5"/>
        <v>0</v>
      </c>
      <c r="U9" s="73"/>
      <c r="V9" s="74"/>
      <c r="W9" s="74"/>
      <c r="X9" s="1151"/>
      <c r="Y9" s="75"/>
      <c r="Z9" s="76"/>
      <c r="AA9" s="69"/>
      <c r="AB9" s="69"/>
      <c r="AC9" s="1151"/>
      <c r="AD9" s="77"/>
      <c r="AE9" s="1152">
        <f t="shared" ca="1" si="6"/>
        <v>0</v>
      </c>
      <c r="AF9" s="1482"/>
      <c r="AG9" s="142">
        <f t="shared" si="7"/>
        <v>0</v>
      </c>
      <c r="AH9" s="78"/>
      <c r="AI9" s="80"/>
      <c r="AJ9" s="81"/>
      <c r="AK9" s="82"/>
      <c r="AL9" s="83"/>
      <c r="AM9" s="84"/>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7">
        <f>SUMIF(项目基本情况!D$12:I$12,C10,项目基本情况!D$15:I$15)</f>
        <v>0</v>
      </c>
      <c r="G10" s="68">
        <f t="shared" si="2"/>
        <v>0</v>
      </c>
      <c r="H10" s="69"/>
      <c r="I10" s="69"/>
      <c r="J10" s="69"/>
      <c r="K10" s="1141">
        <f>SUMIF('数据-汇总表'!C$19:C$33,A10,'数据-汇总表'!E$19:E$33)</f>
        <v>0</v>
      </c>
      <c r="L10" s="741"/>
      <c r="M10" s="70">
        <f t="shared" si="0"/>
        <v>0</v>
      </c>
      <c r="N10" s="739"/>
      <c r="O10" s="70" t="str">
        <f t="shared" si="3"/>
        <v>——</v>
      </c>
      <c r="P10" s="71" t="str">
        <f t="shared" si="4"/>
        <v>——</v>
      </c>
      <c r="Q10" s="85"/>
      <c r="R10" s="72">
        <f ca="1">SUMIF('数据-汇总表'!C$19:C$33,A10,'数据-汇总表'!R$19:R$27)</f>
        <v>0</v>
      </c>
      <c r="S10" s="54">
        <f>IF('数据-汇总表'!$I$17="按面积比例",SUMIF('数据-汇总表'!C$19:C$33,A10,'数据-汇总表'!K$19:K$33),SUMIF('数据-汇总表'!C$19:C$33,A10,'数据-汇总表'!N$19:N$33))</f>
        <v>0</v>
      </c>
      <c r="T10" s="1286">
        <f t="shared" si="5"/>
        <v>0</v>
      </c>
      <c r="U10" s="73"/>
      <c r="V10" s="74"/>
      <c r="W10" s="74"/>
      <c r="X10" s="1151"/>
      <c r="Y10" s="75"/>
      <c r="Z10" s="76"/>
      <c r="AA10" s="69"/>
      <c r="AB10" s="69"/>
      <c r="AC10" s="1151"/>
      <c r="AD10" s="77"/>
      <c r="AE10" s="1152">
        <f t="shared" ca="1" si="6"/>
        <v>0</v>
      </c>
      <c r="AF10" s="1482"/>
      <c r="AG10" s="142">
        <f t="shared" si="7"/>
        <v>0</v>
      </c>
      <c r="AH10" s="78"/>
      <c r="AI10" s="80"/>
      <c r="AJ10" s="81"/>
      <c r="AK10" s="82"/>
      <c r="AL10" s="83"/>
      <c r="AM10" s="84"/>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7">
        <f>SUMIF(项目基本情况!D$12:I$12,C11,项目基本情况!D$15:I$15)</f>
        <v>0</v>
      </c>
      <c r="G11" s="68">
        <f t="shared" si="2"/>
        <v>0</v>
      </c>
      <c r="H11" s="69"/>
      <c r="I11" s="69"/>
      <c r="J11" s="69"/>
      <c r="K11" s="1141">
        <f>SUMIF('数据-汇总表'!C$19:C$33,A11,'数据-汇总表'!E$19:E$33)</f>
        <v>0</v>
      </c>
      <c r="L11" s="86"/>
      <c r="M11" s="70">
        <f t="shared" si="0"/>
        <v>0</v>
      </c>
      <c r="N11" s="87"/>
      <c r="O11" s="70" t="str">
        <f t="shared" si="3"/>
        <v>——</v>
      </c>
      <c r="P11" s="71" t="str">
        <f t="shared" si="4"/>
        <v>——</v>
      </c>
      <c r="Q11" s="85"/>
      <c r="R11" s="72">
        <f ca="1">SUMIF('数据-汇总表'!C$19:C$33,A11,'数据-汇总表'!R$19:R$27)</f>
        <v>0</v>
      </c>
      <c r="S11" s="54">
        <f>IF('数据-汇总表'!$I$17="按面积比例",SUMIF('数据-汇总表'!C$19:C$33,A11,'数据-汇总表'!K$19:K$33),SUMIF('数据-汇总表'!C$19:C$33,A11,'数据-汇总表'!N$19:N$33))</f>
        <v>0</v>
      </c>
      <c r="T11" s="1286">
        <f t="shared" si="5"/>
        <v>0</v>
      </c>
      <c r="U11" s="78"/>
      <c r="V11" s="69"/>
      <c r="W11" s="69"/>
      <c r="X11" s="1151"/>
      <c r="Y11" s="75"/>
      <c r="Z11" s="88"/>
      <c r="AA11" s="69"/>
      <c r="AB11" s="69"/>
      <c r="AC11" s="1151"/>
      <c r="AD11" s="77"/>
      <c r="AE11" s="1152">
        <f t="shared" ca="1" si="6"/>
        <v>0</v>
      </c>
      <c r="AF11" s="1482"/>
      <c r="AG11" s="142">
        <f t="shared" si="7"/>
        <v>0</v>
      </c>
      <c r="AH11" s="78"/>
      <c r="AI11" s="80"/>
      <c r="AJ11" s="81"/>
      <c r="AK11" s="89"/>
      <c r="AL11" s="90"/>
      <c r="AM11" s="91"/>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41">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4">
        <f>IF('数据-汇总表'!$I$17="按面积比例",SUMIF('数据-汇总表'!C$19:C$33,A12,'数据-汇总表'!K$19:K$33),SUMIF('数据-汇总表'!C$19:C$33,A12,'数据-汇总表'!N$19:N$33))</f>
        <v>0</v>
      </c>
      <c r="T12" s="1286">
        <f t="shared" si="5"/>
        <v>0</v>
      </c>
      <c r="U12" s="78"/>
      <c r="V12" s="69"/>
      <c r="W12" s="69"/>
      <c r="X12" s="1151"/>
      <c r="Y12" s="75"/>
      <c r="Z12" s="88"/>
      <c r="AA12" s="69"/>
      <c r="AB12" s="69"/>
      <c r="AC12" s="1151"/>
      <c r="AD12" s="77"/>
      <c r="AE12" s="1152">
        <f t="shared" ca="1" si="6"/>
        <v>0</v>
      </c>
      <c r="AF12" s="1482"/>
      <c r="AG12" s="142">
        <f t="shared" si="7"/>
        <v>0</v>
      </c>
      <c r="AH12" s="78"/>
      <c r="AI12" s="80"/>
      <c r="AJ12" s="81"/>
      <c r="AK12" s="89"/>
      <c r="AL12" s="90"/>
      <c r="AM12" s="91"/>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41">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4">
        <f>IF('数据-汇总表'!$I$17="按面积比例",SUMIF('数据-汇总表'!C$19:C$33,A13,'数据-汇总表'!K$19:K$33),SUMIF('数据-汇总表'!C$19:C$33,A13,'数据-汇总表'!N$19:N$33))</f>
        <v>0</v>
      </c>
      <c r="T13" s="1286">
        <f t="shared" si="5"/>
        <v>0</v>
      </c>
      <c r="U13" s="73"/>
      <c r="V13" s="74"/>
      <c r="W13" s="74"/>
      <c r="X13" s="1151"/>
      <c r="Y13" s="75"/>
      <c r="Z13" s="76"/>
      <c r="AA13" s="69"/>
      <c r="AB13" s="69"/>
      <c r="AC13" s="1151"/>
      <c r="AD13" s="77"/>
      <c r="AE13" s="1152">
        <f t="shared" ca="1" si="6"/>
        <v>0</v>
      </c>
      <c r="AF13" s="1482"/>
      <c r="AG13" s="142">
        <f t="shared" si="7"/>
        <v>0</v>
      </c>
      <c r="AH13" s="78"/>
      <c r="AI13" s="80"/>
      <c r="AJ13" s="81"/>
      <c r="AK13" s="82"/>
      <c r="AL13" s="83"/>
      <c r="AM13" s="84"/>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7"/>
      <c r="G14" s="68"/>
      <c r="H14" s="1140"/>
      <c r="I14" s="1140"/>
      <c r="J14" s="1140"/>
      <c r="K14" s="1141">
        <f>SUMIF('数据-汇总表'!C$19:C$33,A14,'数据-汇总表'!E$19:E$33)</f>
        <v>0</v>
      </c>
      <c r="L14" s="86"/>
      <c r="M14" s="70">
        <f t="shared" si="0"/>
        <v>0</v>
      </c>
      <c r="N14" s="87"/>
      <c r="O14" s="70" t="str">
        <f t="shared" si="3"/>
        <v>——</v>
      </c>
      <c r="P14" s="71" t="str">
        <f t="shared" si="4"/>
        <v>——</v>
      </c>
      <c r="Q14" s="1144"/>
      <c r="R14" s="72"/>
      <c r="S14" s="54"/>
      <c r="T14" s="1286"/>
      <c r="U14" s="678"/>
      <c r="V14" s="1146"/>
      <c r="W14" s="1146"/>
      <c r="X14" s="1147"/>
      <c r="Y14" s="1148"/>
      <c r="Z14" s="1149"/>
      <c r="AA14" s="1150"/>
      <c r="AB14" s="1150"/>
      <c r="AC14" s="1151"/>
      <c r="AD14" s="1147"/>
      <c r="AE14" s="1152"/>
      <c r="AF14" s="55"/>
      <c r="AG14" s="142"/>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7"/>
      <c r="G15" s="68"/>
      <c r="H15" s="1140"/>
      <c r="I15" s="1140"/>
      <c r="J15" s="1140"/>
      <c r="K15" s="1141">
        <f>SUMIF('数据-汇总表'!C$19:C$33,A15,'数据-汇总表'!E$19:E$33)</f>
        <v>0</v>
      </c>
      <c r="L15" s="1142"/>
      <c r="M15" s="70"/>
      <c r="N15" s="1143"/>
      <c r="O15" s="70"/>
      <c r="P15" s="71"/>
      <c r="Q15" s="1144"/>
      <c r="R15" s="72"/>
      <c r="S15" s="54"/>
      <c r="T15" s="1286"/>
      <c r="U15" s="678"/>
      <c r="V15" s="1146"/>
      <c r="W15" s="1146"/>
      <c r="X15" s="1147"/>
      <c r="Y15" s="1148"/>
      <c r="Z15" s="1149"/>
      <c r="AA15" s="1150"/>
      <c r="AB15" s="1150"/>
      <c r="AC15" s="1151"/>
      <c r="AD15" s="1147"/>
      <c r="AE15" s="1152"/>
      <c r="AF15" s="55"/>
      <c r="AG15" s="142"/>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2"/>
      <c r="C16" s="922"/>
      <c r="D16" s="1856"/>
      <c r="E16" s="92"/>
      <c r="F16" s="92"/>
      <c r="G16" s="93">
        <f>ROUND(SUMPRODUCT(G6:G13,K6:K13)/SUMPRODUCT((G6:G13&gt;0)*(K6:K13)),3)</f>
        <v>0.84899999999999998</v>
      </c>
      <c r="H16" s="94">
        <f>ROUND(SUMPRODUCT(H6:H13,K6:K13)/SUMPRODUCT((H6:H13&gt;0)*(K6:K13)),3)</f>
        <v>4.4999999999999998E-2</v>
      </c>
      <c r="I16" s="95"/>
      <c r="J16" s="95"/>
      <c r="K16" s="96">
        <f>SUM(K6:K15)</f>
        <v>32206.890000000196</v>
      </c>
      <c r="L16" s="97">
        <f>ROUND(M16*10000/SUM(K6:K14),0)</f>
        <v>3500</v>
      </c>
      <c r="M16" s="97">
        <f>SUM(M6:M14)</f>
        <v>11273</v>
      </c>
      <c r="N16" s="98">
        <f>ROUND(SUMPRODUCT(M6:M14,N6:N14)/M16,3)</f>
        <v>0.73</v>
      </c>
      <c r="O16" s="97">
        <f>SUM(O6:O14)</f>
        <v>0</v>
      </c>
      <c r="P16" s="97">
        <f>SUM(P6:P14)</f>
        <v>0</v>
      </c>
      <c r="Q16" s="99">
        <f>ROUND(SUMPRODUCT(Q6:Q13,K6:K13)/SUMPRODUCT((Q6:Q13&gt;0)*(K6:K13)),2)</f>
        <v>0.05</v>
      </c>
      <c r="R16" s="1145">
        <f ca="1">SUM(R6:R13)</f>
        <v>6976.24</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3"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7">
        <v>0</v>
      </c>
      <c r="C19" s="2979" t="s">
        <v>2805</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8">
        <v>2</v>
      </c>
      <c r="C20" s="2980" t="s">
        <v>2803</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8">
        <v>2</v>
      </c>
      <c r="C21" s="2851"/>
      <c r="D21" s="2854"/>
      <c r="E21" s="2851"/>
      <c r="F21" s="2851"/>
      <c r="G21" s="2851"/>
      <c r="H21" s="2851"/>
      <c r="I21" s="2851"/>
      <c r="J21" s="2851"/>
      <c r="K21" s="2850"/>
      <c r="L21" s="2850"/>
      <c r="M21" s="2849"/>
      <c r="N21" s="2849">
        <f>ROUND(1-(2022-2006)/60,2)</f>
        <v>0.73</v>
      </c>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09">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09">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0">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1"/>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4">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6"/>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5">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7">
        <v>0.05</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4">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8">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19">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7">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2">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4103</v>
      </c>
      <c r="B40" s="1190">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0">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1">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2">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3">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1">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1">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4"/>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5">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1">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6">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7">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8">
        <f>SUMIF(A54:A63,B53,B54:B63)</f>
        <v>3</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522</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79"/>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79"/>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79"/>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79"/>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79">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79"/>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79"/>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79"/>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79"/>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29"/>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349" t="s">
        <v>2786</v>
      </c>
      <c r="B1" s="3350"/>
      <c r="C1" s="3350"/>
      <c r="D1" s="3350"/>
      <c r="E1" s="3350"/>
      <c r="F1" s="3350"/>
      <c r="G1" s="3350"/>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7"/>
      <c r="I2" s="887"/>
      <c r="J2" s="887"/>
      <c r="K2" s="887"/>
      <c r="L2" s="887"/>
      <c r="M2" s="887"/>
      <c r="N2" s="887"/>
      <c r="O2" s="887"/>
      <c r="P2" s="887"/>
      <c r="Q2" s="887"/>
      <c r="R2" s="887"/>
    </row>
    <row r="3" spans="1:29" ht="48">
      <c r="A3" s="2616" t="s">
        <v>2783</v>
      </c>
      <c r="B3" s="2638" t="s">
        <v>2752</v>
      </c>
      <c r="C3" s="2639" t="s">
        <v>2784</v>
      </c>
      <c r="D3" s="2640"/>
      <c r="E3" s="2617" t="s">
        <v>2783</v>
      </c>
      <c r="F3" s="2641" t="s">
        <v>2753</v>
      </c>
      <c r="G3" s="2642" t="s">
        <v>2785</v>
      </c>
      <c r="H3" s="887"/>
      <c r="I3" s="887"/>
      <c r="J3" s="887"/>
      <c r="K3" s="887"/>
      <c r="L3" s="887"/>
      <c r="M3" s="887"/>
      <c r="N3" s="887"/>
      <c r="O3" s="887"/>
      <c r="P3" s="887"/>
      <c r="Q3" s="887"/>
      <c r="R3" s="887"/>
    </row>
    <row r="4" spans="1:29" ht="36.75">
      <c r="A4" s="2617"/>
      <c r="B4" s="328" t="s">
        <v>2754</v>
      </c>
      <c r="C4" s="2643" t="s">
        <v>2755</v>
      </c>
      <c r="D4" s="2640"/>
      <c r="E4" s="2644"/>
      <c r="F4" s="1507" t="s">
        <v>2756</v>
      </c>
      <c r="G4" s="2645" t="s">
        <v>2757</v>
      </c>
      <c r="H4" s="887"/>
      <c r="I4" s="887"/>
      <c r="J4" s="887"/>
      <c r="K4" s="887"/>
      <c r="L4" s="887"/>
      <c r="M4" s="887"/>
      <c r="N4" s="887"/>
      <c r="O4" s="887"/>
      <c r="P4" s="887"/>
      <c r="Q4" s="887"/>
      <c r="R4" s="887"/>
    </row>
    <row r="5" spans="1:29" ht="36.75">
      <c r="A5" s="2617"/>
      <c r="B5" s="328" t="s">
        <v>2758</v>
      </c>
      <c r="C5" s="2643" t="s">
        <v>2759</v>
      </c>
      <c r="D5" s="2640"/>
      <c r="E5" s="2644"/>
      <c r="F5" s="328" t="s">
        <v>2760</v>
      </c>
      <c r="G5" s="2645" t="s">
        <v>2761</v>
      </c>
      <c r="H5" s="887"/>
      <c r="I5" s="887"/>
      <c r="J5" s="887"/>
      <c r="K5" s="887"/>
      <c r="L5" s="887"/>
      <c r="M5" s="887"/>
      <c r="N5" s="887"/>
      <c r="O5" s="887"/>
      <c r="P5" s="887"/>
      <c r="Q5" s="887"/>
      <c r="R5" s="887"/>
    </row>
    <row r="6" spans="1:29" ht="36">
      <c r="A6" s="2617"/>
      <c r="B6" s="328" t="s">
        <v>2762</v>
      </c>
      <c r="C6" s="2645" t="s">
        <v>2757</v>
      </c>
      <c r="D6" s="2640"/>
      <c r="E6" s="2644"/>
      <c r="F6" s="328" t="s">
        <v>2763</v>
      </c>
      <c r="G6" s="2645" t="s">
        <v>2764</v>
      </c>
      <c r="H6" s="887"/>
      <c r="I6" s="887"/>
      <c r="J6" s="887"/>
      <c r="K6" s="887"/>
      <c r="L6" s="887"/>
      <c r="M6" s="887"/>
      <c r="N6" s="887"/>
      <c r="O6" s="887"/>
      <c r="P6" s="887"/>
      <c r="Q6" s="887"/>
      <c r="R6" s="887"/>
    </row>
    <row r="7" spans="1:29" ht="24.75" thickBot="1">
      <c r="A7" s="2617"/>
      <c r="B7" s="328" t="s">
        <v>2760</v>
      </c>
      <c r="C7" s="2645" t="s">
        <v>2761</v>
      </c>
      <c r="D7" s="2646"/>
      <c r="E7" s="2647"/>
      <c r="F7" s="2648" t="s">
        <v>2765</v>
      </c>
      <c r="G7" s="2649" t="s">
        <v>2766</v>
      </c>
      <c r="H7" s="887"/>
      <c r="I7" s="887"/>
      <c r="J7" s="887"/>
      <c r="K7" s="887"/>
      <c r="L7" s="887"/>
      <c r="M7" s="887"/>
      <c r="N7" s="887"/>
      <c r="O7" s="887"/>
      <c r="P7" s="887"/>
      <c r="Q7" s="887"/>
      <c r="R7" s="887"/>
    </row>
    <row r="8" spans="1:29">
      <c r="A8" s="2617"/>
      <c r="B8" s="328" t="s">
        <v>2763</v>
      </c>
      <c r="C8" s="2645" t="s">
        <v>2764</v>
      </c>
      <c r="D8" s="2646"/>
      <c r="E8" s="2646"/>
      <c r="F8" s="2650"/>
      <c r="G8" s="2650"/>
      <c r="H8" s="887"/>
      <c r="I8" s="887"/>
      <c r="J8" s="887"/>
      <c r="K8" s="887"/>
      <c r="L8" s="887"/>
      <c r="M8" s="887"/>
      <c r="N8" s="887"/>
      <c r="O8" s="887"/>
      <c r="P8" s="887"/>
      <c r="Q8" s="887"/>
      <c r="R8" s="887"/>
    </row>
    <row r="9" spans="1:29" ht="24">
      <c r="A9" s="2617"/>
      <c r="B9" s="328" t="s">
        <v>2767</v>
      </c>
      <c r="C9" s="2643" t="s">
        <v>2768</v>
      </c>
      <c r="D9" s="2640"/>
      <c r="E9" s="2646"/>
      <c r="F9" s="2650"/>
      <c r="G9" s="2650"/>
      <c r="H9" s="887"/>
      <c r="I9" s="887"/>
      <c r="J9" s="887"/>
      <c r="K9" s="887"/>
      <c r="L9" s="887"/>
      <c r="M9" s="887"/>
      <c r="N9" s="887"/>
      <c r="O9" s="887"/>
      <c r="P9" s="887"/>
      <c r="Q9" s="887"/>
      <c r="R9" s="887"/>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8"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8" t="s">
        <v>2763</v>
      </c>
      <c r="G20" s="2678" t="str">
        <f>G6</f>
        <v>估价对象所在区域基础设施水平</v>
      </c>
    </row>
    <row r="21" spans="1:18" ht="25.5">
      <c r="A21" s="2621"/>
      <c r="B21" s="328" t="s">
        <v>2760</v>
      </c>
      <c r="C21" s="2678" t="str">
        <f>C7</f>
        <v>估价对象所在区域公共配套设施齐备情况</v>
      </c>
      <c r="D21" s="2640"/>
      <c r="E21" s="2622"/>
      <c r="F21" s="2677" t="s">
        <v>2778</v>
      </c>
      <c r="G21" s="2680"/>
    </row>
    <row r="22" spans="1:18" ht="13.5" customHeight="1">
      <c r="A22" s="2621"/>
      <c r="B22" s="328" t="s">
        <v>2763</v>
      </c>
      <c r="C22" s="2678" t="str">
        <f>C8</f>
        <v>估价对象所在区域基础设施水平</v>
      </c>
      <c r="D22" s="2640"/>
      <c r="E22" s="2622"/>
      <c r="F22" s="2677" t="s">
        <v>2769</v>
      </c>
      <c r="G22" s="2679"/>
    </row>
    <row r="23" spans="1:18" s="887"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7"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32206.890000000196</v>
      </c>
      <c r="C1" s="2864"/>
      <c r="D1" s="2864"/>
      <c r="E1" s="2864"/>
      <c r="F1" s="2864"/>
      <c r="G1" s="2865"/>
      <c r="H1" s="2866"/>
      <c r="I1" s="2866"/>
      <c r="J1" s="2866"/>
      <c r="K1" s="2866"/>
    </row>
    <row r="2" spans="1:11" ht="16.5">
      <c r="A2" s="2687" t="s">
        <v>1078</v>
      </c>
      <c r="B2" s="2687">
        <f>SUM(C14:C23)</f>
        <v>6976.24</v>
      </c>
      <c r="C2" s="2864"/>
      <c r="D2" s="2864"/>
      <c r="E2" s="2864"/>
      <c r="F2" s="2864"/>
      <c r="G2" s="2865"/>
      <c r="H2" s="2866"/>
      <c r="I2" s="2866"/>
      <c r="J2" s="2866"/>
      <c r="K2" s="2866"/>
    </row>
    <row r="3" spans="1:11" ht="16.5">
      <c r="A3" s="2687" t="s">
        <v>1087</v>
      </c>
      <c r="B3" s="2689">
        <f>项目基本情况!D3</f>
        <v>44698</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18313</v>
      </c>
      <c r="C5" s="2687">
        <f ca="1">ROUND(B5*10000/$B$1,0)</f>
        <v>5686</v>
      </c>
      <c r="D5" s="2687">
        <f ca="1">ROUND(B5*10000/$B$2,0)</f>
        <v>26251</v>
      </c>
      <c r="E5" s="2864"/>
      <c r="F5" s="2865"/>
      <c r="G5" s="2865"/>
      <c r="H5" s="2866"/>
      <c r="I5" s="2866"/>
      <c r="J5" s="2866"/>
      <c r="K5" s="2866"/>
    </row>
    <row r="6" spans="1:11" ht="16.5">
      <c r="A6" s="2687" t="s">
        <v>1081</v>
      </c>
      <c r="B6" s="2687">
        <f ca="1">SUM(G14:G23)</f>
        <v>18313</v>
      </c>
      <c r="C6" s="2687">
        <f ca="1">ROUND(B6*10000/$B$1,0)</f>
        <v>5686</v>
      </c>
      <c r="D6" s="2687">
        <f ca="1">ROUND(B6*10000/$B$2,0)</f>
        <v>26251</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32206.890000000196</v>
      </c>
      <c r="C14" s="2693">
        <f>结果表!C118</f>
        <v>6976.24</v>
      </c>
      <c r="D14" s="2693">
        <f ca="1">结果表!H118</f>
        <v>18313</v>
      </c>
      <c r="E14" s="2693">
        <f ca="1">ROUND(D14*10000/B14,0)</f>
        <v>5686</v>
      </c>
      <c r="F14" s="2693">
        <f ca="1">ROUND(D14*10000/C14,0)</f>
        <v>26251</v>
      </c>
      <c r="G14" s="2693">
        <f ca="1">结果表!D122</f>
        <v>18313</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32" sqref="D32"/>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421" t="str">
        <f>项目基本情况!S2</f>
        <v>北京市房地产</v>
      </c>
      <c r="B2" s="3422"/>
      <c r="C2" s="3422"/>
      <c r="D2" s="3422"/>
      <c r="E2" s="3422"/>
      <c r="F2" s="3422"/>
      <c r="G2" s="3422"/>
      <c r="H2" s="3422"/>
      <c r="I2" s="3423"/>
    </row>
    <row r="3" spans="1:12" ht="12.75">
      <c r="A3" s="3425" t="s">
        <v>1709</v>
      </c>
      <c r="B3" s="3426"/>
      <c r="C3" s="3426"/>
      <c r="D3" s="3426"/>
      <c r="E3" s="3426"/>
      <c r="F3" s="3426"/>
      <c r="G3" s="3426"/>
      <c r="H3" s="3426"/>
      <c r="I3" s="3426"/>
    </row>
    <row r="4" spans="1:12" ht="14.25">
      <c r="A4" s="1890" t="s">
        <v>1710</v>
      </c>
      <c r="B4" s="1891" t="s">
        <v>1711</v>
      </c>
      <c r="C4" s="1892" t="s">
        <v>4126</v>
      </c>
      <c r="D4" s="1892" t="s">
        <v>4126</v>
      </c>
      <c r="E4" s="3430" t="s">
        <v>1712</v>
      </c>
      <c r="F4" s="3431"/>
      <c r="G4" s="3431"/>
      <c r="H4" s="3431"/>
      <c r="I4" s="3432"/>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66" t="s">
        <v>1713</v>
      </c>
      <c r="B5" s="3424">
        <v>25</v>
      </c>
      <c r="C5" s="3427"/>
      <c r="D5" s="3415"/>
      <c r="E5" s="135" t="s">
        <v>1714</v>
      </c>
      <c r="F5" s="1893"/>
      <c r="G5" s="1893"/>
      <c r="H5" s="1893"/>
      <c r="I5" s="1507"/>
    </row>
    <row r="6" spans="1:12" ht="12.75">
      <c r="A6" s="3366"/>
      <c r="B6" s="3424"/>
      <c r="C6" s="3429"/>
      <c r="D6" s="3415"/>
      <c r="E6" s="135" t="s">
        <v>1715</v>
      </c>
      <c r="F6" s="1893"/>
      <c r="G6" s="1893"/>
      <c r="H6" s="1893"/>
      <c r="I6" s="1507"/>
    </row>
    <row r="7" spans="1:12" ht="12.75">
      <c r="A7" s="3366"/>
      <c r="B7" s="3424"/>
      <c r="C7" s="3428"/>
      <c r="D7" s="3415"/>
      <c r="E7" s="135" t="s">
        <v>1716</v>
      </c>
      <c r="F7" s="1893"/>
      <c r="G7" s="1893"/>
      <c r="H7" s="1893"/>
      <c r="I7" s="1507"/>
    </row>
    <row r="8" spans="1:12" ht="12.75">
      <c r="A8" s="3366" t="s">
        <v>1717</v>
      </c>
      <c r="B8" s="3424">
        <v>15</v>
      </c>
      <c r="C8" s="3427"/>
      <c r="D8" s="3415"/>
      <c r="E8" s="135" t="s">
        <v>1718</v>
      </c>
      <c r="F8" s="1893"/>
      <c r="G8" s="1893"/>
      <c r="H8" s="1893"/>
      <c r="I8" s="1507"/>
    </row>
    <row r="9" spans="1:12" ht="12.75">
      <c r="A9" s="3366"/>
      <c r="B9" s="3424"/>
      <c r="C9" s="3428"/>
      <c r="D9" s="3415"/>
      <c r="E9" s="135" t="s">
        <v>1719</v>
      </c>
      <c r="F9" s="1893"/>
      <c r="G9" s="1893"/>
      <c r="H9" s="1893"/>
      <c r="I9" s="1507"/>
    </row>
    <row r="10" spans="1:12" ht="12.75">
      <c r="A10" s="3366" t="s">
        <v>1720</v>
      </c>
      <c r="B10" s="3424">
        <v>15</v>
      </c>
      <c r="C10" s="3427"/>
      <c r="D10" s="3415"/>
      <c r="E10" s="135" t="s">
        <v>1721</v>
      </c>
      <c r="F10" s="1893"/>
      <c r="G10" s="1893"/>
      <c r="H10" s="1893"/>
      <c r="I10" s="1507"/>
    </row>
    <row r="11" spans="1:12" ht="12.75">
      <c r="A11" s="3366"/>
      <c r="B11" s="3424"/>
      <c r="C11" s="3428"/>
      <c r="D11" s="3415"/>
      <c r="E11" s="135" t="s">
        <v>1722</v>
      </c>
      <c r="F11" s="1893"/>
      <c r="G11" s="1893"/>
      <c r="H11" s="1893"/>
      <c r="I11" s="1507"/>
    </row>
    <row r="12" spans="1:12" ht="12.75">
      <c r="A12" s="3366" t="s">
        <v>1723</v>
      </c>
      <c r="B12" s="3424">
        <v>15</v>
      </c>
      <c r="C12" s="3427"/>
      <c r="D12" s="3415"/>
      <c r="E12" s="135" t="s">
        <v>1724</v>
      </c>
      <c r="F12" s="1893"/>
      <c r="G12" s="1893"/>
      <c r="H12" s="1893"/>
      <c r="I12" s="1507"/>
    </row>
    <row r="13" spans="1:12" ht="12.75">
      <c r="A13" s="3366"/>
      <c r="B13" s="3424"/>
      <c r="C13" s="3428"/>
      <c r="D13" s="3415"/>
      <c r="E13" s="135" t="s">
        <v>1725</v>
      </c>
      <c r="F13" s="1893"/>
      <c r="G13" s="1893"/>
      <c r="H13" s="1893"/>
      <c r="I13" s="1507"/>
    </row>
    <row r="14" spans="1:12" ht="12.75">
      <c r="A14" s="3366" t="s">
        <v>1726</v>
      </c>
      <c r="B14" s="3424">
        <v>30</v>
      </c>
      <c r="C14" s="3427">
        <v>1</v>
      </c>
      <c r="D14" s="3415">
        <v>1</v>
      </c>
      <c r="E14" s="135" t="s">
        <v>1727</v>
      </c>
      <c r="F14" s="1893"/>
      <c r="G14" s="1893"/>
      <c r="H14" s="1893"/>
      <c r="I14" s="1507"/>
    </row>
    <row r="15" spans="1:12" ht="12.75">
      <c r="A15" s="3366"/>
      <c r="B15" s="3424"/>
      <c r="C15" s="3429"/>
      <c r="D15" s="3415"/>
      <c r="E15" s="135" t="s">
        <v>1728</v>
      </c>
      <c r="F15" s="1893"/>
      <c r="G15" s="1893"/>
      <c r="H15" s="1893"/>
      <c r="I15" s="1507"/>
    </row>
    <row r="16" spans="1:12" ht="12.75">
      <c r="A16" s="3366"/>
      <c r="B16" s="3424"/>
      <c r="C16" s="3428"/>
      <c r="D16" s="3415"/>
      <c r="E16" s="135" t="s">
        <v>1729</v>
      </c>
      <c r="F16" s="1893"/>
      <c r="G16" s="1893"/>
      <c r="H16" s="1893"/>
      <c r="I16" s="1507"/>
    </row>
    <row r="17" spans="1:36" ht="15">
      <c r="A17" s="1894" t="s">
        <v>1730</v>
      </c>
      <c r="B17" s="59"/>
      <c r="C17" s="136">
        <f>SUM(C5:C16)</f>
        <v>1</v>
      </c>
      <c r="D17" s="136">
        <f>SUM(D5:D16)</f>
        <v>1</v>
      </c>
      <c r="E17" s="133"/>
      <c r="F17" s="133"/>
      <c r="G17" s="133"/>
      <c r="H17" s="133"/>
      <c r="I17" s="133"/>
      <c r="K17" s="307"/>
      <c r="L17" s="307" t="s">
        <v>1731</v>
      </c>
      <c r="M17" s="307" t="s">
        <v>1732</v>
      </c>
    </row>
    <row r="18" spans="1:36" ht="31.9" customHeight="1" thickBot="1">
      <c r="A18" s="1895" t="s">
        <v>1733</v>
      </c>
      <c r="B18" s="1896"/>
      <c r="C18" s="137">
        <f>ROUND(C17/SUM(C17:D17),2)</f>
        <v>0.5</v>
      </c>
      <c r="D18" s="137">
        <f>1-C18</f>
        <v>0.5</v>
      </c>
      <c r="E18" s="3446" t="s">
        <v>2631</v>
      </c>
      <c r="F18" s="3447"/>
      <c r="G18" s="3447"/>
      <c r="H18" s="3447"/>
      <c r="I18" s="3447"/>
      <c r="K18" s="307" t="s">
        <v>1734</v>
      </c>
      <c r="L18" s="307">
        <f>IF(C1="",'数据-汇总表'!E3,SUMIF(项目类型,C1,'数据-汇总表'!E17:E26)+SUMIF(项目类型,C1,'数据-汇总表'!I17:I26))</f>
        <v>32206.890000000196</v>
      </c>
      <c r="M18" s="307">
        <f>IF(C1="",'数据-汇总表'!E3,SUMIF(项目类型,C1,'数据-汇总表'!E17:E26))</f>
        <v>32206.890000000196</v>
      </c>
    </row>
    <row r="19" spans="1:36" ht="15">
      <c r="A19" s="1897" t="s">
        <v>1735</v>
      </c>
      <c r="B19" s="1898" t="s">
        <v>1736</v>
      </c>
      <c r="C19" s="138">
        <f ca="1">SUMIF(INDIRECT("'"&amp;C4&amp;"'"&amp;"!A:A"),结果表!B19,INDIRECT("'"&amp;C4&amp;"'"&amp;"!B:B"))</f>
        <v>18313</v>
      </c>
      <c r="D19" s="139">
        <f ca="1">SUMIF(INDIRECT("'"&amp;D4&amp;"'"&amp;"!A:A"),结果表!B19,INDIRECT("'"&amp;D4&amp;"'"&amp;"!B:B"))</f>
        <v>18313</v>
      </c>
      <c r="E19" s="1897" t="s">
        <v>1737</v>
      </c>
      <c r="F19" s="1898" t="s">
        <v>1736</v>
      </c>
      <c r="G19" s="140">
        <f ca="1">ROUND(C19*$C$18+D19*$D$18,0)</f>
        <v>18313</v>
      </c>
      <c r="H19" s="1899" t="s">
        <v>1738</v>
      </c>
      <c r="I19" s="133"/>
      <c r="K19" s="307" t="s">
        <v>1739</v>
      </c>
      <c r="L19" s="307">
        <f>IF(C1="",'数据-汇总表'!D3,SUMIF(项目类型,C1,'数据-汇总表'!D17:D26)+SUMIF(项目类型,C1,'数据-汇总表'!H17:H27))</f>
        <v>6976.24</v>
      </c>
      <c r="M19" s="307">
        <f>IF(C1="",'数据-汇总表'!D3,SUMIF(项目类型,C1,'数据-汇总表'!D17:D26))</f>
        <v>6976.24</v>
      </c>
    </row>
    <row r="20" spans="1:36" ht="15">
      <c r="A20" s="1900"/>
      <c r="B20" s="1137" t="s">
        <v>1740</v>
      </c>
      <c r="C20" s="141">
        <f ca="1">SUMIF(INDIRECT("'"&amp;C4&amp;"'"&amp;"!A:A"),结果表!B20,INDIRECT("'"&amp;C4&amp;"'"&amp;"!B:B"))</f>
        <v>5686</v>
      </c>
      <c r="D20" s="142">
        <f ca="1">SUMIF(INDIRECT("'"&amp;D4&amp;"'"&amp;"!A:A"),结果表!B20,INDIRECT("'"&amp;D4&amp;"'"&amp;"!B:B"))</f>
        <v>5686</v>
      </c>
      <c r="E20" s="1900"/>
      <c r="F20" s="1137" t="s">
        <v>1740</v>
      </c>
      <c r="G20" s="143">
        <f ca="1">ROUND(C20*$C$18+D20*$D$18,0)</f>
        <v>5686</v>
      </c>
      <c r="H20" s="897" t="s">
        <v>1741</v>
      </c>
      <c r="I20" s="133"/>
    </row>
    <row r="21" spans="1:36" ht="15" customHeight="1" thickBot="1">
      <c r="A21" s="917"/>
      <c r="B21" s="1901" t="s">
        <v>1742</v>
      </c>
      <c r="C21" s="727">
        <f ca="1">ROUND(C19*10000/L19,0)</f>
        <v>26251</v>
      </c>
      <c r="D21" s="728">
        <f ca="1">ROUND(D19*10000/L19,0)</f>
        <v>26251</v>
      </c>
      <c r="E21" s="917"/>
      <c r="F21" s="1901" t="s">
        <v>1742</v>
      </c>
      <c r="G21" s="144">
        <f ca="1">ROUND(G19*10000/L19,0)</f>
        <v>26251</v>
      </c>
      <c r="H21" s="1902" t="s">
        <v>1741</v>
      </c>
      <c r="I21" s="133"/>
    </row>
    <row r="22" spans="1:36" ht="15" thickBot="1">
      <c r="A22" s="1824" t="s">
        <v>1743</v>
      </c>
      <c r="B22" s="1903"/>
      <c r="C22" s="1904"/>
      <c r="D22" s="729">
        <f ca="1">IF(C19&lt;D19,D19/C19-1,C19/D19-1)</f>
        <v>0</v>
      </c>
      <c r="E22" s="133"/>
      <c r="F22" s="133"/>
      <c r="G22" s="133"/>
      <c r="H22" s="133"/>
      <c r="I22" s="133"/>
    </row>
    <row r="23" spans="1:36" ht="13.5" thickBot="1">
      <c r="A23" s="1883"/>
      <c r="B23" s="1883"/>
      <c r="C23" s="1883"/>
      <c r="D23" s="1883"/>
      <c r="E23" s="133"/>
      <c r="F23" s="133"/>
      <c r="G23" s="133"/>
      <c r="H23" s="133"/>
      <c r="I23" s="133"/>
    </row>
    <row r="24" spans="1:36" ht="14.25">
      <c r="A24" s="3439" t="s">
        <v>1744</v>
      </c>
      <c r="B24" s="1898" t="s">
        <v>1736</v>
      </c>
      <c r="C24" s="140">
        <f>IF(B30=0,0,D30)</f>
        <v>0</v>
      </c>
      <c r="D24" s="1905"/>
      <c r="E24" s="133"/>
      <c r="F24" s="133"/>
      <c r="G24" s="133"/>
      <c r="H24" s="133"/>
      <c r="I24" s="133"/>
    </row>
    <row r="25" spans="1:36" ht="14.25">
      <c r="A25" s="3440"/>
      <c r="B25" s="1137" t="s">
        <v>1740</v>
      </c>
      <c r="C25" s="145">
        <f>IF(B30=0,0,C30)</f>
        <v>0</v>
      </c>
      <c r="D25" s="1906"/>
      <c r="E25" s="133"/>
      <c r="F25" s="133"/>
      <c r="G25" s="133"/>
      <c r="H25" s="133"/>
      <c r="I25" s="133"/>
    </row>
    <row r="26" spans="1:36" ht="13.5" customHeight="1">
      <c r="A26" s="1907" t="s">
        <v>1745</v>
      </c>
      <c r="B26" s="146" t="s">
        <v>1746</v>
      </c>
      <c r="C26" s="146" t="s">
        <v>1747</v>
      </c>
      <c r="D26" s="147" t="s">
        <v>1748</v>
      </c>
      <c r="E26" s="133"/>
      <c r="F26" s="133"/>
      <c r="G26" s="133"/>
      <c r="H26" s="133"/>
      <c r="I26" s="133"/>
    </row>
    <row r="27" spans="1:36" ht="14.25">
      <c r="A27" s="1907"/>
      <c r="B27" s="146">
        <v>0</v>
      </c>
      <c r="C27" s="146">
        <v>0</v>
      </c>
      <c r="D27" s="147">
        <f>ROUND(C27*B27/10000,0)</f>
        <v>0</v>
      </c>
      <c r="E27" s="133"/>
      <c r="F27" s="133"/>
      <c r="G27" s="133"/>
      <c r="H27" s="133"/>
      <c r="I27" s="133"/>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1749</v>
      </c>
      <c r="B30" s="146"/>
      <c r="C30" s="146"/>
      <c r="D30" s="146"/>
      <c r="E30" s="2471" t="s">
        <v>2632</v>
      </c>
      <c r="F30" s="133"/>
      <c r="G30" s="133"/>
      <c r="H30" s="133"/>
      <c r="I30" s="133"/>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8">
        <f ca="1">IF(D32="总价",G19-C24,G20-C25)</f>
        <v>18313</v>
      </c>
      <c r="D32" s="1911" t="s">
        <v>4127</v>
      </c>
      <c r="E32" s="133"/>
      <c r="F32" s="133"/>
      <c r="G32" s="133"/>
      <c r="H32" s="133"/>
      <c r="I32" s="133"/>
    </row>
    <row r="33" spans="1:15" ht="15">
      <c r="A33" s="874" t="s">
        <v>1751</v>
      </c>
      <c r="B33" s="1912"/>
      <c r="C33" s="1913"/>
      <c r="D33" s="1914"/>
      <c r="E33" s="1915" t="s">
        <v>1752</v>
      </c>
      <c r="F33" s="1916" t="str">
        <f>IF(D32="楼面单价","取值（单价）","取值（总价）")</f>
        <v>取值（总价）</v>
      </c>
      <c r="G33" s="133"/>
      <c r="H33" s="133"/>
      <c r="I33" s="133"/>
    </row>
    <row r="34" spans="1:15" ht="15">
      <c r="A34" s="1917"/>
      <c r="B34" s="1918" t="s">
        <v>1753</v>
      </c>
      <c r="C34" s="152"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3"/>
      <c r="H34" s="133"/>
      <c r="I34" s="133"/>
    </row>
    <row r="35" spans="1:15" ht="15.7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8"/>
      <c r="G35" s="133"/>
      <c r="H35" s="133"/>
      <c r="I35" s="133"/>
    </row>
    <row r="36" spans="1:15" ht="15.75" thickBot="1">
      <c r="A36" s="3416" t="s">
        <v>1757</v>
      </c>
      <c r="B36" s="1923" t="s">
        <v>1758</v>
      </c>
      <c r="C36" s="149"/>
      <c r="D36" s="1924"/>
      <c r="E36" s="1925"/>
      <c r="F36" s="1926"/>
      <c r="G36" s="133"/>
      <c r="H36" s="133"/>
      <c r="I36" s="133"/>
    </row>
    <row r="37" spans="1:15" ht="15.75" thickBot="1">
      <c r="A37" s="3417"/>
      <c r="B37" s="1810" t="s">
        <v>1759</v>
      </c>
      <c r="C37" s="151"/>
      <c r="D37" s="1253"/>
      <c r="E37" s="1253"/>
      <c r="F37" s="1926"/>
      <c r="G37" s="133"/>
      <c r="H37" s="133"/>
      <c r="I37" s="133"/>
    </row>
    <row r="38" spans="1:15" ht="15.75" thickBot="1">
      <c r="A38" s="3418"/>
      <c r="B38" s="1927" t="s">
        <v>1760</v>
      </c>
      <c r="C38" s="682"/>
      <c r="D38" s="1928" t="s">
        <v>1761</v>
      </c>
      <c r="E38" s="1253"/>
      <c r="F38" s="1926"/>
      <c r="G38" s="133"/>
      <c r="H38" s="133"/>
      <c r="I38" s="133"/>
    </row>
    <row r="39" spans="1:15" ht="15">
      <c r="A39" s="1900" t="s">
        <v>1762</v>
      </c>
      <c r="B39" s="1929" t="s">
        <v>1763</v>
      </c>
      <c r="C39" s="1930" t="s">
        <v>1764</v>
      </c>
      <c r="D39" s="1930" t="s">
        <v>1765</v>
      </c>
      <c r="E39" s="1931" t="s">
        <v>1766</v>
      </c>
      <c r="F39" s="1926"/>
      <c r="G39" s="133"/>
      <c r="H39" s="133"/>
      <c r="I39" s="133"/>
    </row>
    <row r="40" spans="1:15" ht="14.25">
      <c r="A40" s="1932" t="s">
        <v>1767</v>
      </c>
      <c r="B40" s="153"/>
      <c r="C40" s="154"/>
      <c r="D40" s="154"/>
      <c r="E40" s="155"/>
      <c r="F40" s="1926"/>
      <c r="G40" s="133"/>
      <c r="H40" s="133"/>
      <c r="I40" s="133"/>
    </row>
    <row r="41" spans="1:15" ht="14.25">
      <c r="A41" s="1932" t="s">
        <v>1768</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36" t="s">
        <v>1771</v>
      </c>
      <c r="B45" s="3437"/>
      <c r="C45" s="3438"/>
      <c r="D45" s="159">
        <f ca="1">ROUND(H101*F45,0)</f>
        <v>18313</v>
      </c>
      <c r="E45" s="160" t="s">
        <v>1772</v>
      </c>
      <c r="F45" s="161">
        <v>1</v>
      </c>
      <c r="G45" s="162" t="s">
        <v>1773</v>
      </c>
      <c r="H45" s="133"/>
      <c r="I45" s="133"/>
      <c r="J45" s="3353" t="s">
        <v>1774</v>
      </c>
      <c r="K45" s="3353"/>
      <c r="L45" s="3353"/>
      <c r="M45" s="3353"/>
      <c r="N45" s="3353"/>
      <c r="O45" s="3353"/>
    </row>
    <row r="46" spans="1:15" ht="14.25" customHeight="1">
      <c r="A46" s="3433" t="s">
        <v>1775</v>
      </c>
      <c r="B46" s="3434"/>
      <c r="C46" s="3434"/>
      <c r="D46" s="3434"/>
      <c r="E46" s="3434"/>
      <c r="F46" s="3434"/>
      <c r="G46" s="3435"/>
      <c r="H46" s="1942"/>
      <c r="I46" s="163"/>
      <c r="J46" s="2698">
        <v>1</v>
      </c>
      <c r="K46" s="3354" t="s">
        <v>1776</v>
      </c>
      <c r="L46" s="3354"/>
      <c r="M46" s="3355"/>
      <c r="N46" s="3355"/>
      <c r="O46" s="3355"/>
    </row>
    <row r="47" spans="1:15" ht="12" customHeight="1">
      <c r="A47" s="164" t="s">
        <v>1777</v>
      </c>
      <c r="B47" s="165"/>
      <c r="C47" s="166"/>
      <c r="D47" s="1199" t="s">
        <v>1778</v>
      </c>
      <c r="E47" s="307" t="s">
        <v>1779</v>
      </c>
      <c r="F47" s="167" t="s">
        <v>1780</v>
      </c>
      <c r="G47" s="2721" t="s">
        <v>1781</v>
      </c>
      <c r="H47" s="2722"/>
      <c r="I47" s="163"/>
      <c r="J47" s="2698">
        <v>2</v>
      </c>
      <c r="K47" s="3354" t="s">
        <v>1782</v>
      </c>
      <c r="L47" s="3354"/>
      <c r="M47" s="3356">
        <f>'数据-取费表'!B2</f>
        <v>44698</v>
      </c>
      <c r="N47" s="3356"/>
      <c r="O47" s="3356"/>
    </row>
    <row r="48" spans="1:15" ht="25.5">
      <c r="A48" s="3419" t="s">
        <v>1783</v>
      </c>
      <c r="B48" s="3420"/>
      <c r="C48" s="3420"/>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354" t="s">
        <v>1785</v>
      </c>
      <c r="L48" s="3354"/>
      <c r="M48" s="3357">
        <f ca="1">H101</f>
        <v>18313</v>
      </c>
      <c r="N48" s="3357"/>
      <c r="O48" s="3357"/>
    </row>
    <row r="49" spans="1:35" ht="25.5" customHeight="1">
      <c r="A49" s="2506" t="s">
        <v>1786</v>
      </c>
      <c r="B49" s="3402" t="s">
        <v>1787</v>
      </c>
      <c r="C49" s="3402"/>
      <c r="D49" s="1725">
        <v>0</v>
      </c>
      <c r="E49" s="329" t="s">
        <v>1788</v>
      </c>
      <c r="F49" s="2599" t="s">
        <v>34</v>
      </c>
      <c r="G49" s="3385"/>
      <c r="H49" s="2478" t="s">
        <v>2634</v>
      </c>
      <c r="I49" s="2479"/>
      <c r="J49" s="2698">
        <v>4</v>
      </c>
      <c r="K49" s="3354" t="str">
        <f>IF(项目基本情况!E8="房地产抵押价值","房地产抵押价值","抵押担保权已注销时的房地产抵押价值")</f>
        <v>房地产抵押价值</v>
      </c>
      <c r="L49" s="3354"/>
      <c r="M49" s="3357">
        <f ca="1">IF(项目基本情况!E8="房地产抵押价值",H107,H109)</f>
        <v>18313</v>
      </c>
      <c r="N49" s="3357"/>
      <c r="O49" s="3357"/>
    </row>
    <row r="50" spans="1:35" ht="25.5" customHeight="1">
      <c r="A50" s="2726"/>
      <c r="B50" s="3402" t="s">
        <v>1789</v>
      </c>
      <c r="C50" s="3402"/>
      <c r="D50" s="2727"/>
      <c r="E50" s="337"/>
      <c r="F50" s="2599"/>
      <c r="G50" s="3386"/>
      <c r="H50" s="2480" t="s">
        <v>2635</v>
      </c>
      <c r="I50" s="2479"/>
      <c r="J50" s="3353" t="s">
        <v>1790</v>
      </c>
      <c r="K50" s="3353"/>
      <c r="L50" s="3353"/>
      <c r="M50" s="3353"/>
      <c r="N50" s="3353"/>
      <c r="O50" s="3353"/>
    </row>
    <row r="51" spans="1:35" ht="20.45" customHeight="1">
      <c r="A51" s="2728"/>
      <c r="B51" s="3402" t="s">
        <v>1791</v>
      </c>
      <c r="C51" s="3402"/>
      <c r="D51" s="1199"/>
      <c r="E51" s="332"/>
      <c r="F51" s="2599"/>
      <c r="G51" s="3387"/>
      <c r="H51" s="2480" t="s">
        <v>2636</v>
      </c>
      <c r="I51" s="2479"/>
      <c r="J51" s="2699" t="s">
        <v>1792</v>
      </c>
      <c r="K51" s="3354" t="s">
        <v>1793</v>
      </c>
      <c r="L51" s="3354"/>
      <c r="M51" s="2699" t="s">
        <v>1794</v>
      </c>
      <c r="N51" s="2699" t="s">
        <v>1795</v>
      </c>
      <c r="O51" s="2699" t="s">
        <v>1796</v>
      </c>
    </row>
    <row r="52" spans="1:35" ht="24" customHeight="1">
      <c r="A52" s="2508" t="s">
        <v>1797</v>
      </c>
      <c r="B52" s="3402" t="s">
        <v>1798</v>
      </c>
      <c r="C52" s="3402"/>
      <c r="D52" s="1199">
        <f ca="1">ROUND(D45*'数据-取费表'!B41/(1+'数据-取费表'!C42),0)</f>
        <v>977</v>
      </c>
      <c r="E52" s="2507" t="s">
        <v>1799</v>
      </c>
      <c r="F52" s="2729">
        <f>'数据-取费表'!B41</f>
        <v>5.6000000000000001E-2</v>
      </c>
      <c r="G52" s="2730"/>
      <c r="H52" s="2719"/>
      <c r="I52" s="1943"/>
      <c r="J52" s="2698">
        <v>1</v>
      </c>
      <c r="K52" s="3379" t="s">
        <v>1800</v>
      </c>
      <c r="L52" s="3379"/>
      <c r="M52" s="2700" t="b">
        <f>D48</f>
        <v>0</v>
      </c>
      <c r="N52" s="2698" t="str">
        <f>E48</f>
        <v>销售额×税（费）率</v>
      </c>
      <c r="O52" s="2701">
        <f>F48</f>
        <v>5.6000000000000001E-2</v>
      </c>
    </row>
    <row r="53" spans="1:35" ht="12" customHeight="1">
      <c r="A53" s="2508" t="s">
        <v>1801</v>
      </c>
      <c r="B53" s="3403" t="s">
        <v>2791</v>
      </c>
      <c r="C53" s="3404"/>
      <c r="D53" s="1199">
        <f ca="1">ROUND(D45*'数据-取费表'!B41/(1+'数据-取费表'!C42),0)</f>
        <v>977</v>
      </c>
      <c r="E53" s="2507" t="s">
        <v>1799</v>
      </c>
      <c r="F53" s="2729">
        <f>'数据-取费表'!B41</f>
        <v>5.6000000000000001E-2</v>
      </c>
      <c r="G53" s="2730"/>
      <c r="H53" s="2719"/>
      <c r="I53" s="1943"/>
      <c r="J53" s="2698">
        <v>2</v>
      </c>
      <c r="K53" s="3379" t="s">
        <v>1802</v>
      </c>
      <c r="L53" s="3379"/>
      <c r="M53" s="2700">
        <f t="shared" ref="M53:O54" ca="1" si="0">D55</f>
        <v>9</v>
      </c>
      <c r="N53" s="2698" t="str">
        <f t="shared" si="0"/>
        <v>销售额×税（费）率</v>
      </c>
      <c r="O53" s="2701" t="str">
        <f t="shared" si="0"/>
        <v>免征</v>
      </c>
    </row>
    <row r="54" spans="1:35" ht="12" customHeight="1">
      <c r="A54" s="2508" t="s">
        <v>1803</v>
      </c>
      <c r="B54" s="3403" t="s">
        <v>2792</v>
      </c>
      <c r="C54" s="3404"/>
      <c r="D54" s="1199">
        <f ca="1">C68</f>
        <v>977</v>
      </c>
      <c r="E54" s="332" t="s">
        <v>1804</v>
      </c>
      <c r="F54" s="2729">
        <f>'数据-取费表'!B41</f>
        <v>5.6000000000000001E-2</v>
      </c>
      <c r="G54" s="2730"/>
      <c r="H54" s="2731"/>
      <c r="I54" s="1943"/>
      <c r="J54" s="2698">
        <v>3</v>
      </c>
      <c r="K54" s="3379" t="s">
        <v>1805</v>
      </c>
      <c r="L54" s="3379"/>
      <c r="M54" s="2700">
        <f t="shared" ca="1" si="0"/>
        <v>10365</v>
      </c>
      <c r="N54" s="2698" t="str">
        <f t="shared" si="0"/>
        <v>增值额×税（费）率</v>
      </c>
      <c r="O54" s="2702" t="str">
        <f t="shared" si="0"/>
        <v>免征</v>
      </c>
    </row>
    <row r="55" spans="1:35" ht="24" customHeight="1">
      <c r="A55" s="3442" t="s">
        <v>1806</v>
      </c>
      <c r="B55" s="3420"/>
      <c r="C55" s="3420"/>
      <c r="D55" s="2497">
        <f ca="1">IF(H55="个人住宅",0,ROUND(D45*I55,0))</f>
        <v>9</v>
      </c>
      <c r="E55" s="2507" t="s">
        <v>1807</v>
      </c>
      <c r="F55" s="2729" t="str">
        <f>IF(H55="正常",I55,"免征")</f>
        <v>免征</v>
      </c>
      <c r="G55" s="2730"/>
      <c r="H55" s="2725"/>
      <c r="I55" s="169">
        <f>'数据-取费表'!B49</f>
        <v>5.0000000000000001E-4</v>
      </c>
      <c r="J55" s="2698">
        <f>IF(H59="非个人房产","",4)</f>
        <v>4</v>
      </c>
      <c r="K55" s="3379" t="str">
        <f>IF(H59="非个人房产","——","个人所得税")</f>
        <v>个人所得税</v>
      </c>
      <c r="L55" s="3379"/>
      <c r="M55" s="2703">
        <f ca="1">D59</f>
        <v>174</v>
      </c>
      <c r="N55" s="2178" t="str">
        <f>E59</f>
        <v>差额计税</v>
      </c>
      <c r="O55" s="2704">
        <f>F59</f>
        <v>0.01</v>
      </c>
    </row>
    <row r="56" spans="1:35" ht="24.75">
      <c r="A56" s="3442" t="s">
        <v>1808</v>
      </c>
      <c r="B56" s="3420"/>
      <c r="C56" s="3420"/>
      <c r="D56" s="2497">
        <f ca="1">IF(H56="个人住宅",D57,D58)</f>
        <v>10365</v>
      </c>
      <c r="E56" s="2507" t="s">
        <v>1809</v>
      </c>
      <c r="F56" s="2729" t="str">
        <f>IF(H56="正常",F58,"免征")</f>
        <v>免征</v>
      </c>
      <c r="G56" s="2732" t="s">
        <v>1810</v>
      </c>
      <c r="H56" s="2733"/>
      <c r="I56" s="1944"/>
      <c r="J56" s="2698" t="str">
        <f>IF(项目基本情况!K6="上海银行",IF(J55="",4,J55+1),"")</f>
        <v/>
      </c>
      <c r="K56" s="3360" t="str">
        <f>IF(项目基本情况!K6="上海银行","其他处置费用","")</f>
        <v/>
      </c>
      <c r="L56" s="3361"/>
      <c r="M56" s="2700" t="str">
        <f>IF(项目基本情况!K6="上海银行",M69,"")</f>
        <v/>
      </c>
      <c r="N56" s="3360" t="str">
        <f>IF(项目基本情况!K6="上海银行","包含处置中涉及的律师、诉讼、拍卖、评估等费用","")</f>
        <v/>
      </c>
      <c r="O56" s="3363"/>
    </row>
    <row r="57" spans="1:35" ht="12.75">
      <c r="A57" s="2508" t="s">
        <v>1786</v>
      </c>
      <c r="B57" s="3403" t="s">
        <v>1811</v>
      </c>
      <c r="C57" s="3404"/>
      <c r="D57" s="1725">
        <v>0</v>
      </c>
      <c r="E57" s="329" t="s">
        <v>1788</v>
      </c>
      <c r="F57" s="307"/>
      <c r="G57" s="2730"/>
      <c r="H57" s="2734"/>
      <c r="I57" s="1944"/>
      <c r="J57" s="3379">
        <f>IF(AND(J55="",J56=""),4,IF(项目基本情况!K6="上海银行",结果表!J56+1,结果表!J55+1))</f>
        <v>5</v>
      </c>
      <c r="K57" s="3379" t="s">
        <v>1812</v>
      </c>
      <c r="L57" s="2705" t="s">
        <v>1813</v>
      </c>
      <c r="M57" s="2706"/>
      <c r="N57" s="2707">
        <f ca="1">SUMIF(M52:M56,"&lt;9e307")</f>
        <v>10548</v>
      </c>
      <c r="O57" s="2708"/>
      <c r="P57" s="2868">
        <f ca="1">N57/M49</f>
        <v>0.57598427346693604</v>
      </c>
    </row>
    <row r="58" spans="1:35" ht="24.75">
      <c r="A58" s="2508" t="s">
        <v>1797</v>
      </c>
      <c r="B58" s="3403" t="s">
        <v>1814</v>
      </c>
      <c r="C58" s="3402"/>
      <c r="D58" s="2497">
        <f ca="1">IF(H58="转让取得",C81,C97)</f>
        <v>10365</v>
      </c>
      <c r="E58" s="2507" t="s">
        <v>1809</v>
      </c>
      <c r="F58" s="307" t="s">
        <v>34</v>
      </c>
      <c r="G58" s="2730"/>
      <c r="H58" s="2733"/>
      <c r="I58" s="1944"/>
      <c r="J58" s="3379"/>
      <c r="K58" s="3379"/>
      <c r="L58" s="2705" t="s">
        <v>1815</v>
      </c>
      <c r="M58" s="2709"/>
      <c r="N58" s="2710" t="str">
        <f ca="1">NUMBERSTRING(INT(N57*10000),2)&amp;"元整"</f>
        <v>壹亿零伍佰肆拾捌万元整</v>
      </c>
      <c r="O58" s="2711"/>
    </row>
    <row r="59" spans="1:35" ht="24.75" thickBot="1">
      <c r="A59" s="3383" t="s">
        <v>1816</v>
      </c>
      <c r="B59" s="3384"/>
      <c r="C59" s="3384"/>
      <c r="D59" s="2735">
        <f ca="1">IF(H59="非个人房产","——",IF(H59="个人住宅（满五唯一有凭证）",0,IF(H59="个人其他（无凭证）",ROUND(D45*F59,0),ROUND(C67*F59,0))))</f>
        <v>174</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381">
        <f>J57+1</f>
        <v>6</v>
      </c>
      <c r="K59" s="3379" t="s">
        <v>1817</v>
      </c>
      <c r="L59" s="2698" t="s">
        <v>1813</v>
      </c>
      <c r="M59" s="2712"/>
      <c r="N59" s="2713">
        <f ca="1">M49-N57</f>
        <v>7765</v>
      </c>
      <c r="O59" s="2714"/>
    </row>
    <row r="60" spans="1:35" ht="12" customHeight="1">
      <c r="A60" s="1945"/>
      <c r="B60" s="1883"/>
      <c r="C60" s="1883"/>
      <c r="D60" s="1883"/>
      <c r="E60" s="1713"/>
      <c r="F60" s="1944"/>
      <c r="G60" s="1944"/>
      <c r="H60" s="1946"/>
      <c r="I60" s="133"/>
      <c r="J60" s="3382"/>
      <c r="K60" s="3379"/>
      <c r="L60" s="2705" t="s">
        <v>1815</v>
      </c>
      <c r="M60" s="2709"/>
      <c r="N60" s="2710" t="str">
        <f ca="1">NUMBERSTRING(INT(N59*10000),2)&amp;"元整"</f>
        <v>柒仟柒佰陆拾伍万元整</v>
      </c>
      <c r="O60" s="2711"/>
    </row>
    <row r="61" spans="1:35" ht="13.5" thickBot="1">
      <c r="A61" s="3441" t="s">
        <v>1818</v>
      </c>
      <c r="B61" s="3441"/>
      <c r="C61" s="3441"/>
      <c r="D61" s="3441"/>
      <c r="E61" s="3441"/>
      <c r="F61" s="1944"/>
      <c r="G61" s="1944"/>
      <c r="H61" s="1946"/>
      <c r="I61" s="133"/>
      <c r="J61" s="2698">
        <f>J59+1</f>
        <v>7</v>
      </c>
      <c r="K61" s="3379" t="s">
        <v>1819</v>
      </c>
      <c r="L61" s="3379"/>
      <c r="M61" s="2715"/>
      <c r="N61" s="2716">
        <f ca="1">ROUND(N59*10000/'数据-汇总表'!E3,0)</f>
        <v>2411</v>
      </c>
      <c r="O61" s="2717"/>
    </row>
    <row r="62" spans="1:35" ht="12.75">
      <c r="A62" s="3398" t="s">
        <v>1820</v>
      </c>
      <c r="B62" s="3399"/>
      <c r="C62" s="2159"/>
      <c r="D62" s="2159" t="s">
        <v>1821</v>
      </c>
      <c r="E62" s="170" t="s">
        <v>1822</v>
      </c>
      <c r="F62" s="1944"/>
      <c r="G62" s="1944"/>
      <c r="H62" s="1946"/>
      <c r="I62" s="133"/>
    </row>
    <row r="63" spans="1:35" ht="12.75">
      <c r="A63" s="177" t="s">
        <v>594</v>
      </c>
      <c r="B63" s="171" t="s">
        <v>1823</v>
      </c>
      <c r="C63" s="2739">
        <f ca="1">ROUND((C64+C65)/(1+'数据-取费表'!C42),0)</f>
        <v>17441</v>
      </c>
      <c r="D63" s="171"/>
      <c r="E63" s="172"/>
      <c r="F63" s="1944"/>
      <c r="G63" s="1944"/>
      <c r="H63" s="1946"/>
      <c r="I63" s="133"/>
      <c r="J63" s="3362" t="s">
        <v>1824</v>
      </c>
      <c r="K63" s="1452" t="s">
        <v>1825</v>
      </c>
      <c r="L63" s="1452">
        <f ca="1">IF(M49&gt;10000,M49*0.5%,IF(AND(M49&gt;1000,M49&lt;=10000),M49*1%,IF(AND(M49&gt;100,M49&lt;=1000),M49*3%,IF(AND(M49&gt;10,M49&lt;=100),M49*5%,M49*8%))))</f>
        <v>91.564999999999998</v>
      </c>
      <c r="M63" s="307">
        <f ca="1">ROUND(L63,1)</f>
        <v>91.6</v>
      </c>
      <c r="N63" s="2718"/>
      <c r="Z63" s="1888"/>
      <c r="AI63" s="1889"/>
    </row>
    <row r="64" spans="1:35" ht="14.25" customHeight="1">
      <c r="A64" s="173" t="s">
        <v>589</v>
      </c>
      <c r="B64" s="174" t="s">
        <v>1826</v>
      </c>
      <c r="C64" s="2740">
        <f ca="1">D45</f>
        <v>18313</v>
      </c>
      <c r="D64" s="174" t="s">
        <v>32</v>
      </c>
      <c r="E64" s="176"/>
      <c r="F64" s="1944"/>
      <c r="G64" s="1944"/>
      <c r="H64" s="1946"/>
      <c r="I64" s="133"/>
      <c r="J64" s="3362"/>
      <c r="K64" s="1452" t="s">
        <v>1827</v>
      </c>
      <c r="L64" s="1452">
        <f ca="1">IF(M49&gt;2000,M49*0.5%,IF(AND(M49&gt;1000,M49&lt;=2000),M49*0.6%,IF(AND(M49&gt;500,M49&lt;=1000),M49*0.7%,IF(AND(M49&gt;200,M49&lt;=500),M49*0.8%,IF(AND(M49&gt;100,M49&lt;=200),M49*0.9%,IF(AND(M49&gt;50,M49&lt;=100),M49*1%,IF(AND(M49&gt;20,M49&lt;=50),M49*1.5%,IF(AND(M49&gt;10,M49&lt;=20),M49*2%,IF(AND(M49&gt;1,M49&lt;=10),M49*2.5%)))))))))</f>
        <v>91.564999999999998</v>
      </c>
      <c r="M64" s="307">
        <f t="shared" ref="M64:M65" ca="1" si="1">ROUND(L64,1)</f>
        <v>91.6</v>
      </c>
      <c r="N64" s="2719" t="s">
        <v>1828</v>
      </c>
      <c r="Z64" s="1888"/>
      <c r="AI64" s="1889"/>
    </row>
    <row r="65" spans="1:35" ht="14.25" customHeight="1">
      <c r="A65" s="173" t="s">
        <v>590</v>
      </c>
      <c r="B65" s="174" t="s">
        <v>1829</v>
      </c>
      <c r="C65" s="2741"/>
      <c r="D65" s="174"/>
      <c r="E65" s="176"/>
      <c r="F65" s="1944"/>
      <c r="G65" s="1944"/>
      <c r="H65" s="1946"/>
      <c r="I65" s="133"/>
      <c r="J65" s="3362"/>
      <c r="K65" s="1452" t="s">
        <v>1830</v>
      </c>
      <c r="L65" s="1452">
        <f ca="1">IF(M49&gt;1000,M49*0.1%,IF(AND(M49&gt;500,M49&lt;=1000),M49*0.5%,IF(AND(M49&gt;50,M49&lt;=500),M49*1%,IF(AND(M49&gt;1,M49&lt;=50),M49*1.5%))))</f>
        <v>18.312999999999999</v>
      </c>
      <c r="M65" s="307">
        <f t="shared" ca="1" si="1"/>
        <v>18.3</v>
      </c>
      <c r="N65" s="2719" t="s">
        <v>1828</v>
      </c>
      <c r="Z65" s="1888"/>
      <c r="AI65" s="1889"/>
    </row>
    <row r="66" spans="1:35" ht="14.25" customHeight="1">
      <c r="A66" s="177" t="s">
        <v>591</v>
      </c>
      <c r="B66" s="178" t="s">
        <v>1831</v>
      </c>
      <c r="C66" s="2742"/>
      <c r="D66" s="178" t="s">
        <v>32</v>
      </c>
      <c r="E66" s="1459" t="s">
        <v>1096</v>
      </c>
      <c r="F66" s="1944"/>
      <c r="G66" s="1944"/>
      <c r="H66" s="1946"/>
      <c r="I66" s="133"/>
      <c r="J66" s="3362"/>
      <c r="K66" s="1452" t="s">
        <v>1832</v>
      </c>
      <c r="L66" s="1452">
        <f ca="1">M49*0.5%</f>
        <v>91.564999999999998</v>
      </c>
      <c r="M66" s="307">
        <f ca="1">IF(L66&gt;0.5,0.5,ROUND(L66,0))</f>
        <v>0.5</v>
      </c>
      <c r="N66" s="2719" t="s">
        <v>1833</v>
      </c>
      <c r="Z66" s="1888"/>
      <c r="AI66" s="1889"/>
    </row>
    <row r="67" spans="1:35" ht="14.25" customHeight="1">
      <c r="A67" s="177" t="s">
        <v>592</v>
      </c>
      <c r="B67" s="178" t="s">
        <v>1834</v>
      </c>
      <c r="C67" s="2743">
        <f ca="1">C63-C66</f>
        <v>17441</v>
      </c>
      <c r="D67" s="174" t="s">
        <v>32</v>
      </c>
      <c r="E67" s="176"/>
      <c r="F67" s="1944"/>
      <c r="G67" s="1944"/>
      <c r="H67" s="1946"/>
      <c r="I67" s="133"/>
      <c r="J67" s="3362"/>
      <c r="K67" s="1452" t="s">
        <v>1835</v>
      </c>
      <c r="L67" s="1452">
        <f ca="1">IF(M49&gt;=10000,(8.25+(M49-10000)*0.01%),IF(AND(M49&gt;=8000,M49&lt;10000),(7.85+(M49-8000)*0.02%),IF(AND(M49&gt;=5000,M49&lt;8000),(6.65+(M49-5000)*0.04%),IF(AND(M49&gt;=2000,M49&lt;5000),(4.25+(PM49-2000)*0.08%),IF(AND(M49&gt;=1000,M49&lt;2000),(2.75+(M49-1000)*0.15%),IF(AND(M49&gt;=100,M49&lt;1000),(0.5+(M49-100)*0.25%),IF(AND(M49&gt;0,M49&lt;100),M49*0.5%)))))))</f>
        <v>9.0813000000000006</v>
      </c>
      <c r="M67" s="307">
        <f ca="1">ROUND(L67*0.9,1)</f>
        <v>8.1999999999999993</v>
      </c>
      <c r="N67" s="2718"/>
      <c r="Z67" s="1888"/>
      <c r="AI67" s="1889"/>
    </row>
    <row r="68" spans="1:35" ht="14.25" customHeight="1" thickBot="1">
      <c r="A68" s="180" t="s">
        <v>593</v>
      </c>
      <c r="B68" s="181" t="s">
        <v>1836</v>
      </c>
      <c r="C68" s="2744">
        <f ca="1">IF(C67&lt;=0,0,ROUND(C67*D68,0))</f>
        <v>977</v>
      </c>
      <c r="D68" s="2745">
        <f>'数据-取费表'!B41</f>
        <v>5.6000000000000001E-2</v>
      </c>
      <c r="E68" s="183"/>
      <c r="F68" s="1944"/>
      <c r="G68" s="1944"/>
      <c r="H68" s="1946"/>
      <c r="I68" s="133"/>
      <c r="J68" s="3362"/>
      <c r="K68" s="1452" t="s">
        <v>1837</v>
      </c>
      <c r="L68" s="1452">
        <f ca="1">IF(M49&gt;10000,M49*0.5%,IF(AND(M49&gt;5000,M49&lt;=10000),M49*1%,IF(AND(M49&gt;1000,M49&lt;=5000),M49*2%,IF(AND(M49&gt;200,M49&lt;=1000),M49*3%,M49*5%))))</f>
        <v>91.564999999999998</v>
      </c>
      <c r="M68" s="307">
        <f ca="1">ROUND(L68,1)</f>
        <v>91.6</v>
      </c>
      <c r="N68" s="2718"/>
      <c r="Z68" s="1888"/>
      <c r="AI68" s="1889"/>
    </row>
    <row r="69" spans="1:35" s="1908" customFormat="1" ht="16.5" customHeight="1">
      <c r="A69" s="1947"/>
      <c r="B69" s="1948"/>
      <c r="C69" s="1949"/>
      <c r="D69" s="1950"/>
      <c r="E69" s="1951"/>
      <c r="F69" s="1713"/>
      <c r="G69" s="1713"/>
      <c r="H69" s="1712"/>
      <c r="I69" s="1883"/>
      <c r="J69" s="3362"/>
      <c r="K69" s="1452" t="s">
        <v>1838</v>
      </c>
      <c r="L69" s="1452"/>
      <c r="M69" s="307">
        <f ca="1">ROUND(SUM(M63:M68),0)</f>
        <v>302</v>
      </c>
      <c r="N69" s="2720">
        <f ca="1">M69/M49</f>
        <v>1.6491017310107575E-2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406" t="s">
        <v>1839</v>
      </c>
      <c r="B70" s="3407"/>
      <c r="C70" s="3407"/>
      <c r="D70" s="3407"/>
      <c r="E70" s="3407"/>
      <c r="F70" s="3407"/>
      <c r="G70" s="3407"/>
      <c r="H70" s="3407"/>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8" t="s">
        <v>1820</v>
      </c>
      <c r="B71" s="3399"/>
      <c r="C71" s="2159"/>
      <c r="D71" s="2159" t="s">
        <v>1821</v>
      </c>
      <c r="E71" s="184" t="s">
        <v>1822</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7" t="s">
        <v>594</v>
      </c>
      <c r="B72" s="178" t="s">
        <v>1840</v>
      </c>
      <c r="C72" s="2743">
        <f ca="1">ROUND(D45/(1+'数据-取费表'!C42),0)</f>
        <v>17441</v>
      </c>
      <c r="D72" s="174" t="s">
        <v>32</v>
      </c>
      <c r="E72" s="2504"/>
      <c r="F72" s="2503"/>
      <c r="G72" s="2503"/>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7" t="s">
        <v>591</v>
      </c>
      <c r="B73" s="167" t="s">
        <v>1841</v>
      </c>
      <c r="C73" s="2743">
        <f ca="1">C74+C78</f>
        <v>105</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1842</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3" t="s">
        <v>595</v>
      </c>
      <c r="B75" s="174" t="s">
        <v>1843</v>
      </c>
      <c r="C75" s="2746"/>
      <c r="D75" s="174" t="s">
        <v>32</v>
      </c>
      <c r="E75" s="189" t="s">
        <v>1844</v>
      </c>
      <c r="F75" s="2747"/>
      <c r="G75" s="189"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1846</v>
      </c>
      <c r="C76" s="174">
        <f>IF(F75="购房发票",ROUND(C75*H75*D76,0),0)</f>
        <v>0</v>
      </c>
      <c r="D76" s="2749">
        <v>0.05</v>
      </c>
      <c r="E76" s="3403" t="s">
        <v>1847</v>
      </c>
      <c r="F76" s="3402"/>
      <c r="G76" s="3402"/>
      <c r="H76" s="3405"/>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1848</v>
      </c>
      <c r="C77" s="174">
        <f>ROUND(IF(G77="个人住宅",0,IF(G77="2016年5月1日前购买",C75*D77,C75*D77/(1+'数据-取费表'!C42))),0)</f>
        <v>0</v>
      </c>
      <c r="D77" s="2750">
        <f>'数据-取费表'!B48+'数据-取费表'!B49</f>
        <v>3.0499999999999999E-2</v>
      </c>
      <c r="E77" s="2497" t="s">
        <v>1849</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1850</v>
      </c>
      <c r="C78" s="2751">
        <f ca="1">ROUND(D45*D78/(1+'数据-取费表'!C42),0)</f>
        <v>105</v>
      </c>
      <c r="D78" s="2752">
        <f>'数据-取费表'!B43</f>
        <v>6.000000000000001E-3</v>
      </c>
      <c r="E78" s="3395" t="s">
        <v>1851</v>
      </c>
      <c r="F78" s="3396"/>
      <c r="G78" s="3396"/>
      <c r="H78" s="3397"/>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7" t="s">
        <v>598</v>
      </c>
      <c r="B79" s="178" t="s">
        <v>1852</v>
      </c>
      <c r="C79" s="2743">
        <f ca="1">C72-C73</f>
        <v>17336</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1853</v>
      </c>
      <c r="C80" s="2753">
        <f ca="1">IF(C79&lt;=0,0,C79/C73)</f>
        <v>165.10476190476192</v>
      </c>
      <c r="D80" s="174"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0" t="s">
        <v>600</v>
      </c>
      <c r="B81" s="181" t="s">
        <v>1854</v>
      </c>
      <c r="C81" s="2754">
        <f ca="1">ROUND(IF(C79&lt;=0,0,IF(C80&gt;=200%,C79*60%-C73*35%,IF(C80&gt;=100%,C79*50%-C73*15%,IF(C80&gt;=50%,C79*40%-C73*5%,IF(C80&lt;50%,C79*30%,0))))),0)</f>
        <v>10365</v>
      </c>
      <c r="D81" s="275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06" t="s">
        <v>1855</v>
      </c>
      <c r="B83" s="3407"/>
      <c r="C83" s="3407"/>
      <c r="D83" s="3407"/>
      <c r="E83" s="3407"/>
      <c r="F83" s="3407"/>
      <c r="G83" s="3407"/>
      <c r="H83" s="3407"/>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8" t="s">
        <v>1820</v>
      </c>
      <c r="B84" s="3399"/>
      <c r="C84" s="2159"/>
      <c r="D84" s="2159" t="s">
        <v>1821</v>
      </c>
      <c r="E84" s="184" t="s">
        <v>1822</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7" t="s">
        <v>594</v>
      </c>
      <c r="B85" s="178" t="s">
        <v>1840</v>
      </c>
      <c r="C85" s="2743">
        <f ca="1">ROUND(D45/(1+'数据-取费表'!C42),0)</f>
        <v>17441</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7" t="s">
        <v>591</v>
      </c>
      <c r="B86" s="167" t="s">
        <v>1841</v>
      </c>
      <c r="C86" s="2743">
        <f ca="1">IF(H88="仅含出让金",C87+C90+C91+C92+C93+C94,C87+C91+C92+C93+C94)</f>
        <v>105</v>
      </c>
      <c r="D86" s="2756"/>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3" t="s">
        <v>589</v>
      </c>
      <c r="B87" s="174"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3" t="s">
        <v>595</v>
      </c>
      <c r="B88" s="174" t="s">
        <v>1857</v>
      </c>
      <c r="C88" s="2757"/>
      <c r="D88" s="2752"/>
      <c r="E88" s="198" t="s">
        <v>1858</v>
      </c>
      <c r="F88" s="2500"/>
      <c r="G88" s="199"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3" t="s">
        <v>596</v>
      </c>
      <c r="B89" s="174" t="s">
        <v>1848</v>
      </c>
      <c r="C89" s="2751">
        <f>ROUND(C88*D89,0)</f>
        <v>0</v>
      </c>
      <c r="D89" s="2752">
        <f>'数据-取费表'!B48+'数据-取费表'!B49</f>
        <v>3.0499999999999999E-2</v>
      </c>
      <c r="E89" s="198"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3" t="s">
        <v>590</v>
      </c>
      <c r="B90" s="174" t="s">
        <v>1861</v>
      </c>
      <c r="C90" s="2757"/>
      <c r="D90" s="2752"/>
      <c r="E90" s="198" t="str">
        <f>IF(H88="-","土地取得成本中已包含该笔费用"," ")</f>
        <v xml:space="preserve"> </v>
      </c>
      <c r="F90" s="2500"/>
      <c r="G90" s="3364" t="s">
        <v>2629</v>
      </c>
      <c r="H90" s="3365"/>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1862</v>
      </c>
      <c r="B91" s="174" t="s">
        <v>1863</v>
      </c>
      <c r="C91" s="2751">
        <f>IF(H91="——",成本法!C33,I91)</f>
        <v>0</v>
      </c>
      <c r="D91" s="2752"/>
      <c r="E91" s="3395" t="s">
        <v>1864</v>
      </c>
      <c r="F91" s="3396"/>
      <c r="G91" s="3396"/>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1865</v>
      </c>
      <c r="B92" s="174" t="s">
        <v>1866</v>
      </c>
      <c r="C92" s="2751">
        <f>ROUND((C87+C90+C91)*D92,0)</f>
        <v>0</v>
      </c>
      <c r="D92" s="2758"/>
      <c r="E92" s="3395" t="s">
        <v>1867</v>
      </c>
      <c r="F92" s="3396"/>
      <c r="G92" s="3396"/>
      <c r="H92" s="3397"/>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1868</v>
      </c>
      <c r="B93" s="174" t="s">
        <v>1850</v>
      </c>
      <c r="C93" s="2751">
        <f ca="1">ROUND(D45*D93/(1+'数据-取费表'!C42),0)</f>
        <v>105</v>
      </c>
      <c r="D93" s="2752">
        <f>'数据-取费表'!B43</f>
        <v>6.000000000000001E-3</v>
      </c>
      <c r="E93" s="3395" t="s">
        <v>1851</v>
      </c>
      <c r="F93" s="3396"/>
      <c r="G93" s="3396"/>
      <c r="H93" s="3397"/>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1869</v>
      </c>
      <c r="B94" s="174" t="s">
        <v>1870</v>
      </c>
      <c r="C94" s="2757">
        <f>ROUND((C87+C90+C91)*D94,0)</f>
        <v>0</v>
      </c>
      <c r="D94" s="2752">
        <v>0.2</v>
      </c>
      <c r="E94" s="3443" t="s">
        <v>1871</v>
      </c>
      <c r="F94" s="3444"/>
      <c r="G94" s="3444"/>
      <c r="H94" s="3445"/>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7" t="s">
        <v>598</v>
      </c>
      <c r="B95" s="178" t="s">
        <v>1852</v>
      </c>
      <c r="C95" s="2743">
        <f ca="1">ROUND(C85-C86,0)</f>
        <v>17336</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1853</v>
      </c>
      <c r="C96" s="2753">
        <f ca="1">IF(C95&lt;=0,0,C95/C86)</f>
        <v>165.10476190476192</v>
      </c>
      <c r="D96" s="174"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0" t="s">
        <v>600</v>
      </c>
      <c r="B97" s="181" t="s">
        <v>1854</v>
      </c>
      <c r="C97" s="2754">
        <f ca="1">ROUND(IF(C95&lt;=0,0,IF(C96&gt;=200%,C95*60%-C86*35%,IF(C96&gt;=100%,C95*50%-C86*15%,IF(C96&gt;=50%,C95*40%-C86*5%,IF(C96&lt;50%,C95*30%,0))))),0)</f>
        <v>10365</v>
      </c>
      <c r="D97" s="275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1872</v>
      </c>
      <c r="B99" s="1883"/>
      <c r="C99" s="1883"/>
      <c r="D99" s="1883"/>
      <c r="E99" s="1713"/>
      <c r="F99" s="1713"/>
      <c r="G99" s="1713"/>
      <c r="H99" s="1712"/>
      <c r="I99" s="133"/>
    </row>
    <row r="100" spans="1:35" ht="18.75" customHeight="1">
      <c r="A100" s="3345" t="s">
        <v>1873</v>
      </c>
      <c r="B100" s="3346"/>
      <c r="C100" s="3346"/>
      <c r="D100" s="3380"/>
      <c r="E100" s="3346" t="s">
        <v>1874</v>
      </c>
      <c r="F100" s="3346"/>
      <c r="G100" s="3346"/>
      <c r="H100" s="3380"/>
      <c r="I100" s="133"/>
    </row>
    <row r="101" spans="1:35" ht="18.75" customHeight="1">
      <c r="A101" s="3388" t="s">
        <v>1875</v>
      </c>
      <c r="B101" s="3389"/>
      <c r="C101" s="2760" t="str">
        <f>C4</f>
        <v>典型户型修正</v>
      </c>
      <c r="D101" s="2761" t="str">
        <f>D4</f>
        <v>典型户型修正</v>
      </c>
      <c r="E101" s="3358" t="s">
        <v>1876</v>
      </c>
      <c r="F101" s="3359"/>
      <c r="G101" s="1963" t="s">
        <v>1877</v>
      </c>
      <c r="H101" s="2770">
        <f ca="1">H118</f>
        <v>18313</v>
      </c>
      <c r="I101" s="133"/>
    </row>
    <row r="102" spans="1:35" ht="18.75" customHeight="1">
      <c r="A102" s="3390" t="s">
        <v>1878</v>
      </c>
      <c r="B102" s="2759" t="s">
        <v>1877</v>
      </c>
      <c r="C102" s="2760">
        <f ca="1">C19</f>
        <v>18313</v>
      </c>
      <c r="D102" s="2761">
        <f ca="1">D19</f>
        <v>18313</v>
      </c>
      <c r="E102" s="3358"/>
      <c r="F102" s="3359"/>
      <c r="G102" s="1963" t="s">
        <v>1879</v>
      </c>
      <c r="H102" s="2730">
        <f ca="1">I118</f>
        <v>5686</v>
      </c>
      <c r="I102" s="133"/>
    </row>
    <row r="103" spans="1:35" ht="42.75" customHeight="1">
      <c r="A103" s="3390"/>
      <c r="B103" s="2759" t="s">
        <v>1879</v>
      </c>
      <c r="C103" s="2762">
        <f ca="1">C20</f>
        <v>5686</v>
      </c>
      <c r="D103" s="2763">
        <f ca="1">D20</f>
        <v>5686</v>
      </c>
      <c r="E103" s="3351" t="s">
        <v>1880</v>
      </c>
      <c r="F103" s="3352"/>
      <c r="G103" s="1964" t="s">
        <v>1881</v>
      </c>
      <c r="H103" s="2770">
        <f>IF(D36="正常操作",H104+H105+H106,H105+H106)</f>
        <v>0</v>
      </c>
      <c r="I103" s="133"/>
    </row>
    <row r="104" spans="1:35" ht="18.75" customHeight="1">
      <c r="A104" s="3390" t="s">
        <v>1882</v>
      </c>
      <c r="B104" s="2764" t="s">
        <v>1877</v>
      </c>
      <c r="C104" s="2765">
        <f ca="1">H118</f>
        <v>18313</v>
      </c>
      <c r="D104" s="2766"/>
      <c r="E104" s="1810" t="s">
        <v>1883</v>
      </c>
      <c r="F104" s="1801"/>
      <c r="G104" s="1964" t="s">
        <v>1881</v>
      </c>
      <c r="H104" s="2771">
        <f>IF(D36="同一抵押权人同一抵押物续贷",C36&amp;"（续贷，未扣减，详见特别提示）",C36)</f>
        <v>0</v>
      </c>
      <c r="I104" s="133"/>
    </row>
    <row r="105" spans="1:35" ht="18.75" customHeight="1" thickBot="1">
      <c r="A105" s="3400"/>
      <c r="B105" s="2767" t="s">
        <v>1879</v>
      </c>
      <c r="C105" s="2768">
        <f ca="1">I118</f>
        <v>5686</v>
      </c>
      <c r="D105" s="2769"/>
      <c r="E105" s="1810" t="s">
        <v>1884</v>
      </c>
      <c r="F105" s="1801"/>
      <c r="G105" s="1964" t="s">
        <v>1881</v>
      </c>
      <c r="H105" s="2772">
        <f>C37</f>
        <v>0</v>
      </c>
      <c r="I105" s="133"/>
    </row>
    <row r="106" spans="1:35" ht="18.75" customHeight="1">
      <c r="A106" s="1883" t="s">
        <v>1885</v>
      </c>
      <c r="B106" s="1883"/>
      <c r="C106" s="1883"/>
      <c r="D106" s="1883"/>
      <c r="E106" s="1965" t="s">
        <v>1886</v>
      </c>
      <c r="F106" s="1801"/>
      <c r="G106" s="1964" t="s">
        <v>1881</v>
      </c>
      <c r="H106" s="2772">
        <f>C38</f>
        <v>0</v>
      </c>
      <c r="I106" s="133"/>
    </row>
    <row r="107" spans="1:35" ht="18.75" customHeight="1">
      <c r="A107" s="133"/>
      <c r="B107" s="133"/>
      <c r="C107" s="133"/>
      <c r="D107" s="133"/>
      <c r="E107" s="3391" t="str">
        <f>IF(项目基本情况!E8="已注销","——","3.房地产抵押价值")</f>
        <v>3.房地产抵押价值</v>
      </c>
      <c r="F107" s="3359"/>
      <c r="G107" s="1963" t="s">
        <v>1877</v>
      </c>
      <c r="H107" s="2770">
        <f ca="1">IF(E107="——","——",H101-H103)</f>
        <v>18313</v>
      </c>
      <c r="I107" s="133"/>
    </row>
    <row r="108" spans="1:35" ht="18.75" customHeight="1">
      <c r="A108" s="133"/>
      <c r="B108" s="133"/>
      <c r="C108" s="133"/>
      <c r="D108" s="133"/>
      <c r="E108" s="3391"/>
      <c r="F108" s="3359"/>
      <c r="G108" s="1963" t="s">
        <v>1879</v>
      </c>
      <c r="H108" s="2730">
        <f ca="1">ROUND(H107*10000/'数据-汇总表'!E3,0)</f>
        <v>5686</v>
      </c>
      <c r="I108" s="133"/>
    </row>
    <row r="109" spans="1:35" ht="18.75" customHeight="1">
      <c r="A109" s="133"/>
      <c r="B109" s="133"/>
      <c r="C109" s="133"/>
      <c r="D109" s="133"/>
      <c r="E109" s="3391" t="str">
        <f>IF(项目基本情况!E8="已注销及未注销","4.抵押担保权已注销时的房地产抵押价值",IF(项目基本情况!E8="已注销","3.抵押担保权已注销时的房地产抵押价值","——"))</f>
        <v>——</v>
      </c>
      <c r="F109" s="3359"/>
      <c r="G109" s="1963" t="s">
        <v>1877</v>
      </c>
      <c r="H109" s="2773" t="str">
        <f>IF(E109="——","——",H101-H105-H106)</f>
        <v>——</v>
      </c>
      <c r="I109" s="133"/>
    </row>
    <row r="110" spans="1:35" ht="18.75" customHeight="1">
      <c r="A110" s="133"/>
      <c r="B110" s="133"/>
      <c r="C110" s="133"/>
      <c r="D110" s="133"/>
      <c r="E110" s="3391"/>
      <c r="F110" s="3359"/>
      <c r="G110" s="1963" t="s">
        <v>1879</v>
      </c>
      <c r="H110" s="2730" t="str">
        <f>IF(H109="——","——",ROUND(H109*10000/'数据-汇总表'!E3,0))</f>
        <v>——</v>
      </c>
      <c r="I110" s="133"/>
    </row>
    <row r="111" spans="1:35" ht="18.75" customHeight="1">
      <c r="A111" s="133"/>
      <c r="B111" s="133"/>
      <c r="C111" s="133"/>
      <c r="D111" s="133"/>
      <c r="E111" s="3392" t="str">
        <f>IF(项目基本情况!E9="抵押净值",IF(OR(项目基本情况!E8="已注销",项目基本情况!E8="房地产抵押价值"),"4.抵押净值","5.抵押净值"),"——")</f>
        <v>——</v>
      </c>
      <c r="F111" s="3378"/>
      <c r="G111" s="1963" t="s">
        <v>1877</v>
      </c>
      <c r="H111" s="2770" t="str">
        <f>IF(E111="——","——",N59)</f>
        <v>——</v>
      </c>
      <c r="I111" s="133"/>
    </row>
    <row r="112" spans="1:35" ht="18.75" customHeight="1" thickBot="1">
      <c r="A112" s="133"/>
      <c r="B112" s="133"/>
      <c r="C112" s="133"/>
      <c r="D112" s="133"/>
      <c r="E112" s="3393"/>
      <c r="F112" s="3394"/>
      <c r="G112" s="1966" t="s">
        <v>1879</v>
      </c>
      <c r="H112" s="2774" t="str">
        <f>IF(E111="——","——",N61)</f>
        <v>——</v>
      </c>
      <c r="I112" s="133"/>
    </row>
    <row r="113" spans="1:27" ht="18.75" customHeight="1">
      <c r="A113" s="133"/>
      <c r="B113" s="133"/>
      <c r="C113" s="133"/>
      <c r="D113" s="133"/>
      <c r="E113" s="3401" t="s">
        <v>1885</v>
      </c>
      <c r="F113" s="3401"/>
      <c r="G113" s="3401"/>
      <c r="H113" s="3401"/>
      <c r="I113" s="133"/>
    </row>
    <row r="114" spans="1:27" ht="3.75" customHeight="1">
      <c r="A114" s="1883"/>
      <c r="B114" s="1883"/>
      <c r="C114" s="1883"/>
      <c r="D114" s="1883"/>
      <c r="E114" s="1945"/>
      <c r="F114" s="1945"/>
      <c r="G114" s="1945"/>
      <c r="H114" s="1945"/>
      <c r="I114" s="1883"/>
    </row>
    <row r="115" spans="1:27" ht="18.75" customHeight="1">
      <c r="A115" s="3412" t="s">
        <v>1887</v>
      </c>
      <c r="B115" s="3413"/>
      <c r="C115" s="3413"/>
      <c r="D115" s="3413"/>
      <c r="E115" s="3413"/>
      <c r="F115" s="3413"/>
      <c r="G115" s="3413"/>
      <c r="H115" s="3413"/>
      <c r="I115" s="3414"/>
    </row>
    <row r="116" spans="1:27" ht="27" customHeight="1">
      <c r="A116" s="3366" t="s">
        <v>1888</v>
      </c>
      <c r="B116" s="3370" t="s">
        <v>1889</v>
      </c>
      <c r="C116" s="3370" t="s">
        <v>1890</v>
      </c>
      <c r="D116" s="3376" t="s">
        <v>1891</v>
      </c>
      <c r="E116" s="3377"/>
      <c r="F116" s="3408" t="s">
        <v>1892</v>
      </c>
      <c r="G116" s="3408"/>
      <c r="H116" s="3366" t="s">
        <v>1893</v>
      </c>
      <c r="I116" s="3366"/>
    </row>
    <row r="117" spans="1:27" ht="18.75" customHeight="1">
      <c r="A117" s="3366"/>
      <c r="B117" s="3371"/>
      <c r="C117" s="3371"/>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32206.890000000196</v>
      </c>
      <c r="C118" s="2502">
        <f>M19</f>
        <v>6976.24</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18313</v>
      </c>
      <c r="I118" s="2502">
        <f ca="1">ROUND(IF(D32="楼面单价",C32,H118*10000/B118),0)</f>
        <v>5686</v>
      </c>
    </row>
    <row r="119" spans="1:27" ht="18.75" customHeight="1">
      <c r="A119" s="3366" t="s">
        <v>1897</v>
      </c>
      <c r="B119" s="3366"/>
      <c r="C119" s="3366"/>
      <c r="D119" s="3372" t="e">
        <f ca="1">NUMBERSTRING(INT(D118*10000),2)&amp;"元整"</f>
        <v>#REF!</v>
      </c>
      <c r="E119" s="3373"/>
      <c r="F119" s="3372" t="e">
        <f ca="1">NUMBERSTRING(INT(F118*10000),2)&amp;"元整"</f>
        <v>#REF!</v>
      </c>
      <c r="G119" s="3373"/>
      <c r="H119" s="3372" t="str">
        <f ca="1">NUMBERSTRING(INT(H118*10000),2)&amp;"元整"</f>
        <v>壹亿捌仟叁佰壹拾叁万元整</v>
      </c>
      <c r="I119" s="3373"/>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9" t="s">
        <v>1897</v>
      </c>
      <c r="B121" s="3410"/>
      <c r="C121" s="3411"/>
      <c r="D121" s="3372" t="str">
        <f>IF(D120=0,"零元整",NUMBERSTRING(INT(D120*10000),2)&amp;"元整")</f>
        <v>零元整</v>
      </c>
      <c r="E121" s="3374"/>
      <c r="F121" s="3374"/>
      <c r="G121" s="3374"/>
      <c r="H121" s="3374"/>
      <c r="I121" s="3373"/>
      <c r="AA121" s="733"/>
    </row>
    <row r="122" spans="1:27" ht="18.75" customHeight="1">
      <c r="A122" s="3378" t="str">
        <f>IF(项目基本情况!B9="房地产市场价值","",MID(E107,3,LEN(E107)-2))</f>
        <v>房地产抵押价值</v>
      </c>
      <c r="B122" s="3378"/>
      <c r="C122" s="3378"/>
      <c r="D122" s="3367">
        <f ca="1">H107</f>
        <v>18313</v>
      </c>
      <c r="E122" s="3368"/>
      <c r="F122" s="3368"/>
      <c r="G122" s="3368"/>
      <c r="H122" s="3368"/>
      <c r="I122" s="3369"/>
      <c r="AA122" s="733"/>
    </row>
    <row r="123" spans="1:27" ht="18.75" customHeight="1">
      <c r="A123" s="3366" t="s">
        <v>1897</v>
      </c>
      <c r="B123" s="3366"/>
      <c r="C123" s="3366"/>
      <c r="D123" s="3372" t="str">
        <f ca="1">NUMBERSTRING(INT(D122*10000),2)&amp;"元整"</f>
        <v>壹亿捌仟叁佰壹拾叁万元整</v>
      </c>
      <c r="E123" s="3374"/>
      <c r="F123" s="3374"/>
      <c r="G123" s="3374"/>
      <c r="H123" s="3374"/>
      <c r="I123" s="3373"/>
      <c r="AA123" s="733"/>
    </row>
    <row r="124" spans="1:27" ht="18.75" customHeight="1">
      <c r="A124" s="3378" t="str">
        <f>IF(项目基本情况!B9="房地产市场价值","",MID(E109,3,LEN(E109)-2))</f>
        <v/>
      </c>
      <c r="B124" s="3378"/>
      <c r="C124" s="3378"/>
      <c r="D124" s="3367" t="str">
        <f>H109</f>
        <v>——</v>
      </c>
      <c r="E124" s="3368"/>
      <c r="F124" s="3368"/>
      <c r="G124" s="3368"/>
      <c r="H124" s="3368"/>
      <c r="I124" s="3369"/>
      <c r="AA124" s="733"/>
    </row>
    <row r="125" spans="1:27" ht="18.75" customHeight="1">
      <c r="A125" s="3366" t="s">
        <v>1897</v>
      </c>
      <c r="B125" s="3366"/>
      <c r="C125" s="3366"/>
      <c r="D125" s="3372" t="e">
        <f>NUMBERSTRING(INT(D124*10000),2)&amp;"元整"</f>
        <v>#VALUE!</v>
      </c>
      <c r="E125" s="3374"/>
      <c r="F125" s="3374"/>
      <c r="G125" s="3374"/>
      <c r="H125" s="3374"/>
      <c r="I125" s="3373"/>
      <c r="AA125" s="733"/>
    </row>
    <row r="126" spans="1:27" ht="18.75" customHeight="1">
      <c r="A126" s="3378" t="str">
        <f>IF(项目基本情况!B9="房地产市场价值","",MID(E111,3,LEN(E111)-2))</f>
        <v/>
      </c>
      <c r="B126" s="3378"/>
      <c r="C126" s="3378"/>
      <c r="D126" s="3367" t="str">
        <f>H111</f>
        <v>——</v>
      </c>
      <c r="E126" s="3368"/>
      <c r="F126" s="3368"/>
      <c r="G126" s="3368"/>
      <c r="H126" s="3368"/>
      <c r="I126" s="3369"/>
      <c r="AA126" s="733"/>
    </row>
    <row r="127" spans="1:27" ht="18.75" customHeight="1">
      <c r="A127" s="3366" t="s">
        <v>1897</v>
      </c>
      <c r="B127" s="3366"/>
      <c r="C127" s="3366"/>
      <c r="D127" s="3372" t="e">
        <f>NUMBERSTRING(INT(D126*10000),2)&amp;"元整"</f>
        <v>#VALUE!</v>
      </c>
      <c r="E127" s="3374"/>
      <c r="F127" s="3374"/>
      <c r="G127" s="3374"/>
      <c r="H127" s="3374"/>
      <c r="I127" s="3373"/>
      <c r="AA127" s="733"/>
    </row>
    <row r="128" spans="1:27" ht="21.75" customHeight="1">
      <c r="A128" s="3375" t="s">
        <v>1898</v>
      </c>
      <c r="B128" s="3375"/>
      <c r="C128" s="3375"/>
      <c r="D128" s="3375"/>
      <c r="E128" s="3375"/>
      <c r="F128" s="3375"/>
      <c r="G128" s="3375"/>
      <c r="H128" s="3375"/>
      <c r="I128" s="3375"/>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4"/>
      <c r="C1" s="203"/>
      <c r="D1" s="203"/>
      <c r="E1" s="203"/>
      <c r="F1" s="203"/>
      <c r="G1" s="1240">
        <f>MATCH(B1,'数据-取费表'!A6:A16,0)+5</f>
        <v>8</v>
      </c>
    </row>
    <row r="2" spans="1:9" s="205" customFormat="1" ht="18" customHeight="1">
      <c r="A2" s="206" t="s">
        <v>1907</v>
      </c>
      <c r="B2" s="207">
        <f ca="1">IF(D2="——",C52,C52-E2)</f>
        <v>11729</v>
      </c>
      <c r="C2" s="204" t="s">
        <v>1908</v>
      </c>
      <c r="D2" s="1989" t="s">
        <v>70</v>
      </c>
      <c r="E2" s="1283" t="e">
        <f ca="1">SUMIF(INDIRECT("'"&amp;G2&amp;"'"&amp;"!A:A"),"承租人权益价值",INDIRECT("'"&amp;G2&amp;"'"&amp;"!c:c"))</f>
        <v>#REF!</v>
      </c>
      <c r="F2" s="1990" t="s">
        <v>1908</v>
      </c>
      <c r="G2" s="1991"/>
    </row>
    <row r="3" spans="1:9" s="205" customFormat="1" ht="18" customHeight="1" thickBot="1">
      <c r="A3" s="208" t="s">
        <v>1909</v>
      </c>
      <c r="B3" s="209">
        <f ca="1">ROUND(B2*10000/(IF(B1="",'数据-汇总表'!E3,INDIRECT("'数据-取费表'!k"&amp;$G$1))),0)</f>
        <v>3642</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C6+C7+C8</f>
        <v>0</v>
      </c>
      <c r="D5" s="216" t="s">
        <v>1914</v>
      </c>
      <c r="E5" s="217" t="s">
        <v>1915</v>
      </c>
      <c r="F5" s="217" t="s">
        <v>1916</v>
      </c>
      <c r="G5" s="218"/>
    </row>
    <row r="6" spans="1:9" s="219" customFormat="1" ht="13.5" customHeight="1">
      <c r="A6" s="866" t="s">
        <v>1917</v>
      </c>
      <c r="B6" s="220" t="s">
        <v>1918</v>
      </c>
      <c r="C6" s="221"/>
      <c r="D6" s="222"/>
      <c r="E6" s="223"/>
      <c r="F6" s="223"/>
      <c r="G6" s="224"/>
    </row>
    <row r="7" spans="1:9" s="219" customFormat="1" ht="13.5" customHeight="1">
      <c r="A7" s="866" t="s">
        <v>1919</v>
      </c>
      <c r="B7" s="220" t="s">
        <v>1920</v>
      </c>
      <c r="C7" s="225">
        <f>ROUND(C6*F7,0)</f>
        <v>0</v>
      </c>
      <c r="D7" s="225"/>
      <c r="E7" s="223"/>
      <c r="F7" s="226">
        <f>IF(项目基本情况!B8="出让",0,'数据-取费表'!B48+'数据-取费表'!B49)</f>
        <v>3.0499999999999999E-2</v>
      </c>
      <c r="G7" s="224"/>
    </row>
    <row r="8" spans="1:9" s="228" customFormat="1">
      <c r="A8" s="866" t="s">
        <v>1921</v>
      </c>
      <c r="B8" s="220" t="s">
        <v>1922</v>
      </c>
      <c r="C8" s="225">
        <f>IF(G8="已包含在土地购买价格中","0",IF(B1="",'数据-取费表'!B29,IF(G9="全部缴纳",C9+C10,H9)))</f>
        <v>0</v>
      </c>
      <c r="D8" s="227"/>
      <c r="E8" s="225"/>
      <c r="F8" s="226"/>
      <c r="G8" s="1992"/>
    </row>
    <row r="9" spans="1:9" s="219" customFormat="1" ht="13.5" customHeight="1">
      <c r="A9" s="867" t="s">
        <v>619</v>
      </c>
      <c r="B9" s="229" t="s">
        <v>1923</v>
      </c>
      <c r="C9" s="230">
        <f ca="1">ROUND(D9*E9/10000,0)</f>
        <v>0</v>
      </c>
      <c r="D9" s="934">
        <f ca="1">IF(B1="",'数据-汇总表'!E5,IF(INDIRECT("'数据-取费表'!c"&amp;$G$1)="住宅",INDIRECT("'数据-取费表'!k"&amp;$G$1),0))</f>
        <v>0</v>
      </c>
      <c r="E9" s="230">
        <f>'数据-取费表'!B27</f>
        <v>0</v>
      </c>
      <c r="F9" s="226"/>
      <c r="G9" s="1993"/>
      <c r="H9" s="1251"/>
      <c r="I9" s="1994" t="s">
        <v>1924</v>
      </c>
    </row>
    <row r="10" spans="1:9" s="219" customFormat="1" ht="13.5" customHeight="1">
      <c r="A10" s="867" t="s">
        <v>620</v>
      </c>
      <c r="B10" s="229" t="s">
        <v>1925</v>
      </c>
      <c r="C10" s="230">
        <f ca="1">ROUND(D10*E10/10000,0)</f>
        <v>644</v>
      </c>
      <c r="D10" s="934">
        <f ca="1">IF(B1="",'数据-汇总表'!E6,IF(INDIRECT("'数据-取费表'!c"&amp;$G$1)="住宅",INDIRECT("'数据-取费表'!s"&amp;$G$1),INDIRECT("'数据-取费表'!k"&amp;$G$1)+INDIRECT("'数据-取费表'!s"&amp;$G$1)))</f>
        <v>32206.890000000196</v>
      </c>
      <c r="E10" s="230">
        <f>'数据-取费表'!B28</f>
        <v>200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f ca="1">IF(G19="已包含在土地取得成本中","0",ROUND(D19*E19/10000,0))</f>
        <v>644</v>
      </c>
      <c r="D19" s="938">
        <f ca="1">D9+D10</f>
        <v>32206.890000000196</v>
      </c>
      <c r="E19" s="216">
        <f>'数据-取费表'!B31</f>
        <v>200</v>
      </c>
      <c r="F19" s="236"/>
      <c r="G19" s="1992"/>
    </row>
    <row r="20" spans="1:7" s="219" customFormat="1" ht="13.5" customHeight="1">
      <c r="A20" s="260" t="s">
        <v>1938</v>
      </c>
      <c r="B20" s="215" t="s">
        <v>1939</v>
      </c>
      <c r="C20" s="237">
        <f ca="1">ROUND((C5+C19)*F20,0)</f>
        <v>13</v>
      </c>
      <c r="D20" s="237"/>
      <c r="E20" s="237"/>
      <c r="F20" s="238">
        <f>'数据-取费表'!B37</f>
        <v>0.02</v>
      </c>
      <c r="G20" s="239" t="s">
        <v>1940</v>
      </c>
    </row>
    <row r="21" spans="1:7" s="219" customFormat="1" ht="13.5" customHeight="1">
      <c r="A21" s="260" t="s">
        <v>1941</v>
      </c>
      <c r="B21" s="215" t="s">
        <v>1942</v>
      </c>
      <c r="C21" s="240">
        <f>F21</f>
        <v>0.02</v>
      </c>
      <c r="D21" s="241" t="s">
        <v>1943</v>
      </c>
      <c r="E21" s="237"/>
      <c r="F21" s="238">
        <f>'数据-取费表'!B38</f>
        <v>0.02</v>
      </c>
      <c r="G21" s="239" t="s">
        <v>1944</v>
      </c>
    </row>
    <row r="22" spans="1:7" s="219" customFormat="1" ht="13.5" customHeight="1">
      <c r="A22" s="260" t="s">
        <v>1945</v>
      </c>
      <c r="B22" s="215" t="s">
        <v>1946</v>
      </c>
      <c r="C22" s="1216">
        <f ca="1">ROUND(SUM(C23:C25),0)</f>
        <v>56</v>
      </c>
      <c r="D22" s="240">
        <f ca="1">C26</f>
        <v>8.0000000000000004E-4</v>
      </c>
      <c r="E22" s="241" t="s">
        <v>1943</v>
      </c>
      <c r="F22" s="242">
        <f ca="1">'数据-取费表'!B40</f>
        <v>4.2000000000000003E-2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0</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55</v>
      </c>
      <c r="D24" s="243"/>
      <c r="E24" s="243"/>
      <c r="F24" s="244"/>
      <c r="G24" s="245" t="s">
        <v>1952</v>
      </c>
    </row>
    <row r="25" spans="1:7" s="219" customFormat="1" ht="24">
      <c r="A25" s="868" t="s">
        <v>1953</v>
      </c>
      <c r="B25" s="220" t="s">
        <v>1954</v>
      </c>
      <c r="C25" s="1217">
        <f ca="1">ROUND(IF('数据-取费表'!B22&lt;=1,C20*F22*'数据-取费表'!B23/2,C20*(POWER((1+F22),'数据-取费表'!B23/2)-1)),0)</f>
        <v>1</v>
      </c>
      <c r="D25" s="243"/>
      <c r="E25" s="246"/>
      <c r="F25" s="244"/>
      <c r="G25" s="247" t="s">
        <v>1955</v>
      </c>
    </row>
    <row r="26" spans="1:7" s="219" customFormat="1">
      <c r="A26" s="868" t="s">
        <v>614</v>
      </c>
      <c r="B26" s="220" t="s">
        <v>1956</v>
      </c>
      <c r="C26" s="243">
        <f ca="1">ROUND(IF('数据-取费表'!B22&lt;=1,F21*F22*'数据-取费表'!B23/2,F21*(POWER((1+F22),'数据-取费表'!B23/2)-1)),4)</f>
        <v>8.0000000000000004E-4</v>
      </c>
      <c r="D26" s="243"/>
      <c r="E26" s="246"/>
      <c r="F26" s="244"/>
      <c r="G26" s="248"/>
    </row>
    <row r="27" spans="1:7" s="219" customFormat="1" ht="24.75">
      <c r="A27" s="260" t="s">
        <v>1957</v>
      </c>
      <c r="B27" s="249" t="s">
        <v>1958</v>
      </c>
      <c r="C27" s="250">
        <f ca="1">C28</f>
        <v>33</v>
      </c>
      <c r="D27" s="240">
        <f ca="1">C29</f>
        <v>1E-3</v>
      </c>
      <c r="E27" s="241" t="s">
        <v>1959</v>
      </c>
      <c r="F27" s="251">
        <f ca="1">IF(B1="",'数据-取费表'!Q16,INDIRECT("'数据-取费表'!q"&amp;$G$1))</f>
        <v>0.05</v>
      </c>
      <c r="G27" s="252" t="s">
        <v>1960</v>
      </c>
    </row>
    <row r="28" spans="1:7" s="219" customFormat="1" ht="13.5" customHeight="1">
      <c r="A28" s="868" t="s">
        <v>610</v>
      </c>
      <c r="B28" s="253" t="s">
        <v>1961</v>
      </c>
      <c r="C28" s="254">
        <f ca="1">ROUND((C5+C19+C20)*F27*'数据-取费表'!B21/'数据-取费表'!B20,0)</f>
        <v>33</v>
      </c>
      <c r="D28" s="240"/>
      <c r="E28" s="241"/>
      <c r="F28" s="251"/>
      <c r="G28" s="252"/>
    </row>
    <row r="29" spans="1:7" s="219" customFormat="1" ht="13.5" customHeight="1">
      <c r="A29" s="868" t="s">
        <v>611</v>
      </c>
      <c r="B29" s="253" t="s">
        <v>1962</v>
      </c>
      <c r="C29" s="243">
        <f ca="1">ROUND(C21*F27*'数据-取费表'!B21/'数据-取费表'!B20,4)</f>
        <v>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807</v>
      </c>
      <c r="D31" s="235"/>
      <c r="E31" s="216"/>
      <c r="F31" s="255"/>
      <c r="G31" s="239" t="s">
        <v>1967</v>
      </c>
    </row>
    <row r="32" spans="1:7" s="213" customFormat="1" ht="15.75">
      <c r="A32" s="257" t="s">
        <v>1968</v>
      </c>
      <c r="B32" s="258"/>
      <c r="C32" s="258"/>
      <c r="D32" s="258"/>
      <c r="E32" s="258"/>
      <c r="F32" s="258"/>
      <c r="G32" s="259"/>
    </row>
    <row r="33" spans="1:7" s="219" customFormat="1" ht="13.5" customHeight="1">
      <c r="A33" s="260" t="s">
        <v>601</v>
      </c>
      <c r="B33" s="215" t="s">
        <v>1969</v>
      </c>
      <c r="C33" s="261">
        <f ca="1">SUM(C34:C38)</f>
        <v>12424</v>
      </c>
      <c r="D33" s="237"/>
      <c r="E33" s="217"/>
      <c r="F33" s="246"/>
      <c r="G33" s="239"/>
    </row>
    <row r="34" spans="1:7"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11273</v>
      </c>
      <c r="D34" s="222"/>
      <c r="E34" s="225"/>
      <c r="F34" s="262">
        <f ca="1">IF('数据-取费表'!B24=0,1,IF(B1="",'数据-取费表'!N16,INDIRECT("'数据-取费表'!n"&amp;$G$1)))</f>
        <v>1</v>
      </c>
      <c r="G34" s="224" t="s">
        <v>1971</v>
      </c>
    </row>
    <row r="35" spans="1:7" ht="13.5" customHeight="1">
      <c r="A35" s="868" t="s">
        <v>615</v>
      </c>
      <c r="B35" s="220" t="s">
        <v>1972</v>
      </c>
      <c r="C35" s="225">
        <f ca="1">ROUND(C34*F35,0)</f>
        <v>338</v>
      </c>
      <c r="D35" s="225"/>
      <c r="E35" s="225"/>
      <c r="F35" s="264">
        <f>'数据-取费表'!B33</f>
        <v>0.03</v>
      </c>
      <c r="G35" s="224" t="s">
        <v>1973</v>
      </c>
    </row>
    <row r="36" spans="1:7"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1975</v>
      </c>
    </row>
    <row r="37" spans="1:7" s="263" customFormat="1" ht="13.5" customHeight="1">
      <c r="A37" s="868" t="s">
        <v>617</v>
      </c>
      <c r="B37" s="220" t="s">
        <v>1976</v>
      </c>
      <c r="C37" s="254">
        <f ca="1">ROUND(E37*D37*F34/10000,0)</f>
        <v>644</v>
      </c>
      <c r="D37" s="222">
        <f ca="1">D19</f>
        <v>32206.890000000196</v>
      </c>
      <c r="E37" s="254">
        <f>'数据-取费表'!B35</f>
        <v>200</v>
      </c>
      <c r="F37" s="264"/>
      <c r="G37" s="266" t="s">
        <v>1977</v>
      </c>
    </row>
    <row r="38" spans="1:7" ht="13.5" customHeight="1">
      <c r="A38" s="868" t="s">
        <v>618</v>
      </c>
      <c r="B38" s="220" t="s">
        <v>1978</v>
      </c>
      <c r="C38" s="225">
        <f ca="1">ROUND(C34*F38,0)</f>
        <v>169</v>
      </c>
      <c r="D38" s="225"/>
      <c r="E38" s="225"/>
      <c r="F38" s="264">
        <f>'数据-取费表'!B36</f>
        <v>1.4999999999999999E-2</v>
      </c>
      <c r="G38" s="224" t="s">
        <v>1973</v>
      </c>
    </row>
    <row r="39" spans="1:7" s="219" customFormat="1" ht="13.5" customHeight="1">
      <c r="A39" s="260" t="s">
        <v>1979</v>
      </c>
      <c r="B39" s="215" t="s">
        <v>1980</v>
      </c>
      <c r="C39" s="237">
        <f ca="1">ROUND(C33*F20,0)</f>
        <v>248</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532</v>
      </c>
      <c r="D41" s="240">
        <f ca="1">C44</f>
        <v>8.0000000000000004E-4</v>
      </c>
      <c r="E41" s="241" t="s">
        <v>1984</v>
      </c>
      <c r="F41" s="2486">
        <f ca="1">F22</f>
        <v>4.2000000000000003E-2</v>
      </c>
      <c r="G41" s="239" t="str">
        <f>IF('数据-取费表'!B22&lt;=1,"单利计息","复利计息")</f>
        <v>复利计息</v>
      </c>
    </row>
    <row r="42" spans="1:7" ht="13.5" customHeight="1">
      <c r="A42" s="868" t="s">
        <v>610</v>
      </c>
      <c r="B42" s="220" t="s">
        <v>1988</v>
      </c>
      <c r="C42" s="243">
        <f ca="1">ROUND(IF('数据-取费表'!B22&lt;=1,C33*F22*'数据-取费表'!B21/2,C33*(POWER((1+F22),'数据-取费表'!B21/2)-1)),0)</f>
        <v>522</v>
      </c>
      <c r="D42" s="243"/>
      <c r="E42" s="243"/>
      <c r="F42" s="244"/>
      <c r="G42" s="3448" t="s">
        <v>1989</v>
      </c>
    </row>
    <row r="43" spans="1:7" ht="13.5" customHeight="1">
      <c r="A43" s="868" t="s">
        <v>611</v>
      </c>
      <c r="B43" s="220" t="s">
        <v>1990</v>
      </c>
      <c r="C43" s="243">
        <f ca="1">ROUND(IF('数据-取费表'!B22&lt;=1,C39*F22*'数据-取费表'!B21/2,C39*(POWER((1+F22),'数据-取费表'!B21/2)-1)),0)</f>
        <v>10</v>
      </c>
      <c r="D43" s="243"/>
      <c r="E43" s="243"/>
      <c r="F43" s="244"/>
      <c r="G43" s="3449"/>
    </row>
    <row r="44" spans="1:7" ht="13.5" customHeight="1">
      <c r="A44" s="868" t="s">
        <v>612</v>
      </c>
      <c r="B44" s="220" t="s">
        <v>1991</v>
      </c>
      <c r="C44" s="243">
        <f ca="1">ROUND(IF('数据-取费表'!B22&lt;=1,C40*F22*'数据-取费表'!B21/2,C40*(POWER((1+F22),'数据-取费表'!B21/2)-1)),4)</f>
        <v>8.0000000000000004E-4</v>
      </c>
      <c r="D44" s="243"/>
      <c r="E44" s="243"/>
      <c r="F44" s="244"/>
      <c r="G44" s="3450"/>
    </row>
    <row r="45" spans="1:7" s="219" customFormat="1" ht="13.5" customHeight="1">
      <c r="A45" s="260" t="s">
        <v>1992</v>
      </c>
      <c r="B45" s="249" t="s">
        <v>1958</v>
      </c>
      <c r="C45" s="250">
        <f ca="1">C46</f>
        <v>634</v>
      </c>
      <c r="D45" s="240">
        <f ca="1">C47</f>
        <v>1E-3</v>
      </c>
      <c r="E45" s="241" t="s">
        <v>1984</v>
      </c>
      <c r="F45" s="2487">
        <f ca="1">F27</f>
        <v>0.05</v>
      </c>
      <c r="G45" s="252" t="s">
        <v>1993</v>
      </c>
    </row>
    <row r="46" spans="1:7" s="219" customFormat="1" ht="13.5" customHeight="1">
      <c r="A46" s="868" t="s">
        <v>610</v>
      </c>
      <c r="B46" s="253" t="s">
        <v>1994</v>
      </c>
      <c r="C46" s="254">
        <f ca="1">ROUND((C33+C39)*F27,0)</f>
        <v>634</v>
      </c>
      <c r="D46" s="268"/>
      <c r="E46" s="241"/>
      <c r="F46" s="251"/>
      <c r="G46" s="252"/>
    </row>
    <row r="47" spans="1:7" s="219" customFormat="1" ht="13.5" customHeight="1">
      <c r="A47" s="868" t="s">
        <v>611</v>
      </c>
      <c r="B47" s="253" t="s">
        <v>1995</v>
      </c>
      <c r="C47" s="243">
        <f ca="1">ROUND(C40*F27,4)</f>
        <v>1E-3</v>
      </c>
      <c r="D47" s="268"/>
      <c r="E47" s="241"/>
      <c r="F47" s="251"/>
      <c r="G47" s="252"/>
    </row>
    <row r="48" spans="1:7" s="219" customFormat="1" ht="13.5" customHeight="1">
      <c r="A48" s="260" t="s">
        <v>1957</v>
      </c>
      <c r="B48" s="215" t="s">
        <v>1996</v>
      </c>
      <c r="C48" s="1447">
        <f>ROUND(F30/(1+'数据-取费表'!C42),4)</f>
        <v>5.33E-2</v>
      </c>
      <c r="D48" s="241" t="s">
        <v>1984</v>
      </c>
      <c r="E48" s="237"/>
      <c r="F48" s="2486">
        <f>F30</f>
        <v>5.6000000000000001E-2</v>
      </c>
      <c r="G48" s="239" t="s">
        <v>1997</v>
      </c>
    </row>
    <row r="49" spans="1:7" ht="16.5" customHeight="1">
      <c r="A49" s="260" t="s">
        <v>1963</v>
      </c>
      <c r="B49" s="215" t="s">
        <v>1998</v>
      </c>
      <c r="C49" s="237">
        <f ca="1">ROUND((C33+C39+C41+C45)/(1-C40-D41-D45-C48),0)</f>
        <v>14962</v>
      </c>
      <c r="D49" s="237"/>
      <c r="E49" s="237"/>
      <c r="F49" s="269"/>
      <c r="G49" s="239" t="s">
        <v>1999</v>
      </c>
    </row>
    <row r="50" spans="1:7" s="263" customFormat="1" ht="24">
      <c r="A50" s="260" t="s">
        <v>2000</v>
      </c>
      <c r="B50" s="215" t="s">
        <v>2001</v>
      </c>
      <c r="C50" s="237"/>
      <c r="D50" s="237"/>
      <c r="E50" s="237"/>
      <c r="F50" s="269">
        <f>IF('数据-取费表'!B24=0,'数据-取费表'!N16,1)</f>
        <v>0.73</v>
      </c>
      <c r="G50" s="252" t="s">
        <v>2002</v>
      </c>
    </row>
    <row r="51" spans="1:7" ht="16.5" customHeight="1">
      <c r="A51" s="260" t="s">
        <v>2003</v>
      </c>
      <c r="B51" s="215" t="s">
        <v>2004</v>
      </c>
      <c r="C51" s="237">
        <f ca="1">ROUND(C49*F50,0)</f>
        <v>10922</v>
      </c>
      <c r="D51" s="237"/>
      <c r="E51" s="237"/>
      <c r="F51" s="269"/>
      <c r="G51" s="239" t="s">
        <v>2005</v>
      </c>
    </row>
    <row r="52" spans="1:7" s="213" customFormat="1" ht="16.5" thickBot="1">
      <c r="A52" s="270" t="s">
        <v>2006</v>
      </c>
      <c r="B52" s="271"/>
      <c r="C52" s="272">
        <f ca="1">C31+C51</f>
        <v>11729</v>
      </c>
      <c r="D52" s="271"/>
      <c r="E52" s="271"/>
      <c r="F52" s="271"/>
      <c r="G52" s="273"/>
    </row>
    <row r="55" spans="1:7" ht="15">
      <c r="B55" s="275" t="s">
        <v>2007</v>
      </c>
      <c r="C55" s="276"/>
    </row>
    <row r="56" spans="1:7">
      <c r="B56" s="278" t="s">
        <v>1237</v>
      </c>
      <c r="C56" s="280">
        <f ca="1">1-C57</f>
        <v>6.899999999999995E-2</v>
      </c>
    </row>
    <row r="57" spans="1:7">
      <c r="B57" s="278" t="s">
        <v>1238</v>
      </c>
      <c r="C57" s="279">
        <f ca="1">ROUND(C51/C52,3)</f>
        <v>0.93100000000000005</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59" t="str">
        <f>项目基本情况!B1</f>
        <v>北京市房地产抵押价值预评估</v>
      </c>
      <c r="C37" s="3259"/>
      <c r="D37" s="3259"/>
      <c r="E37" s="3259"/>
      <c r="F37" s="3259"/>
      <c r="G37" s="3259"/>
      <c r="H37" s="3259"/>
      <c r="I37" s="3259"/>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5" t="s">
        <v>2008</v>
      </c>
      <c r="D1" s="203"/>
      <c r="E1" s="203"/>
      <c r="F1" s="203"/>
      <c r="G1" s="1240">
        <f>MATCH(B1,'数据-取费表'!A6:A16,0)+5</f>
        <v>8</v>
      </c>
      <c r="H1" s="1172" t="str">
        <f>IF(ISERROR(FIND("住宅",B1)),"非住宅","住宅")</f>
        <v>非住宅</v>
      </c>
    </row>
    <row r="2" spans="1:8" s="205" customFormat="1" ht="18" customHeight="1">
      <c r="A2" s="206" t="s">
        <v>1907</v>
      </c>
      <c r="B2" s="207">
        <f ca="1">ROUND(IF(D2="——",C52/10000,C52/10000-E2),0)</f>
        <v>12534</v>
      </c>
      <c r="C2" s="204" t="s">
        <v>1908</v>
      </c>
      <c r="D2" s="1989" t="s">
        <v>70</v>
      </c>
      <c r="E2" s="1283" t="e">
        <f ca="1">SUMIF(INDIRECT("'"&amp;G2&amp;"'"&amp;"!A:A"),"承租人权益价值",INDIRECT("'"&amp;G2&amp;"'"&amp;"!c:c"))</f>
        <v>#REF!</v>
      </c>
      <c r="F2" s="1990" t="s">
        <v>1908</v>
      </c>
      <c r="G2" s="1991"/>
    </row>
    <row r="3" spans="1:8" s="205" customFormat="1" ht="18" customHeight="1" thickBot="1">
      <c r="A3" s="208" t="s">
        <v>1909</v>
      </c>
      <c r="B3" s="209">
        <f ca="1">ROUND(B2*10000/(IF(B1="",'数据-汇总表'!E3,INDIRECT("'数据-取费表'!k"&amp;$G$1))),0)</f>
        <v>3892</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6441378</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6441378</v>
      </c>
      <c r="D8" s="227"/>
      <c r="E8" s="225"/>
      <c r="F8" s="226"/>
      <c r="G8" s="1992"/>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0</v>
      </c>
      <c r="F9" s="226"/>
      <c r="G9" s="231"/>
    </row>
    <row r="10" spans="1:8" s="219" customFormat="1" ht="13.5" customHeight="1">
      <c r="A10" s="867" t="s">
        <v>620</v>
      </c>
      <c r="B10" s="229" t="s">
        <v>1925</v>
      </c>
      <c r="C10" s="230">
        <f ca="1">ROUND(D10*E10,0)</f>
        <v>6441378</v>
      </c>
      <c r="D10" s="934">
        <f ca="1">IF(B1="",'数据-汇总表'!E6,IF(INDIRECT("'数据-取费表'!c"&amp;$G$1)="住宅",INDIRECT("'数据-取费表'!s"&amp;$G$1),INDIRECT("'数据-取费表'!k"&amp;$G$1)+INDIRECT("'数据-取费表'!s"&amp;$G$1)))</f>
        <v>32206.890000000196</v>
      </c>
      <c r="E10" s="230">
        <f>'数据-取费表'!B28</f>
        <v>200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6441378</v>
      </c>
      <c r="D19" s="938">
        <f ca="1">D9+D10</f>
        <v>32206.890000000196</v>
      </c>
      <c r="E19" s="216">
        <f>'数据-取费表'!B31</f>
        <v>200</v>
      </c>
      <c r="F19" s="236"/>
      <c r="G19" s="1992"/>
    </row>
    <row r="20" spans="1:7" s="219" customFormat="1" ht="13.5" customHeight="1">
      <c r="A20" s="260" t="s">
        <v>2019</v>
      </c>
      <c r="B20" s="215" t="s">
        <v>2020</v>
      </c>
      <c r="C20" s="237">
        <f ca="1">ROUND((C5+C19)*F20,0)</f>
        <v>257655</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1">
        <f ca="1">ROUND(SUM(C23:C25),0)</f>
        <v>1115698</v>
      </c>
      <c r="D22" s="240">
        <f ca="1">C26</f>
        <v>8.0000000000000004E-4</v>
      </c>
      <c r="E22" s="241" t="s">
        <v>2024</v>
      </c>
      <c r="F22" s="242">
        <f ca="1">'数据-取费表'!B40</f>
        <v>4.2000000000000003E-2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552438</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552438</v>
      </c>
      <c r="D24" s="243"/>
      <c r="E24" s="243"/>
      <c r="F24" s="244"/>
      <c r="G24" s="245" t="s">
        <v>2031</v>
      </c>
    </row>
    <row r="25" spans="1:7" s="219" customFormat="1" ht="24">
      <c r="A25" s="868" t="s">
        <v>1921</v>
      </c>
      <c r="B25" s="220" t="s">
        <v>2032</v>
      </c>
      <c r="C25" s="1242">
        <f ca="1">ROUND(IF('数据-取费表'!B22&lt;=1,C20*F22*'数据-取费表'!B22/2,C20*(POWER((1+F22),'数据-取费表'!B22/2)-1)),0)</f>
        <v>10822</v>
      </c>
      <c r="D25" s="243"/>
      <c r="E25" s="246"/>
      <c r="F25" s="244"/>
      <c r="G25" s="247" t="s">
        <v>2033</v>
      </c>
    </row>
    <row r="26" spans="1:7" s="219" customFormat="1">
      <c r="A26" s="868" t="s">
        <v>614</v>
      </c>
      <c r="B26" s="220" t="s">
        <v>1956</v>
      </c>
      <c r="C26" s="243">
        <f ca="1">ROUND(IF('数据-取费表'!B22&lt;=1,F21*F22*'数据-取费表'!B22/2,F21*(POWER((1+F22),'数据-取费表'!B22/2)-1)),4)</f>
        <v>8.0000000000000004E-4</v>
      </c>
      <c r="D26" s="243"/>
      <c r="E26" s="246"/>
      <c r="F26" s="244"/>
      <c r="G26" s="248"/>
    </row>
    <row r="27" spans="1:7" s="219" customFormat="1" ht="24.75">
      <c r="A27" s="260" t="s">
        <v>1957</v>
      </c>
      <c r="B27" s="249" t="s">
        <v>1958</v>
      </c>
      <c r="C27" s="250">
        <f ca="1">C28</f>
        <v>657021</v>
      </c>
      <c r="D27" s="240">
        <f ca="1">C29</f>
        <v>1E-3</v>
      </c>
      <c r="E27" s="241" t="s">
        <v>1959</v>
      </c>
      <c r="F27" s="251">
        <f ca="1">IF(B1="",'数据-取费表'!Q16,INDIRECT("'数据-取费表'!q"&amp;$G$1))</f>
        <v>0.05</v>
      </c>
      <c r="G27" s="252" t="s">
        <v>1960</v>
      </c>
    </row>
    <row r="28" spans="1:7" s="219" customFormat="1" ht="13.5" customHeight="1">
      <c r="A28" s="868" t="s">
        <v>610</v>
      </c>
      <c r="B28" s="253" t="s">
        <v>1961</v>
      </c>
      <c r="C28" s="254">
        <f ca="1">ROUND((C5+C19+C20)*F27,0)</f>
        <v>657021</v>
      </c>
      <c r="D28" s="240"/>
      <c r="E28" s="241"/>
      <c r="F28" s="251"/>
      <c r="G28" s="252"/>
    </row>
    <row r="29" spans="1:7" s="219" customFormat="1" ht="13.5" customHeight="1">
      <c r="A29" s="868" t="s">
        <v>611</v>
      </c>
      <c r="B29" s="253" t="s">
        <v>1962</v>
      </c>
      <c r="C29" s="243">
        <f ca="1">ROUND(C21*F27,4)</f>
        <v>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16124046</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124238078</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112724115</v>
      </c>
      <c r="D34" s="222"/>
      <c r="E34" s="225"/>
      <c r="F34" s="262"/>
      <c r="G34" s="224"/>
    </row>
    <row r="35" spans="1:7" ht="13.5" customHeight="1">
      <c r="A35" s="868" t="s">
        <v>615</v>
      </c>
      <c r="B35" s="220" t="s">
        <v>1972</v>
      </c>
      <c r="C35" s="225">
        <f ca="1">ROUND(C34*F35,0)</f>
        <v>3381723</v>
      </c>
      <c r="D35" s="225"/>
      <c r="E35" s="225"/>
      <c r="F35" s="264">
        <f>'数据-取费表'!B33</f>
        <v>0.03</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0.05</v>
      </c>
      <c r="G36" s="265" t="s">
        <v>1975</v>
      </c>
    </row>
    <row r="37" spans="1:7" s="263" customFormat="1" ht="13.5" customHeight="1">
      <c r="A37" s="868" t="s">
        <v>617</v>
      </c>
      <c r="B37" s="220" t="s">
        <v>1976</v>
      </c>
      <c r="C37" s="254">
        <f ca="1">ROUND(E37*D37,0)</f>
        <v>6441378</v>
      </c>
      <c r="D37" s="222">
        <f ca="1">D19</f>
        <v>32206.890000000196</v>
      </c>
      <c r="E37" s="254">
        <f>'数据-取费表'!B35</f>
        <v>200</v>
      </c>
      <c r="F37" s="264"/>
      <c r="G37" s="266"/>
    </row>
    <row r="38" spans="1:7" ht="13.5" customHeight="1">
      <c r="A38" s="868" t="s">
        <v>618</v>
      </c>
      <c r="B38" s="220" t="s">
        <v>1978</v>
      </c>
      <c r="C38" s="225">
        <f ca="1">ROUND(C34*F38,0)</f>
        <v>1690862</v>
      </c>
      <c r="D38" s="225"/>
      <c r="E38" s="225"/>
      <c r="F38" s="264">
        <f>'数据-取费表'!B36</f>
        <v>1.4999999999999999E-2</v>
      </c>
      <c r="G38" s="224" t="s">
        <v>1973</v>
      </c>
    </row>
    <row r="39" spans="1:7" s="219" customFormat="1" ht="13.5" customHeight="1">
      <c r="A39" s="260" t="s">
        <v>1979</v>
      </c>
      <c r="B39" s="215" t="s">
        <v>1980</v>
      </c>
      <c r="C39" s="237">
        <f ca="1">ROUND(C33*F20,0)</f>
        <v>2484762</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5322359</v>
      </c>
      <c r="D41" s="240">
        <f ca="1">C44</f>
        <v>8.0000000000000004E-4</v>
      </c>
      <c r="E41" s="241" t="s">
        <v>1984</v>
      </c>
      <c r="F41" s="2486">
        <f ca="1">F22</f>
        <v>4.2000000000000003E-2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5217999</v>
      </c>
      <c r="D42" s="243"/>
      <c r="E42" s="243"/>
      <c r="F42" s="244"/>
      <c r="G42" s="3448" t="s">
        <v>2036</v>
      </c>
    </row>
    <row r="43" spans="1:7" ht="13.5" customHeight="1">
      <c r="A43" s="868" t="s">
        <v>611</v>
      </c>
      <c r="B43" s="220" t="s">
        <v>1990</v>
      </c>
      <c r="C43" s="243">
        <f ca="1">ROUND(IF('数据-取费表'!B22&lt;=1,C39*F22*'数据-取费表'!B20/2,C39*(POWER((1+F22),'数据-取费表'!B20/2)-1)),0)</f>
        <v>104360</v>
      </c>
      <c r="D43" s="243"/>
      <c r="E43" s="243"/>
      <c r="F43" s="244"/>
      <c r="G43" s="3449"/>
    </row>
    <row r="44" spans="1:7" ht="13.5" customHeight="1">
      <c r="A44" s="868" t="s">
        <v>612</v>
      </c>
      <c r="B44" s="220" t="s">
        <v>1991</v>
      </c>
      <c r="C44" s="243">
        <f ca="1">ROUND(IF('数据-取费表'!B22&lt;=1,C40*F22*'数据-取费表'!B20/2,C40*(POWER((1+F22),'数据-取费表'!B20/2)-1)),4)</f>
        <v>8.0000000000000004E-4</v>
      </c>
      <c r="D44" s="243"/>
      <c r="E44" s="243"/>
      <c r="F44" s="244"/>
      <c r="G44" s="3450"/>
    </row>
    <row r="45" spans="1:7" s="219" customFormat="1" ht="13.5" customHeight="1">
      <c r="A45" s="260" t="s">
        <v>1992</v>
      </c>
      <c r="B45" s="249" t="s">
        <v>1958</v>
      </c>
      <c r="C45" s="250">
        <f ca="1">C46</f>
        <v>6336142</v>
      </c>
      <c r="D45" s="240">
        <f ca="1">C47</f>
        <v>1E-3</v>
      </c>
      <c r="E45" s="241" t="s">
        <v>1984</v>
      </c>
      <c r="F45" s="2487">
        <f ca="1">F27</f>
        <v>0.05</v>
      </c>
      <c r="G45" s="252" t="s">
        <v>1993</v>
      </c>
    </row>
    <row r="46" spans="1:7" s="219" customFormat="1" ht="13.5" customHeight="1">
      <c r="A46" s="868" t="s">
        <v>610</v>
      </c>
      <c r="B46" s="253" t="s">
        <v>1994</v>
      </c>
      <c r="C46" s="254">
        <f ca="1">ROUND((C33+C39)*F27,0)</f>
        <v>6336142</v>
      </c>
      <c r="D46" s="268"/>
      <c r="E46" s="241"/>
      <c r="F46" s="251"/>
      <c r="G46" s="252"/>
    </row>
    <row r="47" spans="1:7" s="219" customFormat="1" ht="13.5" customHeight="1">
      <c r="A47" s="868" t="s">
        <v>611</v>
      </c>
      <c r="B47" s="253" t="s">
        <v>1995</v>
      </c>
      <c r="C47" s="243">
        <f ca="1">ROUND(C40*F27,4)</f>
        <v>1E-3</v>
      </c>
      <c r="D47" s="268"/>
      <c r="E47" s="241"/>
      <c r="F47" s="251"/>
      <c r="G47" s="252"/>
    </row>
    <row r="48" spans="1:7" s="219" customFormat="1" ht="13.5" customHeight="1">
      <c r="A48" s="260" t="s">
        <v>1957</v>
      </c>
      <c r="B48" s="215" t="s">
        <v>1996</v>
      </c>
      <c r="C48" s="267">
        <f>ROUND(F30/(1+'数据-取费表'!C42),4)</f>
        <v>5.33E-2</v>
      </c>
      <c r="D48" s="241" t="s">
        <v>1984</v>
      </c>
      <c r="E48" s="237"/>
      <c r="F48" s="2486">
        <f>F30</f>
        <v>5.6000000000000001E-2</v>
      </c>
      <c r="G48" s="239" t="s">
        <v>1997</v>
      </c>
    </row>
    <row r="49" spans="1:7" ht="16.5" customHeight="1">
      <c r="A49" s="260" t="s">
        <v>1963</v>
      </c>
      <c r="B49" s="215" t="s">
        <v>2037</v>
      </c>
      <c r="C49" s="237">
        <f ca="1">ROUND((C33+C39+C41+C45)/(1-C40-D41-D45-C48),0)</f>
        <v>149617625</v>
      </c>
      <c r="D49" s="237"/>
      <c r="E49" s="237"/>
      <c r="F49" s="269"/>
      <c r="G49" s="239" t="s">
        <v>1999</v>
      </c>
    </row>
    <row r="50" spans="1:7" s="263" customFormat="1">
      <c r="A50" s="260" t="s">
        <v>2000</v>
      </c>
      <c r="B50" s="215" t="s">
        <v>2001</v>
      </c>
      <c r="C50" s="237"/>
      <c r="D50" s="237"/>
      <c r="E50" s="237"/>
      <c r="F50" s="269">
        <f>IF('数据-取费表'!B24=0,'数据-取费表'!N16,1)</f>
        <v>0.73</v>
      </c>
      <c r="G50" s="252"/>
    </row>
    <row r="51" spans="1:7" ht="16.5" customHeight="1">
      <c r="A51" s="260" t="s">
        <v>2003</v>
      </c>
      <c r="B51" s="215" t="s">
        <v>2038</v>
      </c>
      <c r="C51" s="237">
        <f ca="1">ROUND(C49*F50,0)</f>
        <v>109220866</v>
      </c>
      <c r="D51" s="237"/>
      <c r="E51" s="237"/>
      <c r="F51" s="269"/>
      <c r="G51" s="239" t="s">
        <v>2005</v>
      </c>
    </row>
    <row r="52" spans="1:7" s="213" customFormat="1" ht="16.5" thickBot="1">
      <c r="A52" s="270" t="s">
        <v>2006</v>
      </c>
      <c r="B52" s="271"/>
      <c r="C52" s="272">
        <f ca="1">C31+C51</f>
        <v>125344912</v>
      </c>
      <c r="D52" s="271"/>
      <c r="E52" s="271"/>
      <c r="F52" s="271"/>
      <c r="G52" s="273"/>
    </row>
    <row r="55" spans="1:7" ht="15">
      <c r="B55" s="275" t="s">
        <v>2007</v>
      </c>
      <c r="C55" s="276"/>
    </row>
    <row r="56" spans="1:7">
      <c r="B56" s="278" t="s">
        <v>1237</v>
      </c>
      <c r="C56" s="280">
        <f ca="1">1-C57</f>
        <v>0.129</v>
      </c>
    </row>
    <row r="57" spans="1:7">
      <c r="B57" s="278" t="s">
        <v>1238</v>
      </c>
      <c r="C57" s="279">
        <f ca="1">ROUND(C51/C52,3)</f>
        <v>0.871</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86"/>
      <c r="F1" s="2986"/>
      <c r="G1" s="2849"/>
      <c r="H1" s="2986"/>
      <c r="I1" s="2986"/>
      <c r="J1" s="2986"/>
      <c r="K1" s="2987">
        <f>MATCH(C1,'数据-取费表'!A6:A16,0)+5</f>
        <v>8</v>
      </c>
    </row>
    <row r="2" spans="1:33" ht="18" customHeight="1">
      <c r="A2" s="206" t="s">
        <v>1907</v>
      </c>
      <c r="B2" s="209">
        <f ca="1">C32</f>
        <v>-671</v>
      </c>
      <c r="C2" s="281" t="s">
        <v>2040</v>
      </c>
      <c r="D2" s="281"/>
      <c r="E2" s="2986"/>
      <c r="F2" s="2986"/>
      <c r="G2" s="2986"/>
      <c r="H2" s="2986"/>
      <c r="I2" s="2986"/>
      <c r="J2" s="2986"/>
      <c r="K2" s="2986"/>
    </row>
    <row r="3" spans="1:33" ht="18" customHeight="1" thickBot="1">
      <c r="A3" s="208" t="s">
        <v>1909</v>
      </c>
      <c r="B3" s="209">
        <f ca="1">ROUND(B2*10000/IF(C1="",'数据-汇总表'!E3,INDIRECT("'数据-取费表'!K"&amp;$K$1)),0)</f>
        <v>-208</v>
      </c>
      <c r="C3" s="281" t="s">
        <v>2041</v>
      </c>
      <c r="D3" s="281"/>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4"/>
      <c r="F12" s="893">
        <f>'数据-取费表'!B33</f>
        <v>0.03</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4"/>
      <c r="F13" s="893">
        <f>'数据-取费表'!B34</f>
        <v>0.05</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32206.890000000196</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32206.890000000196</v>
      </c>
      <c r="E17" s="24">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644</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0</v>
      </c>
      <c r="F19" s="893"/>
      <c r="G19" s="15"/>
      <c r="H19" s="1303"/>
      <c r="I19" s="898"/>
      <c r="J19" s="898"/>
      <c r="K19" s="899"/>
    </row>
    <row r="20" spans="1:33" s="892" customFormat="1" ht="13.5" customHeight="1">
      <c r="A20" s="888" t="s">
        <v>625</v>
      </c>
      <c r="B20" s="889" t="s">
        <v>2075</v>
      </c>
      <c r="C20" s="24">
        <f ca="1">ROUND(D20*E20/10000,0)</f>
        <v>644</v>
      </c>
      <c r="D20" s="935">
        <f ca="1">IF(C1="",'数据-汇总表'!E6,IF(INDIRECT("'数据-取费表'!c"&amp;$K$1)="住宅",INDIRECT("'数据-取费表'!s"&amp;$K$1),INDIRECT("'数据-取费表'!k"&amp;$K$1)+INDIRECT("'数据-取费表'!s"&amp;$K$1)))</f>
        <v>32206.890000000196</v>
      </c>
      <c r="E20" s="24">
        <f>'数据-取费表'!B28</f>
        <v>200</v>
      </c>
      <c r="F20" s="893"/>
      <c r="G20" s="15"/>
      <c r="H20" s="898"/>
      <c r="I20" s="898"/>
      <c r="J20" s="898"/>
      <c r="K20" s="899"/>
    </row>
    <row r="21" spans="1:33" s="892" customFormat="1" ht="13.5" customHeight="1">
      <c r="A21" s="878" t="s">
        <v>621</v>
      </c>
      <c r="B21" s="902" t="s">
        <v>2076</v>
      </c>
      <c r="C21" s="903">
        <f ca="1">C16+C17+C18</f>
        <v>644</v>
      </c>
      <c r="D21" s="904"/>
      <c r="E21" s="286"/>
      <c r="F21" s="286"/>
      <c r="G21" s="135" t="s">
        <v>2077</v>
      </c>
      <c r="H21" s="896"/>
      <c r="I21" s="896"/>
      <c r="J21" s="896"/>
      <c r="K21" s="897"/>
    </row>
    <row r="22" spans="1:33" s="892" customFormat="1" ht="13.5" customHeight="1">
      <c r="A22" s="878" t="s">
        <v>2049</v>
      </c>
      <c r="B22" s="902" t="s">
        <v>2078</v>
      </c>
      <c r="C22" s="903">
        <f ca="1">ROUND(C21*F22,0)</f>
        <v>13</v>
      </c>
      <c r="D22" s="286"/>
      <c r="E22" s="286"/>
      <c r="F22" s="905">
        <f>'数据-取费表'!B37</f>
        <v>0.02</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0.02</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2000" t="str">
        <f>IF('数据-取费表'!B22&lt;=1,"（1）-（3）项×年利率×建设期÷2","（1）-（3）项×((1+年利率)^(建设期÷2)-1)")</f>
        <v>（1）-（3）项×((1+年利率)^(建设期÷2)-1)</v>
      </c>
      <c r="H27" s="896"/>
      <c r="I27" s="896"/>
      <c r="J27" s="896"/>
      <c r="K27" s="897"/>
    </row>
    <row r="28" spans="1:33" s="294" customFormat="1" ht="13.5" customHeight="1">
      <c r="A28" s="878" t="s">
        <v>2089</v>
      </c>
      <c r="B28" s="2001" t="s">
        <v>2090</v>
      </c>
      <c r="C28" s="292">
        <f ca="1">C30</f>
        <v>33</v>
      </c>
      <c r="D28" s="285">
        <f ca="1">C29</f>
        <v>0</v>
      </c>
      <c r="E28" s="287" t="s">
        <v>15</v>
      </c>
      <c r="F28" s="293">
        <f ca="1">IF(C1="",'数据-取费表'!Q16,INDIRECT("'数据-取费表'!q"&amp;$K$1))</f>
        <v>0.05</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33</v>
      </c>
      <c r="D30" s="289"/>
      <c r="E30" s="290"/>
      <c r="F30" s="295"/>
      <c r="G30" s="135"/>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-671</v>
      </c>
      <c r="D32" s="918"/>
      <c r="E32" s="918"/>
      <c r="F32" s="918"/>
      <c r="G32" s="920" t="s">
        <v>2098</v>
      </c>
      <c r="H32" s="918"/>
      <c r="I32" s="918"/>
      <c r="J32" s="918"/>
      <c r="K32" s="92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8</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t="e">
        <f ca="1">C40+J29+L46</f>
        <v>#DIV/0!</v>
      </c>
      <c r="C2" s="1521" t="s">
        <v>1240</v>
      </c>
      <c r="D2" s="1521"/>
      <c r="E2" s="1522"/>
      <c r="F2" s="1523"/>
      <c r="G2" s="2884"/>
      <c r="H2" s="2873"/>
      <c r="I2" s="2873"/>
      <c r="J2" s="2873"/>
      <c r="K2" s="2874"/>
      <c r="L2" s="2873"/>
      <c r="M2" s="2873"/>
    </row>
    <row r="3" spans="1:37" ht="18" customHeight="1" thickBot="1">
      <c r="A3" s="1524" t="s">
        <v>1241</v>
      </c>
      <c r="B3" s="1525">
        <f ca="1">IF(ISERROR(B2*10000/F43),0,ROUND(B2*10000/F43,0))</f>
        <v>0</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0</v>
      </c>
      <c r="D5" s="1498" t="s">
        <v>1126</v>
      </c>
      <c r="E5" s="1183"/>
      <c r="F5" s="1184"/>
      <c r="G5" s="1518"/>
      <c r="H5" s="304">
        <v>1</v>
      </c>
      <c r="I5" s="305" t="s">
        <v>1125</v>
      </c>
      <c r="J5" s="1182">
        <f ca="1">J6+J10+J12</f>
        <v>0</v>
      </c>
      <c r="K5" s="1498" t="s">
        <v>1126</v>
      </c>
      <c r="L5" s="1183"/>
      <c r="M5" s="1184"/>
    </row>
    <row r="6" spans="1:37" ht="18" customHeight="1">
      <c r="A6" s="1181" t="s">
        <v>822</v>
      </c>
      <c r="B6" s="3453" t="s">
        <v>1127</v>
      </c>
      <c r="C6" s="1186">
        <f ca="1">ROUND(F6*F8*F7*(1-F9)/10000,0)</f>
        <v>0</v>
      </c>
      <c r="D6" s="159" t="s">
        <v>2608</v>
      </c>
      <c r="E6" s="307" t="s">
        <v>1129</v>
      </c>
      <c r="F6" s="308">
        <f ca="1">INDIRECT("'数据-取费表'!u"&amp;$G$1)</f>
        <v>0</v>
      </c>
      <c r="G6" s="1518"/>
      <c r="H6" s="1181" t="s">
        <v>822</v>
      </c>
      <c r="I6" s="3453" t="s">
        <v>1127</v>
      </c>
      <c r="J6" s="306">
        <f ca="1">ROUND(M6*M8*M7*(1-M9)/10000,0)</f>
        <v>0</v>
      </c>
      <c r="K6" s="159" t="s">
        <v>2607</v>
      </c>
      <c r="L6" s="307" t="s">
        <v>1129</v>
      </c>
      <c r="M6" s="308">
        <f ca="1">INDIRECT("'数据-取费表'!z"&amp;$G$1)</f>
        <v>0</v>
      </c>
    </row>
    <row r="7" spans="1:37" ht="18" customHeight="1">
      <c r="A7" s="1185"/>
      <c r="B7" s="3454"/>
      <c r="C7" s="1187"/>
      <c r="D7" s="312"/>
      <c r="E7" s="1188" t="s">
        <v>1130</v>
      </c>
      <c r="F7" s="308">
        <f ca="1">IF(INDIRECT("'数据-取费表'!ah"&amp;$G$1)="",INDIRECT("'数据-取费表'!k"&amp;$G$1),INDIRECT("'数据-取费表'!ah"&amp;$G$1))</f>
        <v>0</v>
      </c>
      <c r="G7" s="1518"/>
      <c r="H7" s="309"/>
      <c r="I7" s="3454"/>
      <c r="J7" s="311"/>
      <c r="K7" s="312"/>
      <c r="L7" s="307" t="s">
        <v>1130</v>
      </c>
      <c r="M7" s="308">
        <f ca="1">F7</f>
        <v>0</v>
      </c>
    </row>
    <row r="8" spans="1:37" ht="18" customHeight="1">
      <c r="A8" s="309"/>
      <c r="B8" s="3454"/>
      <c r="C8" s="311"/>
      <c r="D8" s="312"/>
      <c r="E8" s="307" t="s">
        <v>1131</v>
      </c>
      <c r="F8" s="308">
        <f ca="1">INDIRECT("'数据-取费表'!ai"&amp;$G$1)</f>
        <v>0</v>
      </c>
      <c r="G8" s="1518"/>
      <c r="H8" s="309"/>
      <c r="I8" s="3454"/>
      <c r="J8" s="311"/>
      <c r="K8" s="312"/>
      <c r="L8" s="307" t="s">
        <v>1131</v>
      </c>
      <c r="M8" s="308">
        <f ca="1">INDIRECT("'数据-取费表'!ai"&amp;$G$1)</f>
        <v>0</v>
      </c>
    </row>
    <row r="9" spans="1:37" ht="18" customHeight="1">
      <c r="A9" s="309"/>
      <c r="B9" s="3455"/>
      <c r="C9" s="311"/>
      <c r="D9" s="312"/>
      <c r="E9" s="307" t="s">
        <v>1132</v>
      </c>
      <c r="F9" s="317">
        <f ca="1">INDIRECT("'数据-取费表'!w"&amp;$G$1)</f>
        <v>0</v>
      </c>
      <c r="G9" s="1518"/>
      <c r="H9" s="309"/>
      <c r="I9" s="3455"/>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c r="G10" s="1518"/>
      <c r="H10" s="1181" t="s">
        <v>826</v>
      </c>
      <c r="I10" s="1499" t="s">
        <v>1133</v>
      </c>
      <c r="J10" s="306">
        <f ca="1">ROUND(IF(M10="押一",J6/12*M11,IF(M10="押二",J6/12*2*M11,IF(M10="押三",J6/12*3*M11,J11*M11))),0)</f>
        <v>0</v>
      </c>
      <c r="K10" s="1500" t="s">
        <v>2615</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0</v>
      </c>
      <c r="D14" s="1479" t="s">
        <v>1142</v>
      </c>
      <c r="E14" s="1476"/>
      <c r="F14" s="324"/>
      <c r="G14" s="1518"/>
      <c r="H14" s="1093" t="s">
        <v>822</v>
      </c>
      <c r="I14" s="307" t="s">
        <v>1143</v>
      </c>
      <c r="J14" s="24">
        <f ca="1">C29</f>
        <v>0</v>
      </c>
      <c r="K14" s="15"/>
      <c r="L14" s="896"/>
      <c r="M14" s="897"/>
    </row>
    <row r="15" spans="1:37" s="1531" customFormat="1" ht="18" customHeight="1" thickBot="1">
      <c r="A15" s="1093" t="s">
        <v>823</v>
      </c>
      <c r="B15" s="307" t="s">
        <v>1144</v>
      </c>
      <c r="C15" s="24">
        <f ca="1">ROUND(C14*F15,0)</f>
        <v>0</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4">
        <f ca="1">ROUND(F17*(F43+INDIRECT("'数据-取费表'!S"&amp;$G$1))/10000,0)</f>
        <v>0</v>
      </c>
      <c r="D17" s="307" t="s">
        <v>1151</v>
      </c>
      <c r="E17" s="307" t="s">
        <v>1152</v>
      </c>
      <c r="F17" s="26">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0</v>
      </c>
      <c r="D18" s="307" t="s">
        <v>1145</v>
      </c>
      <c r="E18" s="307" t="s">
        <v>1146</v>
      </c>
      <c r="F18" s="327">
        <f>'数据-取费表'!B36</f>
        <v>1.4999999999999999E-2</v>
      </c>
      <c r="G18" s="1530"/>
      <c r="H18" s="1093" t="s">
        <v>821</v>
      </c>
      <c r="I18" s="307" t="s">
        <v>1157</v>
      </c>
      <c r="J18" s="24">
        <f ca="1">ROUND(J6*M18/(1+'数据-取费表'!C42),2)</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0</v>
      </c>
      <c r="D19" s="135" t="s">
        <v>1160</v>
      </c>
      <c r="E19" s="1494"/>
      <c r="F19" s="26"/>
      <c r="G19" s="1518"/>
      <c r="H19" s="1093" t="s">
        <v>823</v>
      </c>
      <c r="I19" s="307" t="s">
        <v>1161</v>
      </c>
      <c r="J19" s="24">
        <f ca="1">IF(K19="按租金收入计税",ROUND(J6*M19/(1+'数据-取费表'!C42),2),ROUND(C29*M19*0.7,2))</f>
        <v>0</v>
      </c>
      <c r="K19" s="1504" t="s">
        <v>1162</v>
      </c>
      <c r="L19" s="307" t="s">
        <v>1146</v>
      </c>
      <c r="M19" s="327">
        <f>IF(K19="按租金收入计税",'数据-取费表'!B51,'数据-取费表'!B50)</f>
        <v>1.2E-2</v>
      </c>
    </row>
    <row r="20" spans="1:37" s="1531" customFormat="1" ht="18" customHeight="1">
      <c r="A20" s="1093" t="s">
        <v>826</v>
      </c>
      <c r="B20" s="307" t="s">
        <v>1163</v>
      </c>
      <c r="C20" s="24">
        <f ca="1">ROUND(C19*F20,0)</f>
        <v>0</v>
      </c>
      <c r="D20" s="328" t="s">
        <v>1164</v>
      </c>
      <c r="E20" s="307" t="s">
        <v>1146</v>
      </c>
      <c r="F20" s="327">
        <f>'数据-取费表'!B37</f>
        <v>0.02</v>
      </c>
      <c r="G20" s="1530"/>
      <c r="H20" s="1093" t="s">
        <v>1113</v>
      </c>
      <c r="I20" s="159" t="s">
        <v>1165</v>
      </c>
      <c r="J20" s="25">
        <f ca="1">ROUND(M20*M21/10000,2)</f>
        <v>0</v>
      </c>
      <c r="K20" s="329" t="s">
        <v>1166</v>
      </c>
      <c r="L20" s="307" t="s">
        <v>1167</v>
      </c>
      <c r="M20" s="330">
        <f>'数据-取费表'!B52</f>
        <v>3</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18</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ROUND(J14*M22,1)</f>
        <v>0</v>
      </c>
      <c r="K22" s="1478" t="s">
        <v>1174</v>
      </c>
      <c r="L22" s="307" t="s">
        <v>1146</v>
      </c>
      <c r="M22" s="333">
        <f ca="1">INDIRECT("'数据-取费表'!Ak"&amp;$G$1)</f>
        <v>0</v>
      </c>
    </row>
    <row r="23" spans="1:37" s="1531"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ROUND(J13*M23,1)</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ROUND(J5*M24,1)</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1494"/>
      <c r="F25" s="26"/>
      <c r="G25" s="1518"/>
      <c r="H25" s="1191" t="s">
        <v>818</v>
      </c>
      <c r="I25" s="1206" t="s">
        <v>1187</v>
      </c>
      <c r="J25" s="315">
        <f ca="1">J5-J16</f>
        <v>0</v>
      </c>
      <c r="K25" s="1207" t="s">
        <v>1188</v>
      </c>
      <c r="L25" s="1208"/>
      <c r="M25" s="1209"/>
    </row>
    <row r="26" spans="1:37">
      <c r="A26" s="1093" t="s">
        <v>821</v>
      </c>
      <c r="B26" s="307" t="s">
        <v>1189</v>
      </c>
      <c r="C26" s="24">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7" t="s">
        <v>1157</v>
      </c>
      <c r="C32" s="24">
        <f ca="1">IF(项目基本情况!B11="自然人","——",ROUND(C6*F32/(1+'数据-取费表'!C42),2))</f>
        <v>0</v>
      </c>
      <c r="D32" s="1478"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IF(项目基本情况!B11="自然人","——",IF(D33="按租金收入计税",ROUND(C6*F33/(1+'数据-取费表'!C42),2),IF(D33="按房产原值计税",ROUND(C29*F33*0.7,2),INDIRECT("'数据-取费表'!Aj"&amp;$G$1))))</f>
        <v>0</v>
      </c>
      <c r="D33" s="1504" t="s">
        <v>1162</v>
      </c>
      <c r="E33" s="307" t="s">
        <v>1146</v>
      </c>
      <c r="F33" s="327">
        <f>IF(D33="按票据","——",IF(D33="按租金收入计税",'数据-取费表'!B51,'数据-取费表'!B50))</f>
        <v>1.2E-2</v>
      </c>
      <c r="G33" s="1518"/>
      <c r="H33" s="2878"/>
      <c r="I33" s="1532"/>
      <c r="J33" s="1533"/>
      <c r="K33" s="2879"/>
      <c r="L33" s="2878"/>
      <c r="M33" s="2878"/>
    </row>
    <row r="34" spans="1:18" ht="18" customHeight="1">
      <c r="A34" s="1181" t="s">
        <v>1113</v>
      </c>
      <c r="B34" s="159" t="s">
        <v>1165</v>
      </c>
      <c r="C34" s="25">
        <f ca="1">IF(项目基本情况!B11="自然人","——",ROUND(F34*F35/10000,2))</f>
        <v>0</v>
      </c>
      <c r="D34" s="329" t="s">
        <v>1166</v>
      </c>
      <c r="E34" s="307" t="s">
        <v>1167</v>
      </c>
      <c r="F34" s="330">
        <f>'数据-取费表'!B52</f>
        <v>3</v>
      </c>
      <c r="G34" s="1518"/>
      <c r="H34" s="2875"/>
      <c r="I34" s="1532"/>
      <c r="J34" s="1533"/>
      <c r="K34" s="2880"/>
      <c r="L34" s="2881"/>
      <c r="M34" s="2881"/>
    </row>
    <row r="35" spans="1:18" ht="18" customHeight="1">
      <c r="A35" s="1215"/>
      <c r="B35" s="1213"/>
      <c r="C35" s="29"/>
      <c r="D35" s="332"/>
      <c r="E35" s="307" t="s">
        <v>1171</v>
      </c>
      <c r="F35" s="308">
        <f ca="1">INDIRECT("'数据-取费表'!r"&amp;$G$1)</f>
        <v>0</v>
      </c>
      <c r="G35" s="1518"/>
      <c r="H35" s="2875"/>
      <c r="I35" s="1532"/>
      <c r="J35" s="1533"/>
      <c r="K35" s="2879"/>
      <c r="L35" s="2878"/>
      <c r="M35" s="2878"/>
    </row>
    <row r="36" spans="1:18" ht="18" customHeight="1">
      <c r="A36" s="1214" t="s">
        <v>826</v>
      </c>
      <c r="B36" s="307" t="s">
        <v>1173</v>
      </c>
      <c r="C36" s="24">
        <f ca="1">ROUND(C29*F36,1)</f>
        <v>0</v>
      </c>
      <c r="D36" s="1478" t="s">
        <v>1206</v>
      </c>
      <c r="E36" s="307" t="s">
        <v>1146</v>
      </c>
      <c r="F36" s="333">
        <f ca="1">INDIRECT("'数据-取费表'!Ak"&amp;$G$1)</f>
        <v>0</v>
      </c>
      <c r="G36" s="1518"/>
      <c r="H36" s="2878"/>
      <c r="I36" s="1532"/>
      <c r="J36" s="1533"/>
      <c r="K36" s="2719"/>
      <c r="L36" s="2878"/>
      <c r="M36" s="2878"/>
    </row>
    <row r="37" spans="1:18" ht="18" customHeight="1">
      <c r="A37" s="1093" t="s">
        <v>862</v>
      </c>
      <c r="B37" s="307" t="s">
        <v>1177</v>
      </c>
      <c r="C37" s="24">
        <f ca="1">ROUND(C13*F37,1)</f>
        <v>0</v>
      </c>
      <c r="D37" s="1478" t="s">
        <v>1178</v>
      </c>
      <c r="E37" s="307" t="s">
        <v>1179</v>
      </c>
      <c r="F37" s="335">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5">
        <f ca="1">C5-C30</f>
        <v>0</v>
      </c>
      <c r="D39" s="1207" t="s">
        <v>1208</v>
      </c>
      <c r="E39" s="1208"/>
      <c r="F39" s="1209"/>
      <c r="G39" s="1518"/>
      <c r="H39" s="2878"/>
      <c r="I39" s="1532"/>
      <c r="J39" s="1533"/>
      <c r="K39" s="2882"/>
      <c r="L39" s="2878"/>
      <c r="M39" s="2878"/>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t="e">
        <f ca="1">ROUND(C40*10000/F43,0)</f>
        <v>#DIV/0!</v>
      </c>
      <c r="D43" s="342" t="s">
        <v>1212</v>
      </c>
      <c r="E43" s="343" t="s">
        <v>1213</v>
      </c>
      <c r="F43" s="344">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t="e">
        <f ca="1">C68-C40</f>
        <v>#DIV/0!</v>
      </c>
      <c r="D46" s="1540" t="str">
        <f>C2</f>
        <v>万元</v>
      </c>
      <c r="E46" s="1534"/>
      <c r="F46" s="1534"/>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ROUND(F49*F51*F50*(1-F52)/10000,0)</f>
        <v>0</v>
      </c>
      <c r="D49" s="1166" t="s">
        <v>2609</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230"/>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24.75" thickBot="1">
      <c r="A53" s="1266" t="s">
        <v>865</v>
      </c>
      <c r="B53" s="1507" t="s">
        <v>1133</v>
      </c>
      <c r="C53" s="321">
        <f ca="1">ROUND(IF(F53="押一",C49/12*F11,IF(F53="押二",C49/12*2*F11,IF(F53="押三",C49/12*3*F11,C54*F11))),0)</f>
        <v>0</v>
      </c>
      <c r="D53" s="1500" t="s">
        <v>2615</v>
      </c>
      <c r="E53" s="318" t="s">
        <v>1134</v>
      </c>
      <c r="F53" s="1228"/>
      <c r="I53" s="1573" t="s">
        <v>1271</v>
      </c>
      <c r="J53" s="2336">
        <f ca="1">IF(M47="住宅",IF(D1="——",MAX(J51,L48),MAX(J51,L48-'数据-取费表'!B24)),IF(D1="——",MIN(J51,L48),MIN(J51,L48-'数据-取费表'!B24)))</f>
        <v>0</v>
      </c>
      <c r="K53" s="3451" t="s">
        <v>1272</v>
      </c>
      <c r="L53" s="3452"/>
      <c r="O53" s="1552" t="s">
        <v>833</v>
      </c>
      <c r="P53" s="1553" t="s">
        <v>1273</v>
      </c>
      <c r="Q53" s="1554" t="e">
        <f ca="1">Q47+Q48</f>
        <v>#DIV/0!</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0</v>
      </c>
      <c r="D56" s="1581"/>
      <c r="E56" s="1582"/>
      <c r="F56" s="1574"/>
      <c r="I56" s="1583" t="s">
        <v>1278</v>
      </c>
      <c r="J56" s="1584"/>
      <c r="K56" s="1555" t="s">
        <v>1279</v>
      </c>
      <c r="L56" s="1558">
        <f ca="1">IF(L48&lt;J51,"——",L48-J53)</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1281</v>
      </c>
      <c r="L57" s="1558">
        <f ca="1">IF(L48&lt;J51,"——",IF(L55="比较法",L49,IF(L55="基准地价",L50,L51)))</f>
        <v>0</v>
      </c>
      <c r="O57" s="1552" t="s">
        <v>828</v>
      </c>
      <c r="P57" s="1553" t="s">
        <v>1282</v>
      </c>
      <c r="Q57" s="1554" t="e">
        <f ca="1">L60</f>
        <v>#DIV/0!</v>
      </c>
      <c r="R57" s="1554" t="s">
        <v>1283</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v>
      </c>
      <c r="D62" s="1076" t="s">
        <v>1221</v>
      </c>
      <c r="E62" s="1061" t="s">
        <v>1222</v>
      </c>
      <c r="F62" s="330">
        <f t="shared" si="0"/>
        <v>3</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ROUND(C48*F66,1)</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c r="O70" s="1562" t="s">
        <v>836</v>
      </c>
      <c r="P70" s="1601" t="s">
        <v>1309</v>
      </c>
      <c r="Q70" s="1554">
        <f ca="1">C13</f>
        <v>0</v>
      </c>
      <c r="R70" s="1554" t="s">
        <v>1253</v>
      </c>
    </row>
    <row r="71" spans="1:18" s="1518" customFormat="1" ht="13.5" thickBot="1">
      <c r="A71" s="1082" t="s">
        <v>820</v>
      </c>
      <c r="B71" s="1083" t="s">
        <v>1211</v>
      </c>
      <c r="C71" s="341" t="e">
        <f ca="1">ROUND(C68*10000/F71,0)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t="s">
        <v>3182</v>
      </c>
      <c r="D1" s="1883"/>
      <c r="E1" s="1883"/>
      <c r="F1" s="1885" t="s">
        <v>1708</v>
      </c>
      <c r="G1" s="1696"/>
      <c r="H1" s="1886" t="str">
        <f>IF(G1="现房","——","估价对象范围")</f>
        <v>估价对象范围</v>
      </c>
      <c r="I1" s="1887"/>
    </row>
    <row r="2" spans="1:12" ht="21.75" customHeight="1" thickBot="1">
      <c r="A2" s="3421" t="str">
        <f>项目基本情况!S2</f>
        <v>北京市房地产</v>
      </c>
      <c r="B2" s="3422"/>
      <c r="C2" s="3422"/>
      <c r="D2" s="3422"/>
      <c r="E2" s="3422"/>
      <c r="F2" s="3422"/>
      <c r="G2" s="3422"/>
      <c r="H2" s="3422"/>
      <c r="I2" s="3423"/>
    </row>
    <row r="3" spans="1:12" ht="12.75">
      <c r="A3" s="3425" t="s">
        <v>1709</v>
      </c>
      <c r="B3" s="3426"/>
      <c r="C3" s="3426"/>
      <c r="D3" s="3426"/>
      <c r="E3" s="3426"/>
      <c r="F3" s="3426"/>
      <c r="G3" s="3426"/>
      <c r="H3" s="3426"/>
      <c r="I3" s="3426"/>
    </row>
    <row r="4" spans="1:12" ht="14.25">
      <c r="A4" s="1890" t="s">
        <v>1710</v>
      </c>
      <c r="B4" s="1891" t="s">
        <v>1711</v>
      </c>
      <c r="C4" s="1892" t="s">
        <v>4125</v>
      </c>
      <c r="D4" s="1892" t="s">
        <v>4105</v>
      </c>
      <c r="E4" s="3430" t="s">
        <v>1712</v>
      </c>
      <c r="F4" s="3431"/>
      <c r="G4" s="3431"/>
      <c r="H4" s="3431"/>
      <c r="I4" s="3432"/>
      <c r="K4" s="150" t="str">
        <f>IF(ISNUMBER(FIND("比较法",'结果表-基准'!C4)),"比较法",IF(ISNUMBER(FIND("成本法",'结果表-基准'!C4)),"成本法",IF(ISNUMBER(FIND("假设开发法",'结果表-基准'!C4)),"假设开发法",IF(ISNUMBER(FIND("收益法",'结果表-基准'!C4)),"收益法","基准地价系数修正法"))))</f>
        <v>比较法</v>
      </c>
      <c r="L4" s="150"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366" t="s">
        <v>1713</v>
      </c>
      <c r="B5" s="3424">
        <v>25</v>
      </c>
      <c r="C5" s="3427"/>
      <c r="D5" s="3415"/>
      <c r="E5" s="135" t="s">
        <v>1714</v>
      </c>
      <c r="F5" s="1893"/>
      <c r="G5" s="1893"/>
      <c r="H5" s="1893"/>
      <c r="I5" s="1507"/>
    </row>
    <row r="6" spans="1:12" ht="12.75">
      <c r="A6" s="3366"/>
      <c r="B6" s="3424"/>
      <c r="C6" s="3429"/>
      <c r="D6" s="3415"/>
      <c r="E6" s="135" t="s">
        <v>1715</v>
      </c>
      <c r="F6" s="1893"/>
      <c r="G6" s="1893"/>
      <c r="H6" s="1893"/>
      <c r="I6" s="1507"/>
    </row>
    <row r="7" spans="1:12" ht="12.75">
      <c r="A7" s="3366"/>
      <c r="B7" s="3424"/>
      <c r="C7" s="3428"/>
      <c r="D7" s="3415"/>
      <c r="E7" s="135" t="s">
        <v>1716</v>
      </c>
      <c r="F7" s="1893"/>
      <c r="G7" s="1893"/>
      <c r="H7" s="1893"/>
      <c r="I7" s="1507"/>
    </row>
    <row r="8" spans="1:12" ht="12.75">
      <c r="A8" s="3366" t="s">
        <v>1717</v>
      </c>
      <c r="B8" s="3424">
        <v>15</v>
      </c>
      <c r="C8" s="3427"/>
      <c r="D8" s="3415"/>
      <c r="E8" s="135" t="s">
        <v>1718</v>
      </c>
      <c r="F8" s="1893"/>
      <c r="G8" s="1893"/>
      <c r="H8" s="1893"/>
      <c r="I8" s="1507"/>
    </row>
    <row r="9" spans="1:12" ht="12.75">
      <c r="A9" s="3366"/>
      <c r="B9" s="3424"/>
      <c r="C9" s="3428"/>
      <c r="D9" s="3415"/>
      <c r="E9" s="135" t="s">
        <v>1719</v>
      </c>
      <c r="F9" s="1893"/>
      <c r="G9" s="1893"/>
      <c r="H9" s="1893"/>
      <c r="I9" s="1507"/>
    </row>
    <row r="10" spans="1:12" ht="12.75">
      <c r="A10" s="3366" t="s">
        <v>1720</v>
      </c>
      <c r="B10" s="3424">
        <v>15</v>
      </c>
      <c r="C10" s="3427"/>
      <c r="D10" s="3415"/>
      <c r="E10" s="135" t="s">
        <v>1721</v>
      </c>
      <c r="F10" s="1893"/>
      <c r="G10" s="1893"/>
      <c r="H10" s="1893"/>
      <c r="I10" s="1507"/>
    </row>
    <row r="11" spans="1:12" ht="12.75">
      <c r="A11" s="3366"/>
      <c r="B11" s="3424"/>
      <c r="C11" s="3428"/>
      <c r="D11" s="3415"/>
      <c r="E11" s="135" t="s">
        <v>1722</v>
      </c>
      <c r="F11" s="1893"/>
      <c r="G11" s="1893"/>
      <c r="H11" s="1893"/>
      <c r="I11" s="1507"/>
    </row>
    <row r="12" spans="1:12" ht="12.75">
      <c r="A12" s="3366" t="s">
        <v>1723</v>
      </c>
      <c r="B12" s="3424">
        <v>15</v>
      </c>
      <c r="C12" s="3427"/>
      <c r="D12" s="3415"/>
      <c r="E12" s="135" t="s">
        <v>1724</v>
      </c>
      <c r="F12" s="1893"/>
      <c r="G12" s="1893"/>
      <c r="H12" s="1893"/>
      <c r="I12" s="1507"/>
    </row>
    <row r="13" spans="1:12" ht="12.75">
      <c r="A13" s="3366"/>
      <c r="B13" s="3424"/>
      <c r="C13" s="3428"/>
      <c r="D13" s="3415"/>
      <c r="E13" s="135" t="s">
        <v>1725</v>
      </c>
      <c r="F13" s="1893"/>
      <c r="G13" s="1893"/>
      <c r="H13" s="1893"/>
      <c r="I13" s="1507"/>
    </row>
    <row r="14" spans="1:12" ht="12.75">
      <c r="A14" s="3366" t="s">
        <v>1726</v>
      </c>
      <c r="B14" s="3424">
        <v>30</v>
      </c>
      <c r="C14" s="3427">
        <v>7</v>
      </c>
      <c r="D14" s="3415">
        <v>3</v>
      </c>
      <c r="E14" s="135" t="s">
        <v>1727</v>
      </c>
      <c r="F14" s="1893"/>
      <c r="G14" s="1893"/>
      <c r="H14" s="1893"/>
      <c r="I14" s="1507"/>
    </row>
    <row r="15" spans="1:12" ht="12.75">
      <c r="A15" s="3366"/>
      <c r="B15" s="3424"/>
      <c r="C15" s="3429"/>
      <c r="D15" s="3415"/>
      <c r="E15" s="135" t="s">
        <v>1728</v>
      </c>
      <c r="F15" s="1893"/>
      <c r="G15" s="1893"/>
      <c r="H15" s="1893"/>
      <c r="I15" s="1507"/>
    </row>
    <row r="16" spans="1:12" ht="12.75">
      <c r="A16" s="3366"/>
      <c r="B16" s="3424"/>
      <c r="C16" s="3428"/>
      <c r="D16" s="3415"/>
      <c r="E16" s="135" t="s">
        <v>1729</v>
      </c>
      <c r="F16" s="1893"/>
      <c r="G16" s="1893"/>
      <c r="H16" s="1893"/>
      <c r="I16" s="1507"/>
    </row>
    <row r="17" spans="1:36" ht="15">
      <c r="A17" s="1894" t="s">
        <v>1730</v>
      </c>
      <c r="B17" s="59"/>
      <c r="C17" s="136">
        <f>SUM(C5:C16)</f>
        <v>7</v>
      </c>
      <c r="D17" s="136">
        <f>SUM(D5:D16)</f>
        <v>3</v>
      </c>
      <c r="E17" s="133"/>
      <c r="F17" s="133"/>
      <c r="G17" s="133"/>
      <c r="H17" s="133"/>
      <c r="I17" s="133"/>
      <c r="K17" s="307"/>
      <c r="L17" s="307" t="s">
        <v>1731</v>
      </c>
      <c r="M17" s="307" t="s">
        <v>1732</v>
      </c>
    </row>
    <row r="18" spans="1:36" ht="31.9" customHeight="1" thickBot="1">
      <c r="A18" s="1895" t="s">
        <v>1733</v>
      </c>
      <c r="B18" s="1896"/>
      <c r="C18" s="137">
        <f>ROUND(C17/SUM(C17:D17),2)</f>
        <v>0.7</v>
      </c>
      <c r="D18" s="137">
        <f>1-C18</f>
        <v>0.30000000000000004</v>
      </c>
      <c r="E18" s="3446" t="s">
        <v>2631</v>
      </c>
      <c r="F18" s="3447"/>
      <c r="G18" s="3447"/>
      <c r="H18" s="3447"/>
      <c r="I18" s="3447"/>
      <c r="K18" s="307" t="s">
        <v>1734</v>
      </c>
      <c r="L18" s="307">
        <f>IF(C1="",'数据-汇总表'!E3,SUMIF(项目类型,C1,'数据-汇总表'!E17:E26)+SUMIF(项目类型,C1,'数据-汇总表'!I17:I26))</f>
        <v>33.93</v>
      </c>
      <c r="M18" s="307">
        <f>IF(C1="",'数据-汇总表'!E3,SUMIF(项目类型,C1,'数据-汇总表'!E17:E26))</f>
        <v>33.93</v>
      </c>
    </row>
    <row r="19" spans="1:36" ht="15">
      <c r="A19" s="1897" t="s">
        <v>1735</v>
      </c>
      <c r="B19" s="1898" t="s">
        <v>1736</v>
      </c>
      <c r="C19" s="138">
        <f ca="1">SUMIF(INDIRECT("'"&amp;C4&amp;"'"&amp;"!A:A"),'结果表-基准'!B19,INDIRECT("'"&amp;C4&amp;"'"&amp;"!B:B"))</f>
        <v>25</v>
      </c>
      <c r="D19" s="139">
        <f ca="1">SUMIF(INDIRECT("'"&amp;D4&amp;"'"&amp;"!A:A"),'结果表-基准'!B19,INDIRECT("'"&amp;D4&amp;"'"&amp;"!B:B"))</f>
        <v>7</v>
      </c>
      <c r="E19" s="1897" t="s">
        <v>1737</v>
      </c>
      <c r="F19" s="1898" t="s">
        <v>1736</v>
      </c>
      <c r="G19" s="140">
        <f ca="1">ROUND(C19*$C$18+D19*$D$18,0)</f>
        <v>20</v>
      </c>
      <c r="H19" s="1899" t="s">
        <v>1738</v>
      </c>
      <c r="I19" s="133"/>
      <c r="K19" s="307" t="s">
        <v>1739</v>
      </c>
      <c r="L19" s="307">
        <f>IF(C1="",'数据-汇总表'!D3,SUMIF(项目类型,C1,'数据-汇总表'!D17:D26)+SUMIF(项目类型,C1,'数据-汇总表'!H17:H27))</f>
        <v>8.27</v>
      </c>
      <c r="M19" s="307">
        <f>IF(C1="",'数据-汇总表'!D3,SUMIF(项目类型,C1,'数据-汇总表'!D17:D26))</f>
        <v>8.27</v>
      </c>
    </row>
    <row r="20" spans="1:36" ht="15">
      <c r="A20" s="1900"/>
      <c r="B20" s="1137" t="s">
        <v>1740</v>
      </c>
      <c r="C20" s="141">
        <f ca="1">SUMIF(INDIRECT("'"&amp;C4&amp;"'"&amp;"!A:A"),'结果表-基准'!B20,INDIRECT("'"&amp;C4&amp;"'"&amp;"!B:B"))</f>
        <v>7368</v>
      </c>
      <c r="D20" s="142">
        <f ca="1">SUMIF(INDIRECT("'"&amp;D4&amp;"'"&amp;"!A:A"),'结果表-基准'!B20,INDIRECT("'"&amp;D4&amp;"'"&amp;"!B:B"))</f>
        <v>2007</v>
      </c>
      <c r="E20" s="1900"/>
      <c r="F20" s="1137" t="s">
        <v>1740</v>
      </c>
      <c r="G20" s="143">
        <f ca="1">ROUND(C20*$C$18+D20*$D$18,0)</f>
        <v>5760</v>
      </c>
      <c r="H20" s="897" t="s">
        <v>1741</v>
      </c>
      <c r="I20" s="133"/>
    </row>
    <row r="21" spans="1:36" ht="15" customHeight="1" thickBot="1">
      <c r="A21" s="917"/>
      <c r="B21" s="1901" t="s">
        <v>1742</v>
      </c>
      <c r="C21" s="727">
        <f ca="1">ROUND(C19*10000/L19,0)</f>
        <v>30230</v>
      </c>
      <c r="D21" s="728">
        <f ca="1">ROUND(D19*10000/L19,0)</f>
        <v>8464</v>
      </c>
      <c r="E21" s="917"/>
      <c r="F21" s="1901" t="s">
        <v>1742</v>
      </c>
      <c r="G21" s="144">
        <f ca="1">ROUND(G19*10000/L19,0)</f>
        <v>24184</v>
      </c>
      <c r="H21" s="1902" t="s">
        <v>1741</v>
      </c>
      <c r="I21" s="133"/>
    </row>
    <row r="22" spans="1:36" ht="15" thickBot="1">
      <c r="A22" s="1824" t="s">
        <v>1743</v>
      </c>
      <c r="B22" s="1903"/>
      <c r="C22" s="1904"/>
      <c r="D22" s="729">
        <f ca="1">IF(C19&lt;D19,D19/C19-1,C19/D19-1)</f>
        <v>2.5714285714285716</v>
      </c>
      <c r="E22" s="133"/>
      <c r="F22" s="133"/>
      <c r="G22" s="133"/>
      <c r="H22" s="133"/>
      <c r="I22" s="133"/>
    </row>
    <row r="23" spans="1:36" ht="13.5" thickBot="1">
      <c r="A23" s="1883"/>
      <c r="B23" s="1883"/>
      <c r="C23" s="1883"/>
      <c r="D23" s="1883"/>
      <c r="E23" s="133"/>
      <c r="F23" s="133"/>
      <c r="G23" s="133"/>
      <c r="H23" s="133"/>
      <c r="I23" s="133"/>
    </row>
    <row r="24" spans="1:36" ht="14.25">
      <c r="A24" s="3439" t="s">
        <v>1744</v>
      </c>
      <c r="B24" s="1898" t="s">
        <v>1736</v>
      </c>
      <c r="C24" s="140">
        <f>IF(B30=0,0,D30)</f>
        <v>0</v>
      </c>
      <c r="D24" s="1905"/>
      <c r="E24" s="133"/>
      <c r="F24" s="133"/>
      <c r="G24" s="133"/>
      <c r="H24" s="133"/>
      <c r="I24" s="133"/>
    </row>
    <row r="25" spans="1:36" ht="14.25">
      <c r="A25" s="3440"/>
      <c r="B25" s="1137" t="s">
        <v>1740</v>
      </c>
      <c r="C25" s="145">
        <f>IF(B30=0,0,C30)</f>
        <v>0</v>
      </c>
      <c r="D25" s="1906"/>
      <c r="E25" s="133"/>
      <c r="F25" s="133"/>
      <c r="G25" s="133"/>
      <c r="H25" s="133"/>
      <c r="I25" s="133"/>
    </row>
    <row r="26" spans="1:36" ht="13.5" customHeight="1">
      <c r="A26" s="1907" t="s">
        <v>1745</v>
      </c>
      <c r="B26" s="146" t="s">
        <v>1746</v>
      </c>
      <c r="C26" s="146" t="s">
        <v>1747</v>
      </c>
      <c r="D26" s="147" t="s">
        <v>1748</v>
      </c>
      <c r="E26" s="133"/>
      <c r="F26" s="133"/>
      <c r="G26" s="133"/>
      <c r="H26" s="133"/>
      <c r="I26" s="133"/>
    </row>
    <row r="27" spans="1:36" ht="14.25">
      <c r="A27" s="1907"/>
      <c r="B27" s="146">
        <v>0</v>
      </c>
      <c r="C27" s="146">
        <v>0</v>
      </c>
      <c r="D27" s="147">
        <f>ROUND(C27*B27/10000,0)</f>
        <v>0</v>
      </c>
      <c r="E27" s="133"/>
      <c r="F27" s="133"/>
      <c r="G27" s="133"/>
      <c r="H27" s="133"/>
      <c r="I27" s="133"/>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1749</v>
      </c>
      <c r="B30" s="146"/>
      <c r="C30" s="146"/>
      <c r="D30" s="146"/>
      <c r="E30" s="2471" t="s">
        <v>2632</v>
      </c>
      <c r="F30" s="133"/>
      <c r="G30" s="133"/>
      <c r="H30" s="133"/>
      <c r="I30" s="133"/>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8">
        <f ca="1">IF(D32="总价",G19-C24,G20-C25)</f>
        <v>5760</v>
      </c>
      <c r="D32" s="1911"/>
      <c r="E32" s="133"/>
      <c r="F32" s="133"/>
      <c r="G32" s="133"/>
      <c r="H32" s="133"/>
      <c r="I32" s="133"/>
    </row>
    <row r="33" spans="1:15" ht="15">
      <c r="A33" s="874" t="s">
        <v>1751</v>
      </c>
      <c r="B33" s="1912"/>
      <c r="C33" s="1913"/>
      <c r="D33" s="1914"/>
      <c r="E33" s="1915" t="s">
        <v>1752</v>
      </c>
      <c r="F33" s="1916" t="str">
        <f>IF(D32="楼面单价","取值（单价）","取值（总价）")</f>
        <v>取值（总价）</v>
      </c>
      <c r="G33" s="133"/>
      <c r="H33" s="133"/>
      <c r="I33" s="133"/>
    </row>
    <row r="34" spans="1:15" ht="15">
      <c r="A34" s="1917"/>
      <c r="B34" s="1918" t="s">
        <v>1753</v>
      </c>
      <c r="C34" s="152"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3"/>
      <c r="H34" s="133"/>
      <c r="I34" s="133"/>
    </row>
    <row r="35" spans="1:15" ht="15.7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8"/>
      <c r="G35" s="133"/>
      <c r="H35" s="133"/>
      <c r="I35" s="133"/>
    </row>
    <row r="36" spans="1:15" ht="15.75" thickBot="1">
      <c r="A36" s="3416" t="s">
        <v>1757</v>
      </c>
      <c r="B36" s="1923" t="s">
        <v>1758</v>
      </c>
      <c r="C36" s="149"/>
      <c r="D36" s="1924"/>
      <c r="E36" s="1925"/>
      <c r="F36" s="1926"/>
      <c r="G36" s="133"/>
      <c r="H36" s="133"/>
      <c r="I36" s="133"/>
    </row>
    <row r="37" spans="1:15" ht="15.75" thickBot="1">
      <c r="A37" s="3417"/>
      <c r="B37" s="1810" t="s">
        <v>1759</v>
      </c>
      <c r="C37" s="151"/>
      <c r="D37" s="1253"/>
      <c r="E37" s="1253"/>
      <c r="F37" s="1926"/>
      <c r="G37" s="133"/>
      <c r="H37" s="133"/>
      <c r="I37" s="133"/>
    </row>
    <row r="38" spans="1:15" ht="15.75" thickBot="1">
      <c r="A38" s="3418"/>
      <c r="B38" s="1927" t="s">
        <v>1760</v>
      </c>
      <c r="C38" s="682"/>
      <c r="D38" s="1928" t="s">
        <v>1761</v>
      </c>
      <c r="E38" s="1253"/>
      <c r="F38" s="1926"/>
      <c r="G38" s="133"/>
      <c r="H38" s="133"/>
      <c r="I38" s="133"/>
    </row>
    <row r="39" spans="1:15" ht="15">
      <c r="A39" s="1900" t="s">
        <v>1762</v>
      </c>
      <c r="B39" s="1929" t="s">
        <v>1746</v>
      </c>
      <c r="C39" s="1930" t="s">
        <v>1747</v>
      </c>
      <c r="D39" s="1930" t="s">
        <v>1765</v>
      </c>
      <c r="E39" s="1931" t="s">
        <v>1748</v>
      </c>
      <c r="F39" s="1926"/>
      <c r="G39" s="133"/>
      <c r="H39" s="133"/>
      <c r="I39" s="133"/>
    </row>
    <row r="40" spans="1:15" ht="14.25">
      <c r="A40" s="1932" t="s">
        <v>1767</v>
      </c>
      <c r="B40" s="153"/>
      <c r="C40" s="154"/>
      <c r="D40" s="154"/>
      <c r="E40" s="155"/>
      <c r="F40" s="1926"/>
      <c r="G40" s="133"/>
      <c r="H40" s="133"/>
      <c r="I40" s="133"/>
    </row>
    <row r="41" spans="1:15" ht="14.25">
      <c r="A41" s="1932" t="s">
        <v>1768</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36" t="s">
        <v>1771</v>
      </c>
      <c r="B45" s="3437"/>
      <c r="C45" s="3438"/>
      <c r="D45" s="159" t="e">
        <f ca="1">ROUND(H101*F45,0)</f>
        <v>#REF!</v>
      </c>
      <c r="E45" s="160" t="s">
        <v>1772</v>
      </c>
      <c r="F45" s="161">
        <v>1</v>
      </c>
      <c r="G45" s="162" t="s">
        <v>1773</v>
      </c>
      <c r="H45" s="133"/>
      <c r="I45" s="133"/>
      <c r="J45" s="3353" t="s">
        <v>1774</v>
      </c>
      <c r="K45" s="3353"/>
      <c r="L45" s="3353"/>
      <c r="M45" s="3353"/>
      <c r="N45" s="3353"/>
      <c r="O45" s="3353"/>
    </row>
    <row r="46" spans="1:15" ht="14.25" customHeight="1">
      <c r="A46" s="3433" t="s">
        <v>1775</v>
      </c>
      <c r="B46" s="3434"/>
      <c r="C46" s="3434"/>
      <c r="D46" s="3434"/>
      <c r="E46" s="3434"/>
      <c r="F46" s="3434"/>
      <c r="G46" s="3435"/>
      <c r="H46" s="1942"/>
      <c r="I46" s="163"/>
      <c r="J46" s="3191">
        <v>1</v>
      </c>
      <c r="K46" s="3354" t="s">
        <v>1776</v>
      </c>
      <c r="L46" s="3354"/>
      <c r="M46" s="3355"/>
      <c r="N46" s="3355"/>
      <c r="O46" s="3355"/>
    </row>
    <row r="47" spans="1:15" ht="12" customHeight="1">
      <c r="A47" s="164" t="s">
        <v>1777</v>
      </c>
      <c r="B47" s="165"/>
      <c r="C47" s="166"/>
      <c r="D47" s="1199" t="s">
        <v>1778</v>
      </c>
      <c r="E47" s="307" t="s">
        <v>1779</v>
      </c>
      <c r="F47" s="167" t="s">
        <v>1780</v>
      </c>
      <c r="G47" s="2721" t="s">
        <v>1781</v>
      </c>
      <c r="H47" s="2722"/>
      <c r="I47" s="163"/>
      <c r="J47" s="3191">
        <v>2</v>
      </c>
      <c r="K47" s="3354" t="s">
        <v>1782</v>
      </c>
      <c r="L47" s="3354"/>
      <c r="M47" s="3356">
        <f>'数据-取费表'!B2</f>
        <v>44698</v>
      </c>
      <c r="N47" s="3356"/>
      <c r="O47" s="3356"/>
    </row>
    <row r="48" spans="1:15" ht="25.5">
      <c r="A48" s="3419" t="s">
        <v>1783</v>
      </c>
      <c r="B48" s="3420"/>
      <c r="C48" s="3420"/>
      <c r="D48" s="3188" t="b">
        <f>IF(H48="情况1",0,IF(H48="情况2",D52,IF(H48="情况3",D53,IF(H48="情况4",D54))))</f>
        <v>0</v>
      </c>
      <c r="E48" s="3201" t="str">
        <f>IF(H48="情况4","(销售额-原购置价)×税（费）率","销售额×税（费）率")</f>
        <v>销售额×税（费）率</v>
      </c>
      <c r="F48" s="2723">
        <f>IF(H48="情况1","免征",'数据-取费表'!B41)</f>
        <v>5.6000000000000001E-2</v>
      </c>
      <c r="G48" s="2724" t="s">
        <v>1784</v>
      </c>
      <c r="H48" s="2725"/>
      <c r="I48" s="1942"/>
      <c r="J48" s="3191">
        <v>3</v>
      </c>
      <c r="K48" s="3354" t="s">
        <v>1785</v>
      </c>
      <c r="L48" s="3354"/>
      <c r="M48" s="3357" t="e">
        <f ca="1">H101</f>
        <v>#REF!</v>
      </c>
      <c r="N48" s="3357"/>
      <c r="O48" s="3357"/>
    </row>
    <row r="49" spans="1:35" ht="25.5" customHeight="1">
      <c r="A49" s="3200" t="s">
        <v>1786</v>
      </c>
      <c r="B49" s="3402" t="s">
        <v>1787</v>
      </c>
      <c r="C49" s="3402"/>
      <c r="D49" s="1725">
        <v>0</v>
      </c>
      <c r="E49" s="329" t="s">
        <v>1788</v>
      </c>
      <c r="F49" s="3186" t="s">
        <v>34</v>
      </c>
      <c r="G49" s="3385"/>
      <c r="H49" s="2478" t="s">
        <v>2634</v>
      </c>
      <c r="I49" s="2479"/>
      <c r="J49" s="3191">
        <v>4</v>
      </c>
      <c r="K49" s="3354" t="str">
        <f>IF(项目基本情况!E8="房地产抵押价值","房地产抵押价值","抵押担保权已注销时的房地产抵押价值")</f>
        <v>房地产抵押价值</v>
      </c>
      <c r="L49" s="3354"/>
      <c r="M49" s="3357" t="str">
        <f ca="1">IF(项目基本情况!E8="房地产抵押价值",H107,H109)</f>
        <v>——</v>
      </c>
      <c r="N49" s="3357"/>
      <c r="O49" s="3357"/>
    </row>
    <row r="50" spans="1:35" ht="25.5" customHeight="1">
      <c r="A50" s="2726"/>
      <c r="B50" s="3402" t="s">
        <v>1789</v>
      </c>
      <c r="C50" s="3402"/>
      <c r="D50" s="2727"/>
      <c r="E50" s="337"/>
      <c r="F50" s="3186"/>
      <c r="G50" s="3386"/>
      <c r="H50" s="2480" t="s">
        <v>2635</v>
      </c>
      <c r="I50" s="2479"/>
      <c r="J50" s="3353" t="s">
        <v>1790</v>
      </c>
      <c r="K50" s="3353"/>
      <c r="L50" s="3353"/>
      <c r="M50" s="3353"/>
      <c r="N50" s="3353"/>
      <c r="O50" s="3353"/>
    </row>
    <row r="51" spans="1:35" ht="20.45" customHeight="1">
      <c r="A51" s="2728"/>
      <c r="B51" s="3402" t="s">
        <v>1791</v>
      </c>
      <c r="C51" s="3402"/>
      <c r="D51" s="1199"/>
      <c r="E51" s="332"/>
      <c r="F51" s="3186"/>
      <c r="G51" s="3387"/>
      <c r="H51" s="2480" t="s">
        <v>2636</v>
      </c>
      <c r="I51" s="2479"/>
      <c r="J51" s="3187" t="s">
        <v>1792</v>
      </c>
      <c r="K51" s="3354" t="s">
        <v>1793</v>
      </c>
      <c r="L51" s="3354"/>
      <c r="M51" s="3187" t="s">
        <v>1794</v>
      </c>
      <c r="N51" s="3187" t="s">
        <v>1795</v>
      </c>
      <c r="O51" s="3187" t="s">
        <v>1796</v>
      </c>
    </row>
    <row r="52" spans="1:35" ht="24" customHeight="1">
      <c r="A52" s="3202" t="s">
        <v>1797</v>
      </c>
      <c r="B52" s="3402" t="s">
        <v>1798</v>
      </c>
      <c r="C52" s="3402"/>
      <c r="D52" s="1199" t="e">
        <f ca="1">ROUND(D45*'数据-取费表'!B41/(1+'数据-取费表'!C42),0)</f>
        <v>#REF!</v>
      </c>
      <c r="E52" s="3201" t="s">
        <v>1799</v>
      </c>
      <c r="F52" s="2729">
        <f>'数据-取费表'!B41</f>
        <v>5.6000000000000001E-2</v>
      </c>
      <c r="G52" s="2730"/>
      <c r="H52" s="2719"/>
      <c r="I52" s="1943"/>
      <c r="J52" s="3191">
        <v>1</v>
      </c>
      <c r="K52" s="3379" t="s">
        <v>1800</v>
      </c>
      <c r="L52" s="3379"/>
      <c r="M52" s="2700" t="b">
        <f>D48</f>
        <v>0</v>
      </c>
      <c r="N52" s="3191" t="str">
        <f>E48</f>
        <v>销售额×税（费）率</v>
      </c>
      <c r="O52" s="2701">
        <f>F48</f>
        <v>5.6000000000000001E-2</v>
      </c>
    </row>
    <row r="53" spans="1:35" ht="12" customHeight="1">
      <c r="A53" s="3202" t="s">
        <v>1801</v>
      </c>
      <c r="B53" s="3403" t="s">
        <v>2791</v>
      </c>
      <c r="C53" s="3404"/>
      <c r="D53" s="1199" t="e">
        <f ca="1">ROUND(D45*'数据-取费表'!B41/(1+'数据-取费表'!C42),0)</f>
        <v>#REF!</v>
      </c>
      <c r="E53" s="3201" t="s">
        <v>1799</v>
      </c>
      <c r="F53" s="2729">
        <f>'数据-取费表'!B41</f>
        <v>5.6000000000000001E-2</v>
      </c>
      <c r="G53" s="2730"/>
      <c r="H53" s="2719"/>
      <c r="I53" s="1943"/>
      <c r="J53" s="3191">
        <v>2</v>
      </c>
      <c r="K53" s="3379" t="s">
        <v>1802</v>
      </c>
      <c r="L53" s="3379"/>
      <c r="M53" s="2700" t="e">
        <f t="shared" ref="M53:O54" ca="1" si="0">D55</f>
        <v>#REF!</v>
      </c>
      <c r="N53" s="3191" t="str">
        <f t="shared" si="0"/>
        <v>销售额×税（费）率</v>
      </c>
      <c r="O53" s="2701" t="str">
        <f t="shared" si="0"/>
        <v>免征</v>
      </c>
    </row>
    <row r="54" spans="1:35" ht="12" customHeight="1">
      <c r="A54" s="3202" t="s">
        <v>1803</v>
      </c>
      <c r="B54" s="3403" t="s">
        <v>2792</v>
      </c>
      <c r="C54" s="3404"/>
      <c r="D54" s="1199" t="e">
        <f ca="1">C68</f>
        <v>#REF!</v>
      </c>
      <c r="E54" s="332" t="s">
        <v>1804</v>
      </c>
      <c r="F54" s="2729">
        <f>'数据-取费表'!B41</f>
        <v>5.6000000000000001E-2</v>
      </c>
      <c r="G54" s="2730"/>
      <c r="H54" s="2731"/>
      <c r="I54" s="1943"/>
      <c r="J54" s="3191">
        <v>3</v>
      </c>
      <c r="K54" s="3379" t="s">
        <v>1805</v>
      </c>
      <c r="L54" s="3379"/>
      <c r="M54" s="2700" t="e">
        <f t="shared" ca="1" si="0"/>
        <v>#REF!</v>
      </c>
      <c r="N54" s="3191" t="str">
        <f t="shared" si="0"/>
        <v>增值额×税（费）率</v>
      </c>
      <c r="O54" s="2702" t="str">
        <f t="shared" si="0"/>
        <v>免征</v>
      </c>
    </row>
    <row r="55" spans="1:35" ht="24" customHeight="1">
      <c r="A55" s="3442" t="s">
        <v>1806</v>
      </c>
      <c r="B55" s="3420"/>
      <c r="C55" s="3420"/>
      <c r="D55" s="3188" t="e">
        <f ca="1">IF(H55="个人住宅",0,ROUND(D45*I55,0))</f>
        <v>#REF!</v>
      </c>
      <c r="E55" s="3201" t="s">
        <v>1807</v>
      </c>
      <c r="F55" s="2729" t="str">
        <f>IF(H55="正常",I55,"免征")</f>
        <v>免征</v>
      </c>
      <c r="G55" s="2730"/>
      <c r="H55" s="2725"/>
      <c r="I55" s="169">
        <f>'数据-取费表'!B49</f>
        <v>5.0000000000000001E-4</v>
      </c>
      <c r="J55" s="3191">
        <f>IF(H59="非个人房产","",4)</f>
        <v>4</v>
      </c>
      <c r="K55" s="3379" t="str">
        <f>IF(H59="非个人房产","——","个人所得税")</f>
        <v>个人所得税</v>
      </c>
      <c r="L55" s="3379"/>
      <c r="M55" s="2703" t="e">
        <f ca="1">D59</f>
        <v>#REF!</v>
      </c>
      <c r="N55" s="3192" t="str">
        <f>E59</f>
        <v>差额计税</v>
      </c>
      <c r="O55" s="2704">
        <f>F59</f>
        <v>0.01</v>
      </c>
    </row>
    <row r="56" spans="1:35" ht="24.75">
      <c r="A56" s="3442" t="s">
        <v>1808</v>
      </c>
      <c r="B56" s="3420"/>
      <c r="C56" s="3420"/>
      <c r="D56" s="3188" t="e">
        <f ca="1">IF(H56="个人住宅",D57,D58)</f>
        <v>#REF!</v>
      </c>
      <c r="E56" s="3201" t="s">
        <v>1809</v>
      </c>
      <c r="F56" s="2729" t="str">
        <f>IF(H56="正常",F58,"免征")</f>
        <v>免征</v>
      </c>
      <c r="G56" s="2732" t="s">
        <v>1810</v>
      </c>
      <c r="H56" s="2733"/>
      <c r="I56" s="1944"/>
      <c r="J56" s="3191" t="str">
        <f>IF(项目基本情况!K6="上海银行",IF(J55="",4,J55+1),"")</f>
        <v/>
      </c>
      <c r="K56" s="3360" t="str">
        <f>IF(项目基本情况!K6="上海银行","其他处置费用","")</f>
        <v/>
      </c>
      <c r="L56" s="3361"/>
      <c r="M56" s="2700" t="str">
        <f>IF(项目基本情况!K6="上海银行",M69,"")</f>
        <v/>
      </c>
      <c r="N56" s="3360" t="str">
        <f>IF(项目基本情况!K6="上海银行","包含处置中涉及的律师、诉讼、拍卖、评估等费用","")</f>
        <v/>
      </c>
      <c r="O56" s="3363"/>
    </row>
    <row r="57" spans="1:35" ht="12.75">
      <c r="A57" s="3202" t="s">
        <v>1786</v>
      </c>
      <c r="B57" s="3403" t="s">
        <v>1811</v>
      </c>
      <c r="C57" s="3404"/>
      <c r="D57" s="1725">
        <v>0</v>
      </c>
      <c r="E57" s="329" t="s">
        <v>1788</v>
      </c>
      <c r="F57" s="307"/>
      <c r="G57" s="2730"/>
      <c r="H57" s="2734"/>
      <c r="I57" s="1944"/>
      <c r="J57" s="3379">
        <f>IF(AND(J55="",J56=""),4,IF(项目基本情况!K6="上海银行",'结果表-基准'!J56+1,'结果表-基准'!J55+1))</f>
        <v>5</v>
      </c>
      <c r="K57" s="3379" t="s">
        <v>1812</v>
      </c>
      <c r="L57" s="2705" t="s">
        <v>1813</v>
      </c>
      <c r="M57" s="2706"/>
      <c r="N57" s="2707">
        <f ca="1">SUMIF(M52:M56,"&lt;9e307")</f>
        <v>0</v>
      </c>
      <c r="O57" s="2708"/>
      <c r="P57" s="2868" t="e">
        <f ca="1">N57/M49</f>
        <v>#VALUE!</v>
      </c>
    </row>
    <row r="58" spans="1:35" ht="24.75">
      <c r="A58" s="3202" t="s">
        <v>1797</v>
      </c>
      <c r="B58" s="3403" t="s">
        <v>1814</v>
      </c>
      <c r="C58" s="3402"/>
      <c r="D58" s="3188" t="e">
        <f ca="1">IF(H58="转让取得",C81,C97)</f>
        <v>#REF!</v>
      </c>
      <c r="E58" s="3201" t="s">
        <v>1809</v>
      </c>
      <c r="F58" s="307" t="s">
        <v>34</v>
      </c>
      <c r="G58" s="2730"/>
      <c r="H58" s="2733"/>
      <c r="I58" s="1944"/>
      <c r="J58" s="3379"/>
      <c r="K58" s="3379"/>
      <c r="L58" s="2705" t="s">
        <v>1815</v>
      </c>
      <c r="M58" s="2709"/>
      <c r="N58" s="2710" t="str">
        <f ca="1">NUMBERSTRING(INT(N57*10000),2)&amp;"元整"</f>
        <v>零元整</v>
      </c>
      <c r="O58" s="2711"/>
    </row>
    <row r="59" spans="1:35" ht="24.75" thickBot="1">
      <c r="A59" s="3383" t="s">
        <v>1816</v>
      </c>
      <c r="B59" s="3384"/>
      <c r="C59" s="3384"/>
      <c r="D59" s="2735" t="e">
        <f ca="1">IF(H59="非个人房产","——",IF(H59="个人住宅（满五唯一有凭证）",0,IF(H59="个人其他（无凭证）",ROUND(D45*F59,0),ROUND(C67*F59,0))))</f>
        <v>#REF!</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381">
        <f>J57+1</f>
        <v>6</v>
      </c>
      <c r="K59" s="3379" t="s">
        <v>1817</v>
      </c>
      <c r="L59" s="3191" t="s">
        <v>1813</v>
      </c>
      <c r="M59" s="2712"/>
      <c r="N59" s="2713" t="e">
        <f ca="1">M49-N57</f>
        <v>#VALUE!</v>
      </c>
      <c r="O59" s="2714"/>
    </row>
    <row r="60" spans="1:35" ht="12" customHeight="1">
      <c r="A60" s="1945"/>
      <c r="B60" s="1883"/>
      <c r="C60" s="1883"/>
      <c r="D60" s="1883"/>
      <c r="E60" s="1713"/>
      <c r="F60" s="1944"/>
      <c r="G60" s="1944"/>
      <c r="H60" s="1946"/>
      <c r="I60" s="133"/>
      <c r="J60" s="3382"/>
      <c r="K60" s="3379"/>
      <c r="L60" s="2705" t="s">
        <v>1815</v>
      </c>
      <c r="M60" s="2709"/>
      <c r="N60" s="2710" t="e">
        <f ca="1">NUMBERSTRING(INT(N59*10000),2)&amp;"元整"</f>
        <v>#VALUE!</v>
      </c>
      <c r="O60" s="2711"/>
    </row>
    <row r="61" spans="1:35" ht="13.5" thickBot="1">
      <c r="A61" s="3441" t="s">
        <v>1818</v>
      </c>
      <c r="B61" s="3441"/>
      <c r="C61" s="3441"/>
      <c r="D61" s="3441"/>
      <c r="E61" s="3441"/>
      <c r="F61" s="1944"/>
      <c r="G61" s="1944"/>
      <c r="H61" s="1946"/>
      <c r="I61" s="133"/>
      <c r="J61" s="3191">
        <f>J59+1</f>
        <v>7</v>
      </c>
      <c r="K61" s="3379" t="s">
        <v>1819</v>
      </c>
      <c r="L61" s="3379"/>
      <c r="M61" s="2715"/>
      <c r="N61" s="2716" t="e">
        <f ca="1">ROUND(N59*10000/'数据-汇总表'!E3,0)</f>
        <v>#VALUE!</v>
      </c>
      <c r="O61" s="2717"/>
    </row>
    <row r="62" spans="1:35" ht="12.75">
      <c r="A62" s="3398" t="s">
        <v>1820</v>
      </c>
      <c r="B62" s="3399"/>
      <c r="C62" s="3196"/>
      <c r="D62" s="3196" t="s">
        <v>1821</v>
      </c>
      <c r="E62" s="170" t="s">
        <v>1822</v>
      </c>
      <c r="F62" s="1944"/>
      <c r="G62" s="1944"/>
      <c r="H62" s="1946"/>
      <c r="I62" s="133"/>
    </row>
    <row r="63" spans="1:35" ht="12.75">
      <c r="A63" s="177" t="s">
        <v>594</v>
      </c>
      <c r="B63" s="171" t="s">
        <v>1823</v>
      </c>
      <c r="C63" s="2739" t="e">
        <f ca="1">ROUND((C64+C65)/(1+'数据-取费表'!C42),0)</f>
        <v>#REF!</v>
      </c>
      <c r="D63" s="171"/>
      <c r="E63" s="172"/>
      <c r="F63" s="1944"/>
      <c r="G63" s="1944"/>
      <c r="H63" s="1946"/>
      <c r="I63" s="133"/>
      <c r="J63" s="3362" t="s">
        <v>1824</v>
      </c>
      <c r="K63" s="3189" t="s">
        <v>1825</v>
      </c>
      <c r="L63" s="3189" t="e">
        <f ca="1">IF(M49&gt;10000,M49*0.5%,IF(AND(M49&gt;1000,M49&lt;=10000),M49*1%,IF(AND(M49&gt;100,M49&lt;=1000),M49*3%,IF(AND(M49&gt;10,M49&lt;=100),M49*5%,M49*8%))))</f>
        <v>#VALUE!</v>
      </c>
      <c r="M63" s="307" t="e">
        <f ca="1">ROUND(L63,1)</f>
        <v>#VALUE!</v>
      </c>
      <c r="N63" s="2718"/>
      <c r="Z63" s="1888"/>
      <c r="AI63" s="1889"/>
    </row>
    <row r="64" spans="1:35" ht="14.25" customHeight="1">
      <c r="A64" s="173" t="s">
        <v>589</v>
      </c>
      <c r="B64" s="174" t="s">
        <v>1826</v>
      </c>
      <c r="C64" s="2740" t="e">
        <f ca="1">D45</f>
        <v>#REF!</v>
      </c>
      <c r="D64" s="174" t="s">
        <v>32</v>
      </c>
      <c r="E64" s="176"/>
      <c r="F64" s="1944"/>
      <c r="G64" s="1944"/>
      <c r="H64" s="1946"/>
      <c r="I64" s="133"/>
      <c r="J64" s="3362"/>
      <c r="K64" s="3189" t="s">
        <v>1827</v>
      </c>
      <c r="L64" s="3189"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19" t="s">
        <v>1828</v>
      </c>
      <c r="Z64" s="1888"/>
      <c r="AI64" s="1889"/>
    </row>
    <row r="65" spans="1:35" ht="14.25" customHeight="1">
      <c r="A65" s="173" t="s">
        <v>590</v>
      </c>
      <c r="B65" s="174" t="s">
        <v>1829</v>
      </c>
      <c r="C65" s="2741"/>
      <c r="D65" s="174"/>
      <c r="E65" s="176"/>
      <c r="F65" s="1944"/>
      <c r="G65" s="1944"/>
      <c r="H65" s="1946"/>
      <c r="I65" s="133"/>
      <c r="J65" s="3362"/>
      <c r="K65" s="3189" t="s">
        <v>1830</v>
      </c>
      <c r="L65" s="3189" t="e">
        <f ca="1">IF(M49&gt;1000,M49*0.1%,IF(AND(M49&gt;500,M49&lt;=1000),M49*0.5%,IF(AND(M49&gt;50,M49&lt;=500),M49*1%,IF(AND(M49&gt;1,M49&lt;=50),M49*1.5%))))</f>
        <v>#VALUE!</v>
      </c>
      <c r="M65" s="307" t="e">
        <f t="shared" ca="1" si="1"/>
        <v>#VALUE!</v>
      </c>
      <c r="N65" s="2719" t="s">
        <v>1828</v>
      </c>
      <c r="Z65" s="1888"/>
      <c r="AI65" s="1889"/>
    </row>
    <row r="66" spans="1:35" ht="14.25" customHeight="1">
      <c r="A66" s="177" t="s">
        <v>591</v>
      </c>
      <c r="B66" s="178" t="s">
        <v>1831</v>
      </c>
      <c r="C66" s="2742"/>
      <c r="D66" s="178" t="s">
        <v>32</v>
      </c>
      <c r="E66" s="1459" t="s">
        <v>1096</v>
      </c>
      <c r="F66" s="1944"/>
      <c r="G66" s="1944"/>
      <c r="H66" s="1946"/>
      <c r="I66" s="133"/>
      <c r="J66" s="3362"/>
      <c r="K66" s="3189" t="s">
        <v>1832</v>
      </c>
      <c r="L66" s="3189" t="e">
        <f ca="1">M49*0.5%</f>
        <v>#VALUE!</v>
      </c>
      <c r="M66" s="307" t="e">
        <f ca="1">IF(L66&gt;0.5,0.5,ROUND(L66,0))</f>
        <v>#VALUE!</v>
      </c>
      <c r="N66" s="2719" t="s">
        <v>1833</v>
      </c>
      <c r="Z66" s="1888"/>
      <c r="AI66" s="1889"/>
    </row>
    <row r="67" spans="1:35" ht="14.25" customHeight="1">
      <c r="A67" s="177" t="s">
        <v>592</v>
      </c>
      <c r="B67" s="178" t="s">
        <v>1834</v>
      </c>
      <c r="C67" s="2743" t="e">
        <f ca="1">C63-C66</f>
        <v>#REF!</v>
      </c>
      <c r="D67" s="174" t="s">
        <v>32</v>
      </c>
      <c r="E67" s="176"/>
      <c r="F67" s="1944"/>
      <c r="G67" s="1944"/>
      <c r="H67" s="1946"/>
      <c r="I67" s="133"/>
      <c r="J67" s="3362"/>
      <c r="K67" s="3189" t="s">
        <v>1835</v>
      </c>
      <c r="L67" s="3189"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18"/>
      <c r="Z67" s="1888"/>
      <c r="AI67" s="1889"/>
    </row>
    <row r="68" spans="1:35" ht="14.25" customHeight="1" thickBot="1">
      <c r="A68" s="180" t="s">
        <v>593</v>
      </c>
      <c r="B68" s="181" t="s">
        <v>1836</v>
      </c>
      <c r="C68" s="2744" t="e">
        <f ca="1">IF(C67&lt;=0,0,ROUND(C67*D68,0))</f>
        <v>#REF!</v>
      </c>
      <c r="D68" s="2745">
        <f>'数据-取费表'!B41</f>
        <v>5.6000000000000001E-2</v>
      </c>
      <c r="E68" s="183"/>
      <c r="F68" s="1944"/>
      <c r="G68" s="1944"/>
      <c r="H68" s="1946"/>
      <c r="I68" s="133"/>
      <c r="J68" s="3362"/>
      <c r="K68" s="3189" t="s">
        <v>1837</v>
      </c>
      <c r="L68" s="3189" t="e">
        <f ca="1">IF(M49&gt;10000,M49*0.5%,IF(AND(M49&gt;5000,M49&lt;=10000),M49*1%,IF(AND(M49&gt;1000,M49&lt;=5000),M49*2%,IF(AND(M49&gt;200,M49&lt;=1000),M49*3%,M49*5%))))</f>
        <v>#VALUE!</v>
      </c>
      <c r="M68" s="307" t="e">
        <f ca="1">ROUND(L68,1)</f>
        <v>#VALUE!</v>
      </c>
      <c r="N68" s="2718"/>
      <c r="Z68" s="1888"/>
      <c r="AI68" s="1889"/>
    </row>
    <row r="69" spans="1:35" s="1908" customFormat="1" ht="16.5" customHeight="1">
      <c r="A69" s="1947"/>
      <c r="B69" s="1948"/>
      <c r="C69" s="1949"/>
      <c r="D69" s="1950"/>
      <c r="E69" s="1951"/>
      <c r="F69" s="1713"/>
      <c r="G69" s="1713"/>
      <c r="H69" s="1712"/>
      <c r="I69" s="1883"/>
      <c r="J69" s="3362"/>
      <c r="K69" s="3189" t="s">
        <v>1838</v>
      </c>
      <c r="L69" s="3189"/>
      <c r="M69" s="307" t="e">
        <f ca="1">ROUND(SUM(M63:M68),0)</f>
        <v>#VALUE!</v>
      </c>
      <c r="N69" s="2720" t="e">
        <f ca="1">M69/M49</f>
        <v>#VALUE!</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406" t="s">
        <v>1839</v>
      </c>
      <c r="B70" s="3407"/>
      <c r="C70" s="3407"/>
      <c r="D70" s="3407"/>
      <c r="E70" s="3407"/>
      <c r="F70" s="3407"/>
      <c r="G70" s="3407"/>
      <c r="H70" s="3407"/>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8" t="s">
        <v>1820</v>
      </c>
      <c r="B71" s="3399"/>
      <c r="C71" s="3196"/>
      <c r="D71" s="3196" t="s">
        <v>1821</v>
      </c>
      <c r="E71" s="184" t="s">
        <v>1822</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7" t="s">
        <v>594</v>
      </c>
      <c r="B72" s="178" t="s">
        <v>1840</v>
      </c>
      <c r="C72" s="2743" t="e">
        <f ca="1">ROUND(D45/(1+'数据-取费表'!C42),0)</f>
        <v>#REF!</v>
      </c>
      <c r="D72" s="174" t="s">
        <v>32</v>
      </c>
      <c r="E72" s="3198"/>
      <c r="F72" s="3197"/>
      <c r="G72" s="3197"/>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7" t="s">
        <v>591</v>
      </c>
      <c r="B73" s="167" t="s">
        <v>1841</v>
      </c>
      <c r="C73" s="2743" t="e">
        <f ca="1">C74+C78</f>
        <v>#REF!</v>
      </c>
      <c r="D73" s="174" t="s">
        <v>32</v>
      </c>
      <c r="E73" s="3198"/>
      <c r="F73" s="3197"/>
      <c r="G73" s="3197"/>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1842</v>
      </c>
      <c r="C74" s="174">
        <f>ROUND(IF(G77="2016年5月1日后购买",C75/(1+'数据-取费表'!C42)+C76+C77,C75+C76+C77),0)</f>
        <v>0</v>
      </c>
      <c r="D74" s="174" t="s">
        <v>32</v>
      </c>
      <c r="E74" s="3198"/>
      <c r="F74" s="3197"/>
      <c r="G74" s="3197"/>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3" t="s">
        <v>595</v>
      </c>
      <c r="B75" s="174" t="s">
        <v>1843</v>
      </c>
      <c r="C75" s="2746"/>
      <c r="D75" s="174" t="s">
        <v>32</v>
      </c>
      <c r="E75" s="189" t="s">
        <v>1844</v>
      </c>
      <c r="F75" s="2747"/>
      <c r="G75" s="189"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1846</v>
      </c>
      <c r="C76" s="174">
        <f>IF(F75="购房发票",ROUND(C75*H75*D76,0),0)</f>
        <v>0</v>
      </c>
      <c r="D76" s="2749">
        <v>0.05</v>
      </c>
      <c r="E76" s="3403" t="s">
        <v>1847</v>
      </c>
      <c r="F76" s="3402"/>
      <c r="G76" s="3402"/>
      <c r="H76" s="3405"/>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1848</v>
      </c>
      <c r="C77" s="174">
        <f>ROUND(IF(G77="个人住宅",0,IF(G77="2016年5月1日前购买",C75*D77,C75*D77/(1+'数据-取费表'!C42))),0)</f>
        <v>0</v>
      </c>
      <c r="D77" s="2750">
        <f>'数据-取费表'!B48+'数据-取费表'!B49</f>
        <v>3.0499999999999999E-2</v>
      </c>
      <c r="E77" s="3188" t="s">
        <v>1849</v>
      </c>
      <c r="F77" s="191"/>
      <c r="G77" s="1958"/>
      <c r="H77" s="3199"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1850</v>
      </c>
      <c r="C78" s="2751" t="e">
        <f ca="1">ROUND(D45*D78/(1+'数据-取费表'!C42),0)</f>
        <v>#REF!</v>
      </c>
      <c r="D78" s="2752">
        <f>'数据-取费表'!B43</f>
        <v>6.000000000000001E-3</v>
      </c>
      <c r="E78" s="3395" t="s">
        <v>1851</v>
      </c>
      <c r="F78" s="3396"/>
      <c r="G78" s="3396"/>
      <c r="H78" s="3397"/>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7" t="s">
        <v>592</v>
      </c>
      <c r="B79" s="178" t="s">
        <v>1852</v>
      </c>
      <c r="C79" s="2743" t="e">
        <f ca="1">C72-C73</f>
        <v>#REF!</v>
      </c>
      <c r="D79" s="174" t="s">
        <v>32</v>
      </c>
      <c r="E79" s="3198"/>
      <c r="F79" s="3197"/>
      <c r="G79" s="3197"/>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1853</v>
      </c>
      <c r="C80" s="2753" t="e">
        <f ca="1">IF(C79&lt;=0,0,C79/C73)</f>
        <v>#REF!</v>
      </c>
      <c r="D80" s="174" t="s">
        <v>32</v>
      </c>
      <c r="E80" s="3188" t="e">
        <f ca="1">IF(C80&gt;=200%,"增值额超过扣除项目金额200%",IF(C80&gt;=100%,"增值额超过扣除项目金额100%，未超过200%",IF(C80&gt;=50%,"增值额超过扣除项目金额50%，未超过100%",IF(C80&lt;50%,"增值额未超过扣除项目金额50%"))))</f>
        <v>#REF!</v>
      </c>
      <c r="F80" s="3197"/>
      <c r="G80" s="3197"/>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0" t="s">
        <v>600</v>
      </c>
      <c r="B81" s="181" t="s">
        <v>1854</v>
      </c>
      <c r="C81" s="2754" t="e">
        <f ca="1">ROUND(IF(C79&lt;=0,0,IF(C80&gt;=200%,C79*60%-C73*35%,IF(C80&gt;=100%,C79*50%-C73*15%,IF(C80&gt;=50%,C79*40%-C73*5%,IF(C80&lt;50%,C79*30%,0))))),0)</f>
        <v>#REF!</v>
      </c>
      <c r="D81" s="275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06" t="s">
        <v>1855</v>
      </c>
      <c r="B83" s="3407"/>
      <c r="C83" s="3407"/>
      <c r="D83" s="3407"/>
      <c r="E83" s="3407"/>
      <c r="F83" s="3407"/>
      <c r="G83" s="3407"/>
      <c r="H83" s="3407"/>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8" t="s">
        <v>1820</v>
      </c>
      <c r="B84" s="3399"/>
      <c r="C84" s="3196"/>
      <c r="D84" s="3196" t="s">
        <v>1821</v>
      </c>
      <c r="E84" s="184" t="s">
        <v>1822</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7" t="s">
        <v>594</v>
      </c>
      <c r="B85" s="178" t="s">
        <v>1840</v>
      </c>
      <c r="C85" s="2743" t="e">
        <f ca="1">ROUND(D45/(1+'数据-取费表'!C42),0)</f>
        <v>#REF!</v>
      </c>
      <c r="D85" s="174" t="s">
        <v>32</v>
      </c>
      <c r="E85" s="3198"/>
      <c r="F85" s="3197"/>
      <c r="G85" s="3197"/>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7" t="s">
        <v>591</v>
      </c>
      <c r="B86" s="167" t="s">
        <v>1841</v>
      </c>
      <c r="C86" s="2743" t="e">
        <f ca="1">IF(H88="仅含出让金",C87+C90+C91+C92+C93+C94,C87+C91+C92+C93+C94)</f>
        <v>#REF!</v>
      </c>
      <c r="D86" s="2756"/>
      <c r="E86" s="3198"/>
      <c r="F86" s="3197"/>
      <c r="G86" s="3197"/>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3" t="s">
        <v>589</v>
      </c>
      <c r="B87" s="174" t="s">
        <v>1856</v>
      </c>
      <c r="C87" s="2751">
        <f>C88+C89</f>
        <v>0</v>
      </c>
      <c r="D87" s="2752"/>
      <c r="E87" s="3193"/>
      <c r="F87" s="3194"/>
      <c r="G87" s="3194"/>
      <c r="H87" s="3195"/>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3" t="s">
        <v>595</v>
      </c>
      <c r="B88" s="174" t="s">
        <v>1857</v>
      </c>
      <c r="C88" s="2757"/>
      <c r="D88" s="2752"/>
      <c r="E88" s="198" t="s">
        <v>1858</v>
      </c>
      <c r="F88" s="3194"/>
      <c r="G88" s="199"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3" t="s">
        <v>596</v>
      </c>
      <c r="B89" s="174" t="s">
        <v>1848</v>
      </c>
      <c r="C89" s="2751">
        <f>ROUND(C88*D89,0)</f>
        <v>0</v>
      </c>
      <c r="D89" s="2752">
        <f>'数据-取费表'!B48+'数据-取费表'!B49</f>
        <v>3.0499999999999999E-2</v>
      </c>
      <c r="E89" s="198" t="s">
        <v>1860</v>
      </c>
      <c r="F89" s="3194"/>
      <c r="G89" s="3194"/>
      <c r="H89" s="3195"/>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3" t="s">
        <v>590</v>
      </c>
      <c r="B90" s="174" t="s">
        <v>1861</v>
      </c>
      <c r="C90" s="2757"/>
      <c r="D90" s="2752"/>
      <c r="E90" s="198" t="str">
        <f>IF(H88="-","土地取得成本中已包含该笔费用"," ")</f>
        <v xml:space="preserve"> </v>
      </c>
      <c r="F90" s="3194"/>
      <c r="G90" s="3364" t="s">
        <v>2629</v>
      </c>
      <c r="H90" s="3365"/>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1862</v>
      </c>
      <c r="B91" s="174" t="s">
        <v>1863</v>
      </c>
      <c r="C91" s="2751">
        <f>IF(H91="——",成本法!C33,I91)</f>
        <v>0</v>
      </c>
      <c r="D91" s="2752"/>
      <c r="E91" s="3395" t="s">
        <v>1864</v>
      </c>
      <c r="F91" s="3396"/>
      <c r="G91" s="3396"/>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1865</v>
      </c>
      <c r="B92" s="174" t="s">
        <v>1866</v>
      </c>
      <c r="C92" s="2751">
        <f>ROUND((C87+C90+C91)*D92,0)</f>
        <v>0</v>
      </c>
      <c r="D92" s="2758"/>
      <c r="E92" s="3395" t="s">
        <v>1867</v>
      </c>
      <c r="F92" s="3396"/>
      <c r="G92" s="3396"/>
      <c r="H92" s="3397"/>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1868</v>
      </c>
      <c r="B93" s="174" t="s">
        <v>1850</v>
      </c>
      <c r="C93" s="2751" t="e">
        <f ca="1">ROUND(D45*D93/(1+'数据-取费表'!C42),0)</f>
        <v>#REF!</v>
      </c>
      <c r="D93" s="2752">
        <f>'数据-取费表'!B43</f>
        <v>6.000000000000001E-3</v>
      </c>
      <c r="E93" s="3395" t="s">
        <v>1851</v>
      </c>
      <c r="F93" s="3396"/>
      <c r="G93" s="3396"/>
      <c r="H93" s="3397"/>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1869</v>
      </c>
      <c r="B94" s="174" t="s">
        <v>1870</v>
      </c>
      <c r="C94" s="2757">
        <f>ROUND((C87+C90+C91)*D94,0)</f>
        <v>0</v>
      </c>
      <c r="D94" s="2752">
        <v>0.2</v>
      </c>
      <c r="E94" s="3443" t="s">
        <v>1871</v>
      </c>
      <c r="F94" s="3444"/>
      <c r="G94" s="3444"/>
      <c r="H94" s="3445"/>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7" t="s">
        <v>592</v>
      </c>
      <c r="B95" s="178" t="s">
        <v>1852</v>
      </c>
      <c r="C95" s="2743" t="e">
        <f ca="1">ROUND(C85-C86,0)</f>
        <v>#REF!</v>
      </c>
      <c r="D95" s="174" t="s">
        <v>32</v>
      </c>
      <c r="E95" s="3198"/>
      <c r="F95" s="3197"/>
      <c r="G95" s="3197"/>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1853</v>
      </c>
      <c r="C96" s="2753" t="e">
        <f ca="1">IF(C95&lt;=0,0,C95/C86)</f>
        <v>#REF!</v>
      </c>
      <c r="D96" s="174" t="s">
        <v>32</v>
      </c>
      <c r="E96" s="3188" t="e">
        <f ca="1">IF(C96&gt;=200%,"增值额超过扣除项目金额200%",IF(C96&gt;=100%,"增值额超过扣除项目金额100%，未超过200%",IF(C96&gt;=50%,"增值额超过扣除项目金额50%，未超过100%",IF(C96&lt;50%,"增值额未超过扣除项目金额50%"))))</f>
        <v>#REF!</v>
      </c>
      <c r="F96" s="3197"/>
      <c r="G96" s="3197"/>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0" t="s">
        <v>600</v>
      </c>
      <c r="B97" s="181" t="s">
        <v>1854</v>
      </c>
      <c r="C97" s="2754" t="e">
        <f ca="1">ROUND(IF(C95&lt;=0,0,IF(C96&gt;=200%,C95*60%-C86*35%,IF(C96&gt;=100%,C95*50%-C86*15%,IF(C96&gt;=50%,C95*40%-C86*5%,IF(C96&lt;50%,C95*30%,0))))),0)</f>
        <v>#REF!</v>
      </c>
      <c r="D97" s="275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1872</v>
      </c>
      <c r="B99" s="1883"/>
      <c r="C99" s="1883"/>
      <c r="D99" s="1883"/>
      <c r="E99" s="1713"/>
      <c r="F99" s="1713"/>
      <c r="G99" s="1713"/>
      <c r="H99" s="1712"/>
      <c r="I99" s="133"/>
    </row>
    <row r="100" spans="1:35" ht="18.75" customHeight="1">
      <c r="A100" s="3345" t="s">
        <v>1873</v>
      </c>
      <c r="B100" s="3346"/>
      <c r="C100" s="3346"/>
      <c r="D100" s="3380"/>
      <c r="E100" s="3346" t="s">
        <v>1874</v>
      </c>
      <c r="F100" s="3346"/>
      <c r="G100" s="3346"/>
      <c r="H100" s="3380"/>
      <c r="I100" s="133"/>
    </row>
    <row r="101" spans="1:35" ht="18.75" customHeight="1">
      <c r="A101" s="3388" t="s">
        <v>1875</v>
      </c>
      <c r="B101" s="3389"/>
      <c r="C101" s="2760" t="str">
        <f>C4</f>
        <v>比较法-车位</v>
      </c>
      <c r="D101" s="2761" t="str">
        <f>D4</f>
        <v>收益法 (元)</v>
      </c>
      <c r="E101" s="3358" t="s">
        <v>1876</v>
      </c>
      <c r="F101" s="3359"/>
      <c r="G101" s="1963" t="s">
        <v>1877</v>
      </c>
      <c r="H101" s="2770" t="e">
        <f ca="1">H118</f>
        <v>#REF!</v>
      </c>
      <c r="I101" s="133"/>
    </row>
    <row r="102" spans="1:35" ht="18.75" customHeight="1">
      <c r="A102" s="3390" t="s">
        <v>1878</v>
      </c>
      <c r="B102" s="2759" t="s">
        <v>1877</v>
      </c>
      <c r="C102" s="2760">
        <f ca="1">C19</f>
        <v>25</v>
      </c>
      <c r="D102" s="2761">
        <f ca="1">D19</f>
        <v>7</v>
      </c>
      <c r="E102" s="3358"/>
      <c r="F102" s="3359"/>
      <c r="G102" s="1963" t="s">
        <v>1879</v>
      </c>
      <c r="H102" s="2730" t="e">
        <f ca="1">I118</f>
        <v>#REF!</v>
      </c>
      <c r="I102" s="133"/>
    </row>
    <row r="103" spans="1:35" ht="42.75" customHeight="1">
      <c r="A103" s="3390"/>
      <c r="B103" s="2759" t="s">
        <v>1879</v>
      </c>
      <c r="C103" s="2762">
        <f ca="1">C20</f>
        <v>7368</v>
      </c>
      <c r="D103" s="2763">
        <f ca="1">D20</f>
        <v>2007</v>
      </c>
      <c r="E103" s="3351" t="s">
        <v>1880</v>
      </c>
      <c r="F103" s="3352"/>
      <c r="G103" s="1964" t="s">
        <v>1881</v>
      </c>
      <c r="H103" s="2770">
        <f>IF(D36="正常操作",H104+H105+H106,H105+H106)</f>
        <v>0</v>
      </c>
      <c r="I103" s="133"/>
    </row>
    <row r="104" spans="1:35" ht="18.75" customHeight="1">
      <c r="A104" s="3390" t="s">
        <v>1882</v>
      </c>
      <c r="B104" s="2764" t="s">
        <v>1877</v>
      </c>
      <c r="C104" s="2765" t="e">
        <f ca="1">H118</f>
        <v>#REF!</v>
      </c>
      <c r="D104" s="2766"/>
      <c r="E104" s="1810" t="s">
        <v>1883</v>
      </c>
      <c r="F104" s="1801"/>
      <c r="G104" s="1964" t="s">
        <v>1881</v>
      </c>
      <c r="H104" s="2771">
        <f>IF(D36="同一抵押权人同一抵押物续贷",C36&amp;"（续贷，未扣减，详见特别提示）",C36)</f>
        <v>0</v>
      </c>
      <c r="I104" s="133"/>
    </row>
    <row r="105" spans="1:35" ht="18.75" customHeight="1" thickBot="1">
      <c r="A105" s="3400"/>
      <c r="B105" s="2767" t="s">
        <v>1879</v>
      </c>
      <c r="C105" s="2768" t="e">
        <f ca="1">I118</f>
        <v>#REF!</v>
      </c>
      <c r="D105" s="2769"/>
      <c r="E105" s="1810" t="s">
        <v>1884</v>
      </c>
      <c r="F105" s="1801"/>
      <c r="G105" s="1964" t="s">
        <v>1881</v>
      </c>
      <c r="H105" s="2772">
        <f>C37</f>
        <v>0</v>
      </c>
      <c r="I105" s="133"/>
    </row>
    <row r="106" spans="1:35" ht="18.75" customHeight="1">
      <c r="A106" s="1883" t="s">
        <v>1885</v>
      </c>
      <c r="B106" s="1883"/>
      <c r="C106" s="1883"/>
      <c r="D106" s="1883"/>
      <c r="E106" s="1965" t="s">
        <v>1886</v>
      </c>
      <c r="F106" s="1801"/>
      <c r="G106" s="1964" t="s">
        <v>1881</v>
      </c>
      <c r="H106" s="2772">
        <f>C38</f>
        <v>0</v>
      </c>
      <c r="I106" s="133"/>
    </row>
    <row r="107" spans="1:35" ht="18.75" customHeight="1">
      <c r="A107" s="133"/>
      <c r="B107" s="133"/>
      <c r="C107" s="133"/>
      <c r="D107" s="133"/>
      <c r="E107" s="3391" t="str">
        <f>IF(项目基本情况!E8="已注销","——","3.房地产抵押价值")</f>
        <v>3.房地产抵押价值</v>
      </c>
      <c r="F107" s="3359"/>
      <c r="G107" s="1963" t="s">
        <v>1877</v>
      </c>
      <c r="H107" s="2770" t="e">
        <f ca="1">IF(E107="——","——",H101-H103)</f>
        <v>#REF!</v>
      </c>
      <c r="I107" s="133"/>
    </row>
    <row r="108" spans="1:35" ht="18.75" customHeight="1">
      <c r="A108" s="133"/>
      <c r="B108" s="133"/>
      <c r="C108" s="133"/>
      <c r="D108" s="133"/>
      <c r="E108" s="3391"/>
      <c r="F108" s="3359"/>
      <c r="G108" s="1963" t="s">
        <v>1879</v>
      </c>
      <c r="H108" s="2730" t="e">
        <f ca="1">ROUND(H107*10000/'数据-汇总表'!E3,0)</f>
        <v>#REF!</v>
      </c>
      <c r="I108" s="133"/>
    </row>
    <row r="109" spans="1:35" ht="18.75" customHeight="1">
      <c r="A109" s="133"/>
      <c r="B109" s="133"/>
      <c r="C109" s="133"/>
      <c r="D109" s="133"/>
      <c r="E109" s="3391" t="str">
        <f>IF(项目基本情况!E8="已注销及未注销","4.抵押担保权已注销时的房地产抵押价值",IF(项目基本情况!E8="已注销","3.抵押担保权已注销时的房地产抵押价值","——"))</f>
        <v>——</v>
      </c>
      <c r="F109" s="3359"/>
      <c r="G109" s="1963" t="s">
        <v>1877</v>
      </c>
      <c r="H109" s="2773" t="str">
        <f>IF(E109="——","——",H101-H105-H106)</f>
        <v>——</v>
      </c>
      <c r="I109" s="133"/>
    </row>
    <row r="110" spans="1:35" ht="18.75" customHeight="1">
      <c r="A110" s="133"/>
      <c r="B110" s="133"/>
      <c r="C110" s="133"/>
      <c r="D110" s="133"/>
      <c r="E110" s="3391"/>
      <c r="F110" s="3359"/>
      <c r="G110" s="1963" t="s">
        <v>1879</v>
      </c>
      <c r="H110" s="2730" t="str">
        <f>IF(H109="——","——",ROUND(H109*10000/'数据-汇总表'!E3,0))</f>
        <v>——</v>
      </c>
      <c r="I110" s="133"/>
    </row>
    <row r="111" spans="1:35" ht="18.75" customHeight="1">
      <c r="A111" s="133"/>
      <c r="B111" s="133"/>
      <c r="C111" s="133"/>
      <c r="D111" s="133"/>
      <c r="E111" s="3392" t="str">
        <f>IF(项目基本情况!E9="抵押净值",IF(OR(项目基本情况!E8="已注销",项目基本情况!E8="房地产抵押价值"),"4.抵押净值","5.抵押净值"),"——")</f>
        <v>——</v>
      </c>
      <c r="F111" s="3378"/>
      <c r="G111" s="1963" t="s">
        <v>1877</v>
      </c>
      <c r="H111" s="2770" t="str">
        <f>IF(E111="——","——",N59)</f>
        <v>——</v>
      </c>
      <c r="I111" s="133"/>
    </row>
    <row r="112" spans="1:35" ht="18.75" customHeight="1" thickBot="1">
      <c r="A112" s="133"/>
      <c r="B112" s="133"/>
      <c r="C112" s="133"/>
      <c r="D112" s="133"/>
      <c r="E112" s="3393"/>
      <c r="F112" s="3394"/>
      <c r="G112" s="1966" t="s">
        <v>1879</v>
      </c>
      <c r="H112" s="2774" t="str">
        <f>IF(E111="——","——",N61)</f>
        <v>——</v>
      </c>
      <c r="I112" s="133"/>
    </row>
    <row r="113" spans="1:27" ht="18.75" customHeight="1">
      <c r="A113" s="133"/>
      <c r="B113" s="133"/>
      <c r="C113" s="133"/>
      <c r="D113" s="133"/>
      <c r="E113" s="3401" t="s">
        <v>1885</v>
      </c>
      <c r="F113" s="3401"/>
      <c r="G113" s="3401"/>
      <c r="H113" s="3401"/>
      <c r="I113" s="133"/>
    </row>
    <row r="114" spans="1:27" ht="3.75" customHeight="1">
      <c r="A114" s="1883"/>
      <c r="B114" s="1883"/>
      <c r="C114" s="1883"/>
      <c r="D114" s="1883"/>
      <c r="E114" s="1945"/>
      <c r="F114" s="1945"/>
      <c r="G114" s="1945"/>
      <c r="H114" s="1945"/>
      <c r="I114" s="1883"/>
    </row>
    <row r="115" spans="1:27" ht="18.75" customHeight="1">
      <c r="A115" s="3412" t="s">
        <v>1887</v>
      </c>
      <c r="B115" s="3413"/>
      <c r="C115" s="3413"/>
      <c r="D115" s="3413"/>
      <c r="E115" s="3413"/>
      <c r="F115" s="3413"/>
      <c r="G115" s="3413"/>
      <c r="H115" s="3413"/>
      <c r="I115" s="3414"/>
    </row>
    <row r="116" spans="1:27" ht="27" customHeight="1">
      <c r="A116" s="3366" t="s">
        <v>1888</v>
      </c>
      <c r="B116" s="3370" t="s">
        <v>1889</v>
      </c>
      <c r="C116" s="3370" t="s">
        <v>1890</v>
      </c>
      <c r="D116" s="3376" t="s">
        <v>1891</v>
      </c>
      <c r="E116" s="3377"/>
      <c r="F116" s="3408" t="s">
        <v>1892</v>
      </c>
      <c r="G116" s="3408"/>
      <c r="H116" s="3366" t="s">
        <v>1893</v>
      </c>
      <c r="I116" s="3366"/>
    </row>
    <row r="117" spans="1:27" ht="18.75" customHeight="1">
      <c r="A117" s="3366"/>
      <c r="B117" s="3371"/>
      <c r="C117" s="3371"/>
      <c r="D117" s="3190" t="s">
        <v>1894</v>
      </c>
      <c r="E117" s="3190" t="s">
        <v>1895</v>
      </c>
      <c r="F117" s="3190" t="s">
        <v>1894</v>
      </c>
      <c r="G117" s="3190" t="s">
        <v>1896</v>
      </c>
      <c r="H117" s="3190" t="s">
        <v>1894</v>
      </c>
      <c r="I117" s="3190" t="s">
        <v>1896</v>
      </c>
    </row>
    <row r="118" spans="1:27" ht="24.75" customHeight="1">
      <c r="A118" s="2775" t="str">
        <f>项目基本情况!S2</f>
        <v>北京市房地产</v>
      </c>
      <c r="B118" s="3190">
        <f>M18</f>
        <v>33.93</v>
      </c>
      <c r="C118" s="3190">
        <f>M19</f>
        <v>8.27</v>
      </c>
      <c r="D118" s="3190" t="e">
        <f ca="1">ROUND(IF(D32="总价",C34,E118*B118/10000),0)</f>
        <v>#REF!</v>
      </c>
      <c r="E118" s="3190" t="e">
        <f ca="1">ROUND(IF(C33="自定义",IF(D32="楼面单价",C34,D118*10000/B118),I118-G118),0)</f>
        <v>#REF!</v>
      </c>
      <c r="F118" s="3190" t="e">
        <f ca="1">ROUND(IF(D32="总价",C35,G118*B118/10000),0)</f>
        <v>#REF!</v>
      </c>
      <c r="G118" s="3190" t="e">
        <f ca="1">ROUND(IF(D32="楼面单价",C35,F118*10000/B118),0)</f>
        <v>#REF!</v>
      </c>
      <c r="H118" s="3190" t="e">
        <f ca="1">ROUND(IF(D32="总价",C32,I118*B118/10000),0)</f>
        <v>#REF!</v>
      </c>
      <c r="I118" s="3190" t="e">
        <f ca="1">ROUND(IF(D32="楼面单价",C32,H118*10000/B118),0)</f>
        <v>#REF!</v>
      </c>
    </row>
    <row r="119" spans="1:27" ht="18.75" customHeight="1">
      <c r="A119" s="3366" t="s">
        <v>1897</v>
      </c>
      <c r="B119" s="3366"/>
      <c r="C119" s="3366"/>
      <c r="D119" s="3372" t="e">
        <f ca="1">NUMBERSTRING(INT(D118*10000),2)&amp;"元整"</f>
        <v>#REF!</v>
      </c>
      <c r="E119" s="3373"/>
      <c r="F119" s="3372" t="e">
        <f ca="1">NUMBERSTRING(INT(F118*10000),2)&amp;"元整"</f>
        <v>#REF!</v>
      </c>
      <c r="G119" s="3373"/>
      <c r="H119" s="3372" t="e">
        <f ca="1">NUMBERSTRING(INT(H118*10000),2)&amp;"元整"</f>
        <v>#REF!</v>
      </c>
      <c r="I119" s="3373"/>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9" t="s">
        <v>1897</v>
      </c>
      <c r="B121" s="3410"/>
      <c r="C121" s="3411"/>
      <c r="D121" s="3372" t="str">
        <f>IF(D120=0,"零元整",NUMBERSTRING(INT(D120*10000),2)&amp;"元整")</f>
        <v>零元整</v>
      </c>
      <c r="E121" s="3374"/>
      <c r="F121" s="3374"/>
      <c r="G121" s="3374"/>
      <c r="H121" s="3374"/>
      <c r="I121" s="3373"/>
      <c r="AA121" s="733"/>
    </row>
    <row r="122" spans="1:27" ht="18.75" customHeight="1">
      <c r="A122" s="3378" t="str">
        <f>IF(项目基本情况!B9="房地产市场价值","",MID(E107,3,LEN(E107)-2))</f>
        <v>房地产抵押价值</v>
      </c>
      <c r="B122" s="3378"/>
      <c r="C122" s="3378"/>
      <c r="D122" s="3367" t="e">
        <f ca="1">H107</f>
        <v>#REF!</v>
      </c>
      <c r="E122" s="3368"/>
      <c r="F122" s="3368"/>
      <c r="G122" s="3368"/>
      <c r="H122" s="3368"/>
      <c r="I122" s="3369"/>
      <c r="AA122" s="733"/>
    </row>
    <row r="123" spans="1:27" ht="18.75" customHeight="1">
      <c r="A123" s="3366" t="s">
        <v>1897</v>
      </c>
      <c r="B123" s="3366"/>
      <c r="C123" s="3366"/>
      <c r="D123" s="3372" t="e">
        <f ca="1">NUMBERSTRING(INT(D122*10000),2)&amp;"元整"</f>
        <v>#REF!</v>
      </c>
      <c r="E123" s="3374"/>
      <c r="F123" s="3374"/>
      <c r="G123" s="3374"/>
      <c r="H123" s="3374"/>
      <c r="I123" s="3373"/>
      <c r="AA123" s="733"/>
    </row>
    <row r="124" spans="1:27" ht="18.75" customHeight="1">
      <c r="A124" s="3378" t="str">
        <f>IF(项目基本情况!B9="房地产市场价值","",MID(E109,3,LEN(E109)-2))</f>
        <v/>
      </c>
      <c r="B124" s="3378"/>
      <c r="C124" s="3378"/>
      <c r="D124" s="3367" t="str">
        <f>H109</f>
        <v>——</v>
      </c>
      <c r="E124" s="3368"/>
      <c r="F124" s="3368"/>
      <c r="G124" s="3368"/>
      <c r="H124" s="3368"/>
      <c r="I124" s="3369"/>
      <c r="AA124" s="733"/>
    </row>
    <row r="125" spans="1:27" ht="18.75" customHeight="1">
      <c r="A125" s="3366" t="s">
        <v>1897</v>
      </c>
      <c r="B125" s="3366"/>
      <c r="C125" s="3366"/>
      <c r="D125" s="3372" t="e">
        <f>NUMBERSTRING(INT(D124*10000),2)&amp;"元整"</f>
        <v>#VALUE!</v>
      </c>
      <c r="E125" s="3374"/>
      <c r="F125" s="3374"/>
      <c r="G125" s="3374"/>
      <c r="H125" s="3374"/>
      <c r="I125" s="3373"/>
      <c r="AA125" s="733"/>
    </row>
    <row r="126" spans="1:27" ht="18.75" customHeight="1">
      <c r="A126" s="3378" t="str">
        <f>IF(项目基本情况!B9="房地产市场价值","",MID(E111,3,LEN(E111)-2))</f>
        <v/>
      </c>
      <c r="B126" s="3378"/>
      <c r="C126" s="3378"/>
      <c r="D126" s="3367" t="str">
        <f>H111</f>
        <v>——</v>
      </c>
      <c r="E126" s="3368"/>
      <c r="F126" s="3368"/>
      <c r="G126" s="3368"/>
      <c r="H126" s="3368"/>
      <c r="I126" s="3369"/>
      <c r="AA126" s="733"/>
    </row>
    <row r="127" spans="1:27" ht="18.75" customHeight="1">
      <c r="A127" s="3366" t="s">
        <v>1897</v>
      </c>
      <c r="B127" s="3366"/>
      <c r="C127" s="3366"/>
      <c r="D127" s="3372" t="e">
        <f>NUMBERSTRING(INT(D126*10000),2)&amp;"元整"</f>
        <v>#VALUE!</v>
      </c>
      <c r="E127" s="3374"/>
      <c r="F127" s="3374"/>
      <c r="G127" s="3374"/>
      <c r="H127" s="3374"/>
      <c r="I127" s="3373"/>
      <c r="AA127" s="733"/>
    </row>
    <row r="128" spans="1:27" ht="21.75" customHeight="1">
      <c r="A128" s="3375" t="s">
        <v>1898</v>
      </c>
      <c r="B128" s="3375"/>
      <c r="C128" s="3375"/>
      <c r="D128" s="3375"/>
      <c r="E128" s="3375"/>
      <c r="F128" s="3375"/>
      <c r="G128" s="3375"/>
      <c r="H128" s="3375"/>
      <c r="I128" s="3375"/>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6" sqref="N1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t="s">
        <v>4110</v>
      </c>
      <c r="C1" s="1344" t="s">
        <v>2110</v>
      </c>
      <c r="D1" s="1345" t="s">
        <v>3182</v>
      </c>
      <c r="E1" s="1346"/>
      <c r="F1" s="2015" t="s">
        <v>4111</v>
      </c>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f ca="1">IF(C2="——",IF(B37="元/平方米",ROUND(C39*D3/10000,0),ROUND(F3*C39/10000,0)),IF(B37="元/平方米",ROUND(C39*D3/10000,0),ROUND(F3*C39/10000,0))-D2)</f>
        <v>25</v>
      </c>
      <c r="C2" s="2017" t="s">
        <v>4112</v>
      </c>
      <c r="D2" s="1018">
        <f ca="1">SUMIF(INDIRECT("'"&amp;F2&amp;"'"&amp;"!A:A"),"承租人权益价值",INDIRECT("'"&amp;F2&amp;"'"&amp;"!c:c"))</f>
        <v>0</v>
      </c>
      <c r="E2" s="2018" t="s">
        <v>1908</v>
      </c>
      <c r="F2" s="2019" t="s">
        <v>4105</v>
      </c>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7" customFormat="1" ht="28.5" customHeight="1" thickBot="1">
      <c r="A3" s="208" t="s">
        <v>1909</v>
      </c>
      <c r="B3" s="565">
        <f ca="1">IF(AND(C2="——",B37="元/平方米"),C39,ROUND(B2*10000/D3,0))</f>
        <v>7368</v>
      </c>
      <c r="C3" s="359" t="s">
        <v>2224</v>
      </c>
      <c r="D3" s="358">
        <f>SUMIF('数据-汇总表'!$C19:$C33,D1,'数据-汇总表'!$E19:$E33)</f>
        <v>33.93</v>
      </c>
      <c r="E3" s="359" t="s">
        <v>2288</v>
      </c>
      <c r="F3" s="358">
        <f>SUMIF('数据-取费表'!A5:A15,D1,'数据-取费表'!AH5:AH15)</f>
        <v>1</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0" t="s">
        <v>2225</v>
      </c>
      <c r="B4" s="361"/>
      <c r="C4" s="3474" t="s">
        <v>2226</v>
      </c>
      <c r="D4" s="3475"/>
      <c r="E4" s="3476" t="s">
        <v>2227</v>
      </c>
      <c r="F4" s="3477"/>
      <c r="G4" s="3474" t="s">
        <v>2228</v>
      </c>
      <c r="H4" s="3475"/>
      <c r="I4" s="3474" t="s">
        <v>2229</v>
      </c>
      <c r="J4" s="3475"/>
      <c r="K4" s="566" t="s">
        <v>2230</v>
      </c>
      <c r="L4" s="2893"/>
      <c r="M4" s="2894"/>
      <c r="N4" s="2894"/>
      <c r="O4" s="2894"/>
      <c r="P4" s="3478" t="s">
        <v>2231</v>
      </c>
      <c r="Q4" s="3479"/>
      <c r="R4" s="3461" t="s">
        <v>2227</v>
      </c>
      <c r="S4" s="3462"/>
      <c r="T4" s="3461" t="s">
        <v>2228</v>
      </c>
      <c r="U4" s="3462"/>
      <c r="V4" s="3486" t="s">
        <v>2229</v>
      </c>
      <c r="W4" s="3486"/>
      <c r="X4" s="1489"/>
      <c r="Y4" s="3461" t="s">
        <v>2231</v>
      </c>
      <c r="Z4" s="3462"/>
      <c r="AA4" s="3456" t="s">
        <v>2227</v>
      </c>
      <c r="AB4" s="3457" t="s">
        <v>2228</v>
      </c>
      <c r="AC4" s="3456" t="s">
        <v>2229</v>
      </c>
    </row>
    <row r="5" spans="1:29" ht="15">
      <c r="A5" s="363"/>
      <c r="B5" s="364"/>
      <c r="C5" s="3467" t="s">
        <v>2122</v>
      </c>
      <c r="D5" s="3468"/>
      <c r="E5" s="3465" t="str">
        <f>Sheet2!$M$7</f>
        <v>珠江罗马嘉园</v>
      </c>
      <c r="F5" s="3466"/>
      <c r="G5" s="3467" t="str">
        <f>Sheet2!$M$8</f>
        <v>熙悦尚郡</v>
      </c>
      <c r="H5" s="3468"/>
      <c r="I5" s="3467" t="str">
        <f>Sheet2!$M$9</f>
        <v>润枫嘉尚</v>
      </c>
      <c r="J5" s="3468"/>
      <c r="K5" s="566"/>
      <c r="L5" s="2893"/>
      <c r="M5" s="2894"/>
      <c r="N5" s="2894"/>
      <c r="O5" s="2894"/>
      <c r="P5" s="3480"/>
      <c r="Q5" s="3481"/>
      <c r="R5" s="3463"/>
      <c r="S5" s="3464"/>
      <c r="T5" s="3463"/>
      <c r="U5" s="3464"/>
      <c r="V5" s="3486"/>
      <c r="W5" s="3486"/>
      <c r="X5" s="1489"/>
      <c r="Y5" s="3463"/>
      <c r="Z5" s="3464"/>
      <c r="AA5" s="3457"/>
      <c r="AB5" s="3457"/>
      <c r="AC5" s="3457"/>
    </row>
    <row r="6" spans="1:29" ht="15.75" thickBot="1">
      <c r="A6" s="365"/>
      <c r="B6" s="366"/>
      <c r="C6" s="3469" t="s">
        <v>2126</v>
      </c>
      <c r="D6" s="3470"/>
      <c r="E6" s="3471" t="s">
        <v>2126</v>
      </c>
      <c r="F6" s="3472"/>
      <c r="G6" s="3469" t="s">
        <v>2126</v>
      </c>
      <c r="H6" s="3470"/>
      <c r="I6" s="3469" t="s">
        <v>2126</v>
      </c>
      <c r="J6" s="3470"/>
      <c r="K6" s="566" t="s">
        <v>2127</v>
      </c>
      <c r="L6" s="2893"/>
      <c r="M6" s="2894"/>
      <c r="N6" s="2894"/>
      <c r="O6" s="2894"/>
      <c r="P6" s="3482"/>
      <c r="Q6" s="3483"/>
      <c r="R6" s="3463"/>
      <c r="S6" s="3464"/>
      <c r="T6" s="3484"/>
      <c r="U6" s="3485"/>
      <c r="V6" s="3486"/>
      <c r="W6" s="3486"/>
      <c r="X6" s="1489"/>
      <c r="Y6" s="3484"/>
      <c r="Z6" s="3485"/>
      <c r="AA6" s="3458"/>
      <c r="AB6" s="3458"/>
      <c r="AC6" s="3458"/>
    </row>
    <row r="7" spans="1:29" s="112" customFormat="1" ht="15.75" thickBot="1">
      <c r="A7" s="367" t="s">
        <v>2128</v>
      </c>
      <c r="B7" s="368"/>
      <c r="C7" s="369">
        <f>'数据-取费表'!B2</f>
        <v>44698</v>
      </c>
      <c r="D7" s="370">
        <v>100</v>
      </c>
      <c r="E7" s="371">
        <v>44682</v>
      </c>
      <c r="F7" s="372">
        <f>SUMIF(48:48,YEAR(E7)&amp;"-"&amp;MONTH(E7),49:49)</f>
        <v>100</v>
      </c>
      <c r="G7" s="371">
        <v>44682</v>
      </c>
      <c r="H7" s="370">
        <f>SUMIF(48:48,YEAR(G7)&amp;"-"&amp;MONTH(G7),49:49)</f>
        <v>100</v>
      </c>
      <c r="I7" s="371">
        <v>44682</v>
      </c>
      <c r="J7" s="370">
        <f>SUMIF(48:48,YEAR(I7)&amp;"-"&amp;MONTH(I7),49:49)</f>
        <v>100</v>
      </c>
      <c r="K7" s="567"/>
      <c r="L7" s="2895"/>
      <c r="M7" s="2896"/>
      <c r="N7" s="2896"/>
      <c r="O7" s="2896"/>
      <c r="P7" s="3459" t="s">
        <v>2129</v>
      </c>
      <c r="Q7" s="3487"/>
      <c r="R7" s="709" t="s">
        <v>17</v>
      </c>
      <c r="S7" s="710">
        <f t="shared" ref="S7:S14" si="0">F7</f>
        <v>100</v>
      </c>
      <c r="T7" s="709" t="s">
        <v>17</v>
      </c>
      <c r="U7" s="710">
        <f t="shared" ref="U7:U14" si="1">H7</f>
        <v>100</v>
      </c>
      <c r="V7" s="709" t="s">
        <v>17</v>
      </c>
      <c r="W7" s="710">
        <f t="shared" ref="W7:W14" si="2">J7</f>
        <v>100</v>
      </c>
      <c r="X7" s="711"/>
      <c r="Y7" s="3459" t="s">
        <v>2129</v>
      </c>
      <c r="Z7" s="3460"/>
      <c r="AA7" s="712">
        <f>D7/F7</f>
        <v>1</v>
      </c>
      <c r="AB7" s="712">
        <f>D7/H7</f>
        <v>1</v>
      </c>
      <c r="AC7" s="712">
        <f>D7/J7</f>
        <v>1</v>
      </c>
    </row>
    <row r="8" spans="1:29" s="112" customFormat="1" ht="15.75" thickBot="1">
      <c r="A8" s="367" t="s">
        <v>2130</v>
      </c>
      <c r="B8" s="368"/>
      <c r="C8" s="373" t="s">
        <v>2232</v>
      </c>
      <c r="D8" s="370">
        <v>100</v>
      </c>
      <c r="E8" s="3255" t="s">
        <v>4116</v>
      </c>
      <c r="F8" s="372">
        <f>SUMIF(51:51,E8,52:52)-SUMIF(51:51,C8,52:52)+100</f>
        <v>100</v>
      </c>
      <c r="G8" s="3255" t="s">
        <v>4116</v>
      </c>
      <c r="H8" s="370">
        <f>SUMIF(51:51,G8,52:52)-SUMIF(51:51,C8,52:52)+100</f>
        <v>100</v>
      </c>
      <c r="I8" s="3255" t="s">
        <v>4117</v>
      </c>
      <c r="J8" s="370">
        <f>SUMIF(51:51,I8,52:52)-SUMIF(51:51,C8,52:52)+100</f>
        <v>100</v>
      </c>
      <c r="K8" s="567"/>
      <c r="L8" s="2895"/>
      <c r="M8" s="2896"/>
      <c r="N8" s="2896"/>
      <c r="O8" s="2896"/>
      <c r="P8" s="3459" t="s">
        <v>2132</v>
      </c>
      <c r="Q8" s="3460"/>
      <c r="R8" s="709" t="s">
        <v>17</v>
      </c>
      <c r="S8" s="710">
        <f t="shared" si="0"/>
        <v>100</v>
      </c>
      <c r="T8" s="709" t="s">
        <v>17</v>
      </c>
      <c r="U8" s="710">
        <f t="shared" si="1"/>
        <v>100</v>
      </c>
      <c r="V8" s="709" t="s">
        <v>17</v>
      </c>
      <c r="W8" s="710">
        <f t="shared" si="2"/>
        <v>100</v>
      </c>
      <c r="X8" s="711"/>
      <c r="Y8" s="3459" t="s">
        <v>2132</v>
      </c>
      <c r="Z8" s="3460"/>
      <c r="AA8" s="712">
        <f t="shared" ref="AA8:AA36" si="3">D8/F8</f>
        <v>1</v>
      </c>
      <c r="AB8" s="712">
        <f t="shared" ref="AB8:AB36" si="4">D8/H8</f>
        <v>1</v>
      </c>
      <c r="AC8" s="712">
        <f t="shared" ref="AC8:AC36" si="5">D8/J8</f>
        <v>1</v>
      </c>
    </row>
    <row r="9" spans="1:29" s="112" customFormat="1">
      <c r="A9" s="63"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5"/>
      <c r="M9" s="2896"/>
      <c r="N9" s="2896"/>
      <c r="O9" s="2896"/>
      <c r="P9" s="3473" t="s">
        <v>2135</v>
      </c>
      <c r="Q9" s="1477" t="str">
        <f t="shared" ref="Q9:Q14" si="6">B9</f>
        <v>用途</v>
      </c>
      <c r="R9" s="709" t="s">
        <v>17</v>
      </c>
      <c r="S9" s="710">
        <f t="shared" si="0"/>
        <v>100</v>
      </c>
      <c r="T9" s="709" t="s">
        <v>17</v>
      </c>
      <c r="U9" s="710">
        <f t="shared" si="1"/>
        <v>100</v>
      </c>
      <c r="V9" s="709" t="s">
        <v>17</v>
      </c>
      <c r="W9" s="710">
        <f t="shared" si="2"/>
        <v>100</v>
      </c>
      <c r="X9" s="711"/>
      <c r="Y9" s="3424" t="s">
        <v>2136</v>
      </c>
      <c r="Z9" s="55" t="str">
        <f t="shared" ref="Z9:Z14" si="7">Q9</f>
        <v>用途</v>
      </c>
      <c r="AA9" s="712">
        <f t="shared" si="3"/>
        <v>1</v>
      </c>
      <c r="AB9" s="712">
        <f t="shared" si="4"/>
        <v>1</v>
      </c>
      <c r="AC9" s="712">
        <f t="shared" si="5"/>
        <v>1</v>
      </c>
    </row>
    <row r="10" spans="1:29" s="385" customFormat="1" ht="27">
      <c r="A10" s="596"/>
      <c r="B10" s="597" t="s">
        <v>2137</v>
      </c>
      <c r="C10" s="381" t="s">
        <v>4122</v>
      </c>
      <c r="D10" s="131">
        <v>100</v>
      </c>
      <c r="E10" s="381" t="s">
        <v>4122</v>
      </c>
      <c r="F10" s="131">
        <f>SUMIF(55:55,E10,56:56)-SUMIF(55:55,C10,56:56)+100</f>
        <v>100</v>
      </c>
      <c r="G10" s="382" t="s">
        <v>4123</v>
      </c>
      <c r="H10" s="131">
        <f>SUMIF(55:55,G10,56:56)-SUMIF(55:55,C10,56:56)+100</f>
        <v>102</v>
      </c>
      <c r="I10" s="381" t="s">
        <v>4122</v>
      </c>
      <c r="J10" s="131">
        <f>SUMIF(55:55,I10,56:56)-SUMIF(55:55,C10,56:56)+100</f>
        <v>100</v>
      </c>
      <c r="K10" s="568">
        <v>2</v>
      </c>
      <c r="L10" s="2897"/>
      <c r="M10" s="2898"/>
      <c r="N10" s="2898"/>
      <c r="O10" s="2898"/>
      <c r="P10" s="3473"/>
      <c r="Q10" s="1477" t="str">
        <f t="shared" si="6"/>
        <v>土地使用年限（年）</v>
      </c>
      <c r="R10" s="709" t="s">
        <v>17</v>
      </c>
      <c r="S10" s="710">
        <f t="shared" si="0"/>
        <v>100</v>
      </c>
      <c r="T10" s="709" t="s">
        <v>17</v>
      </c>
      <c r="U10" s="710">
        <f t="shared" si="1"/>
        <v>102</v>
      </c>
      <c r="V10" s="709" t="s">
        <v>17</v>
      </c>
      <c r="W10" s="710">
        <f t="shared" si="2"/>
        <v>100</v>
      </c>
      <c r="X10" s="711"/>
      <c r="Y10" s="3424"/>
      <c r="Z10" s="55" t="str">
        <f t="shared" si="7"/>
        <v>土地使用年限（年）</v>
      </c>
      <c r="AA10" s="712">
        <f t="shared" si="3"/>
        <v>1</v>
      </c>
      <c r="AB10" s="712">
        <f t="shared" si="4"/>
        <v>0.98039215686274506</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9"/>
      <c r="M11" s="2894"/>
      <c r="N11" s="2894"/>
      <c r="O11" s="2894"/>
      <c r="P11" s="3473"/>
      <c r="Q11" s="1477">
        <f t="shared" si="6"/>
        <v>111</v>
      </c>
      <c r="R11" s="709" t="s">
        <v>17</v>
      </c>
      <c r="S11" s="710">
        <f t="shared" si="0"/>
        <v>100</v>
      </c>
      <c r="T11" s="709" t="s">
        <v>17</v>
      </c>
      <c r="U11" s="710">
        <f t="shared" si="1"/>
        <v>100</v>
      </c>
      <c r="V11" s="709" t="s">
        <v>17</v>
      </c>
      <c r="W11" s="710">
        <f t="shared" si="2"/>
        <v>100</v>
      </c>
      <c r="X11" s="711"/>
      <c r="Y11" s="3424"/>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5"/>
      <c r="M12" s="2896"/>
      <c r="N12" s="2896"/>
      <c r="O12" s="2896"/>
      <c r="P12" s="3473"/>
      <c r="Q12" s="1477">
        <f t="shared" si="6"/>
        <v>111</v>
      </c>
      <c r="R12" s="709" t="s">
        <v>17</v>
      </c>
      <c r="S12" s="710">
        <f t="shared" si="0"/>
        <v>100</v>
      </c>
      <c r="T12" s="709" t="s">
        <v>17</v>
      </c>
      <c r="U12" s="710">
        <f t="shared" si="1"/>
        <v>100</v>
      </c>
      <c r="V12" s="709" t="s">
        <v>17</v>
      </c>
      <c r="W12" s="710">
        <f t="shared" si="2"/>
        <v>100</v>
      </c>
      <c r="X12" s="711"/>
      <c r="Y12" s="3424"/>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0"/>
      <c r="M13" s="2894"/>
      <c r="N13" s="2894"/>
      <c r="O13" s="2894"/>
      <c r="P13" s="3473"/>
      <c r="Q13" s="1477">
        <f t="shared" si="6"/>
        <v>111</v>
      </c>
      <c r="R13" s="709" t="s">
        <v>17</v>
      </c>
      <c r="S13" s="710">
        <f t="shared" si="0"/>
        <v>100</v>
      </c>
      <c r="T13" s="709" t="s">
        <v>17</v>
      </c>
      <c r="U13" s="710">
        <f t="shared" si="1"/>
        <v>100</v>
      </c>
      <c r="V13" s="709" t="s">
        <v>17</v>
      </c>
      <c r="W13" s="710">
        <f t="shared" si="2"/>
        <v>100</v>
      </c>
      <c r="X13" s="711"/>
      <c r="Y13" s="3424"/>
      <c r="Z13" s="55">
        <f t="shared" si="7"/>
        <v>111</v>
      </c>
      <c r="AA13" s="712">
        <f t="shared" si="3"/>
        <v>1</v>
      </c>
      <c r="AB13" s="712">
        <f t="shared" si="4"/>
        <v>1</v>
      </c>
      <c r="AC13" s="712">
        <f t="shared" si="5"/>
        <v>1</v>
      </c>
    </row>
    <row r="14" spans="1:29" ht="85.5">
      <c r="A14" s="360" t="s">
        <v>2139</v>
      </c>
      <c r="B14" s="584" t="s">
        <v>2289</v>
      </c>
      <c r="C14" s="2107" t="str">
        <f>IF(B1="工业",估价对象房地状况!G4,估价对象房地状况!C6)</f>
        <v>估价对象周边道路状况、公共交通通达情况、停车便捷程度，综合评价交通便捷度较好</v>
      </c>
      <c r="D14" s="399">
        <v>100</v>
      </c>
      <c r="E14" s="400"/>
      <c r="F14" s="401">
        <f>SUMIF(63:63,E15,64:64)-SUMIF(63:63,C15,64:64)+100</f>
        <v>102</v>
      </c>
      <c r="G14" s="402"/>
      <c r="H14" s="399">
        <f>SUMIF(63:63,G15,64:64)-SUMIF(63:63,C15,64:64)+100</f>
        <v>100</v>
      </c>
      <c r="I14" s="400"/>
      <c r="J14" s="399">
        <f>SUMIF(63:63,I15,64:64)-SUMIF(63:63,C15,64:64)+100</f>
        <v>102</v>
      </c>
      <c r="K14" s="570">
        <v>2</v>
      </c>
      <c r="L14" s="2900"/>
      <c r="M14" s="2894"/>
      <c r="N14" s="2894"/>
      <c r="O14" s="2894"/>
      <c r="P14" s="3488" t="s">
        <v>2140</v>
      </c>
      <c r="Q14" s="1486" t="str">
        <f t="shared" si="6"/>
        <v>交通便捷度</v>
      </c>
      <c r="R14" s="713" t="s">
        <v>17</v>
      </c>
      <c r="S14" s="714">
        <f t="shared" si="0"/>
        <v>102</v>
      </c>
      <c r="T14" s="713" t="s">
        <v>17</v>
      </c>
      <c r="U14" s="714">
        <f t="shared" si="1"/>
        <v>100</v>
      </c>
      <c r="V14" s="713" t="s">
        <v>17</v>
      </c>
      <c r="W14" s="714">
        <f t="shared" si="2"/>
        <v>102</v>
      </c>
      <c r="X14" s="1489"/>
      <c r="Y14" s="3488" t="s">
        <v>2140</v>
      </c>
      <c r="Z14" s="1490" t="str">
        <f t="shared" si="7"/>
        <v>交通便捷度</v>
      </c>
      <c r="AA14" s="1487">
        <f t="shared" si="3"/>
        <v>0.98039215686274506</v>
      </c>
      <c r="AB14" s="1487">
        <f t="shared" si="4"/>
        <v>1</v>
      </c>
      <c r="AC14" s="1487">
        <f t="shared" si="5"/>
        <v>0.98039215686274506</v>
      </c>
    </row>
    <row r="15" spans="1:29" ht="15">
      <c r="A15" s="363"/>
      <c r="B15" s="602"/>
      <c r="C15" s="3256" t="s">
        <v>4118</v>
      </c>
      <c r="D15" s="406"/>
      <c r="E15" s="3256" t="s">
        <v>4119</v>
      </c>
      <c r="F15" s="407"/>
      <c r="G15" s="3256" t="s">
        <v>4120</v>
      </c>
      <c r="H15" s="408"/>
      <c r="I15" s="3256" t="s">
        <v>4121</v>
      </c>
      <c r="J15" s="406"/>
      <c r="K15" s="571"/>
      <c r="L15" s="2900"/>
      <c r="M15" s="2894"/>
      <c r="N15" s="2894"/>
      <c r="O15" s="2894"/>
      <c r="P15" s="3489"/>
      <c r="Q15" s="1486"/>
      <c r="R15" s="713"/>
      <c r="S15" s="714"/>
      <c r="T15" s="713"/>
      <c r="U15" s="714"/>
      <c r="V15" s="713"/>
      <c r="W15" s="714"/>
      <c r="X15" s="1489"/>
      <c r="Y15" s="3489"/>
      <c r="Z15" s="1490"/>
      <c r="AA15" s="1487">
        <v>1</v>
      </c>
      <c r="AB15" s="1487">
        <v>1</v>
      </c>
      <c r="AC15" s="1487">
        <v>1</v>
      </c>
    </row>
    <row r="16" spans="1:29" ht="42.75">
      <c r="A16" s="363"/>
      <c r="B16" s="586" t="s">
        <v>2268</v>
      </c>
      <c r="C16" s="203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00"/>
      <c r="M16" s="2894"/>
      <c r="N16" s="2894"/>
      <c r="O16" s="2894"/>
      <c r="P16" s="3489"/>
      <c r="Q16" s="1486" t="str">
        <f>B16</f>
        <v>公共配套设施</v>
      </c>
      <c r="R16" s="713" t="s">
        <v>17</v>
      </c>
      <c r="S16" s="714">
        <f>F16</f>
        <v>100</v>
      </c>
      <c r="T16" s="713" t="s">
        <v>17</v>
      </c>
      <c r="U16" s="714">
        <f>H16</f>
        <v>100</v>
      </c>
      <c r="V16" s="713" t="s">
        <v>17</v>
      </c>
      <c r="W16" s="714">
        <f>J16</f>
        <v>100</v>
      </c>
      <c r="X16" s="1489"/>
      <c r="Y16" s="3489"/>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900"/>
      <c r="M17" s="2894"/>
      <c r="N17" s="2894"/>
      <c r="O17" s="2894"/>
      <c r="P17" s="3489"/>
      <c r="Q17" s="1486"/>
      <c r="R17" s="713"/>
      <c r="S17" s="714"/>
      <c r="T17" s="713"/>
      <c r="U17" s="714"/>
      <c r="V17" s="713"/>
      <c r="W17" s="714"/>
      <c r="X17" s="1489"/>
      <c r="Y17" s="3489"/>
      <c r="Z17" s="1490"/>
      <c r="AA17" s="1487">
        <v>1</v>
      </c>
      <c r="AB17" s="1487">
        <v>1</v>
      </c>
      <c r="AC17" s="1487">
        <v>1</v>
      </c>
    </row>
    <row r="18" spans="1:29" ht="28.5">
      <c r="A18" s="363"/>
      <c r="B18" s="588" t="s">
        <v>2269</v>
      </c>
      <c r="C18" s="203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00"/>
      <c r="M18" s="2894"/>
      <c r="N18" s="2894"/>
      <c r="O18" s="2894"/>
      <c r="P18" s="3489"/>
      <c r="Q18" s="1486" t="str">
        <f>B18</f>
        <v>基础设施水平</v>
      </c>
      <c r="R18" s="713" t="s">
        <v>17</v>
      </c>
      <c r="S18" s="714">
        <f>F18</f>
        <v>100</v>
      </c>
      <c r="T18" s="713" t="s">
        <v>17</v>
      </c>
      <c r="U18" s="714">
        <f>H18</f>
        <v>100</v>
      </c>
      <c r="V18" s="713" t="s">
        <v>17</v>
      </c>
      <c r="W18" s="714">
        <f>J18</f>
        <v>100</v>
      </c>
      <c r="X18" s="1489"/>
      <c r="Y18" s="3489"/>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900"/>
      <c r="M19" s="2894"/>
      <c r="N19" s="2894"/>
      <c r="O19" s="2894"/>
      <c r="P19" s="3489"/>
      <c r="Q19" s="1486"/>
      <c r="R19" s="713"/>
      <c r="S19" s="714"/>
      <c r="T19" s="713"/>
      <c r="U19" s="714"/>
      <c r="V19" s="713"/>
      <c r="W19" s="714"/>
      <c r="X19" s="1489"/>
      <c r="Y19" s="3489"/>
      <c r="Z19" s="1490"/>
      <c r="AA19" s="1487">
        <v>1</v>
      </c>
      <c r="AB19" s="1487">
        <v>1</v>
      </c>
      <c r="AC19" s="1487">
        <v>1</v>
      </c>
    </row>
    <row r="20" spans="1:29" ht="57">
      <c r="A20" s="363"/>
      <c r="B20" s="586" t="s">
        <v>2290</v>
      </c>
      <c r="C20" s="203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00"/>
      <c r="M20" s="2894"/>
      <c r="N20" s="2894"/>
      <c r="O20" s="2894"/>
      <c r="P20" s="3489"/>
      <c r="Q20" s="1486" t="str">
        <f>B20</f>
        <v>自然及人文环境</v>
      </c>
      <c r="R20" s="713" t="s">
        <v>17</v>
      </c>
      <c r="S20" s="714">
        <f>F20</f>
        <v>100</v>
      </c>
      <c r="T20" s="713" t="s">
        <v>17</v>
      </c>
      <c r="U20" s="714">
        <f>H20</f>
        <v>100</v>
      </c>
      <c r="V20" s="713" t="s">
        <v>17</v>
      </c>
      <c r="W20" s="714">
        <f>J20</f>
        <v>100</v>
      </c>
      <c r="X20" s="1489"/>
      <c r="Y20" s="3489"/>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900"/>
      <c r="M21" s="2894"/>
      <c r="N21" s="2894"/>
      <c r="O21" s="2894"/>
      <c r="P21" s="3489"/>
      <c r="Q21" s="1486"/>
      <c r="R21" s="713"/>
      <c r="S21" s="714"/>
      <c r="T21" s="713"/>
      <c r="U21" s="714"/>
      <c r="V21" s="713"/>
      <c r="W21" s="714"/>
      <c r="X21" s="1489"/>
      <c r="Y21" s="3489"/>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900"/>
      <c r="M22" s="2894"/>
      <c r="N22" s="2894"/>
      <c r="O22" s="2894"/>
      <c r="P22" s="3489"/>
      <c r="Q22" s="1486" t="str">
        <f>B22</f>
        <v>楼层</v>
      </c>
      <c r="R22" s="713" t="s">
        <v>17</v>
      </c>
      <c r="S22" s="714">
        <f>F22</f>
        <v>100</v>
      </c>
      <c r="T22" s="713" t="s">
        <v>17</v>
      </c>
      <c r="U22" s="714">
        <f>H22</f>
        <v>100</v>
      </c>
      <c r="V22" s="713" t="s">
        <v>17</v>
      </c>
      <c r="W22" s="714">
        <f>J22</f>
        <v>100</v>
      </c>
      <c r="X22" s="1489"/>
      <c r="Y22" s="3489"/>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0"/>
      <c r="M23" s="2894"/>
      <c r="N23" s="2894"/>
      <c r="O23" s="2894"/>
      <c r="P23" s="3489"/>
      <c r="Q23" s="1486">
        <f>B23</f>
        <v>111</v>
      </c>
      <c r="R23" s="713" t="s">
        <v>17</v>
      </c>
      <c r="S23" s="714">
        <f>F23</f>
        <v>100</v>
      </c>
      <c r="T23" s="713" t="s">
        <v>17</v>
      </c>
      <c r="U23" s="714">
        <f>H23</f>
        <v>100</v>
      </c>
      <c r="V23" s="713" t="s">
        <v>17</v>
      </c>
      <c r="W23" s="714">
        <f>J23</f>
        <v>100</v>
      </c>
      <c r="X23" s="1489"/>
      <c r="Y23" s="3489"/>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0"/>
      <c r="M24" s="2894"/>
      <c r="N24" s="2894"/>
      <c r="O24" s="2894"/>
      <c r="P24" s="3489"/>
      <c r="Q24" s="1486">
        <f t="shared" ref="Q24:Q36" si="11">B24</f>
        <v>111</v>
      </c>
      <c r="R24" s="713" t="s">
        <v>17</v>
      </c>
      <c r="S24" s="714">
        <f>F24</f>
        <v>100</v>
      </c>
      <c r="T24" s="713" t="s">
        <v>17</v>
      </c>
      <c r="U24" s="714">
        <f>H24</f>
        <v>100</v>
      </c>
      <c r="V24" s="713" t="s">
        <v>17</v>
      </c>
      <c r="W24" s="714">
        <f>J24</f>
        <v>100</v>
      </c>
      <c r="X24" s="1489"/>
      <c r="Y24" s="3489"/>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5"/>
      <c r="M25" s="2896"/>
      <c r="N25" s="2896"/>
      <c r="O25" s="2896"/>
      <c r="P25" s="3489"/>
      <c r="Q25" s="1477">
        <f t="shared" si="11"/>
        <v>111</v>
      </c>
      <c r="R25" s="709" t="s">
        <v>17</v>
      </c>
      <c r="S25" s="710">
        <f>F25</f>
        <v>100</v>
      </c>
      <c r="T25" s="709" t="s">
        <v>17</v>
      </c>
      <c r="U25" s="710">
        <f>H25</f>
        <v>100</v>
      </c>
      <c r="V25" s="709" t="s">
        <v>17</v>
      </c>
      <c r="W25" s="710">
        <f>J25</f>
        <v>100</v>
      </c>
      <c r="X25" s="711"/>
      <c r="Y25" s="3489"/>
      <c r="Z25" s="55">
        <f>Q25</f>
        <v>111</v>
      </c>
      <c r="AA25" s="1487">
        <f>D25/F25</f>
        <v>1</v>
      </c>
      <c r="AB25" s="1487">
        <f>D25/H25</f>
        <v>1</v>
      </c>
      <c r="AC25" s="1487">
        <f>D25/J25</f>
        <v>1</v>
      </c>
    </row>
    <row r="26" spans="1:29" ht="28.5">
      <c r="A26" s="607" t="s">
        <v>2143</v>
      </c>
      <c r="B26" s="65" t="s">
        <v>2292</v>
      </c>
      <c r="C26" s="2108" t="str">
        <f>B1</f>
        <v>住宅</v>
      </c>
      <c r="D26" s="406">
        <v>100</v>
      </c>
      <c r="E26" s="3256" t="s">
        <v>4124</v>
      </c>
      <c r="F26" s="407">
        <f>SUMIF(79:79,E26,80:80)-SUMIF(79:79,C26,80:80)+100</f>
        <v>100</v>
      </c>
      <c r="G26" s="3256" t="s">
        <v>4124</v>
      </c>
      <c r="H26" s="406">
        <f>SUMIF(79:79,G26,80:80)-SUMIF(79:79,C26,80:80)+100</f>
        <v>100</v>
      </c>
      <c r="I26" s="3256" t="s">
        <v>4124</v>
      </c>
      <c r="J26" s="406">
        <f>SUMIF(79:79,I26,80:80)-SUMIF(79:79,C26,80:80)+100</f>
        <v>100</v>
      </c>
      <c r="K26" s="568"/>
      <c r="L26" s="2900"/>
      <c r="M26" s="2894"/>
      <c r="N26" s="2894"/>
      <c r="O26" s="2894"/>
      <c r="P26" s="3490"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91"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9"/>
      <c r="M27" s="2901"/>
      <c r="N27" s="2901"/>
      <c r="O27" s="2901"/>
      <c r="P27" s="3491"/>
      <c r="Q27" s="715" t="str">
        <f t="shared" si="11"/>
        <v>项目停车位配比</v>
      </c>
      <c r="R27" s="716" t="s">
        <v>17</v>
      </c>
      <c r="S27" s="717">
        <f t="shared" si="12"/>
        <v>100</v>
      </c>
      <c r="T27" s="716" t="s">
        <v>17</v>
      </c>
      <c r="U27" s="717">
        <f t="shared" si="13"/>
        <v>100</v>
      </c>
      <c r="V27" s="716" t="s">
        <v>17</v>
      </c>
      <c r="W27" s="717">
        <f t="shared" si="14"/>
        <v>100</v>
      </c>
      <c r="X27" s="718"/>
      <c r="Y27" s="3491"/>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900"/>
      <c r="M28" s="2894"/>
      <c r="N28" s="2894"/>
      <c r="O28" s="2894"/>
      <c r="P28" s="3491"/>
      <c r="Q28" s="1486" t="str">
        <f t="shared" si="11"/>
        <v>公共部分装修</v>
      </c>
      <c r="R28" s="713" t="s">
        <v>17</v>
      </c>
      <c r="S28" s="714">
        <f t="shared" si="12"/>
        <v>100</v>
      </c>
      <c r="T28" s="713" t="s">
        <v>17</v>
      </c>
      <c r="U28" s="714">
        <f t="shared" si="13"/>
        <v>100</v>
      </c>
      <c r="V28" s="713" t="s">
        <v>17</v>
      </c>
      <c r="W28" s="714">
        <f t="shared" si="14"/>
        <v>100</v>
      </c>
      <c r="X28" s="1489"/>
      <c r="Y28" s="3491"/>
      <c r="Z28" s="1490" t="str">
        <f t="shared" si="15"/>
        <v>公共部分装修</v>
      </c>
      <c r="AA28" s="1487">
        <f t="shared" si="3"/>
        <v>1</v>
      </c>
      <c r="AB28" s="1487">
        <f t="shared" si="4"/>
        <v>1</v>
      </c>
      <c r="AC28" s="1487">
        <f t="shared" si="5"/>
        <v>1</v>
      </c>
    </row>
    <row r="29" spans="1:29" ht="15">
      <c r="A29" s="611"/>
      <c r="B29" s="609" t="s">
        <v>2295</v>
      </c>
      <c r="C29" s="432">
        <v>0.73</v>
      </c>
      <c r="D29" s="393">
        <v>100</v>
      </c>
      <c r="E29" s="432">
        <v>0.72</v>
      </c>
      <c r="F29" s="419">
        <f>LOOKUP(E29,86:86,87:87)-LOOKUP(C29,86:86,87:87)+100</f>
        <v>100</v>
      </c>
      <c r="G29" s="432">
        <v>0.92</v>
      </c>
      <c r="H29" s="419">
        <f>LOOKUP(G29,86:86,87:87)-LOOKUP(C29,86:86,87:87)+100</f>
        <v>104</v>
      </c>
      <c r="I29" s="432">
        <v>0.78</v>
      </c>
      <c r="J29" s="393">
        <f>LOOKUP(I29,86:86,87:87)-LOOKUP(C29,86:86,87:87)+100</f>
        <v>100</v>
      </c>
      <c r="K29" s="568">
        <v>2</v>
      </c>
      <c r="L29" s="2900"/>
      <c r="M29" s="2894"/>
      <c r="N29" s="2894"/>
      <c r="O29" s="2894"/>
      <c r="P29" s="3491"/>
      <c r="Q29" s="1486" t="str">
        <f t="shared" si="11"/>
        <v>成新率</v>
      </c>
      <c r="R29" s="713" t="s">
        <v>17</v>
      </c>
      <c r="S29" s="714">
        <f t="shared" si="12"/>
        <v>100</v>
      </c>
      <c r="T29" s="713" t="s">
        <v>17</v>
      </c>
      <c r="U29" s="714">
        <f t="shared" si="13"/>
        <v>104</v>
      </c>
      <c r="V29" s="713" t="s">
        <v>17</v>
      </c>
      <c r="W29" s="714">
        <f t="shared" si="14"/>
        <v>100</v>
      </c>
      <c r="X29" s="1489"/>
      <c r="Y29" s="3491"/>
      <c r="Z29" s="1490" t="str">
        <f t="shared" si="15"/>
        <v>成新率</v>
      </c>
      <c r="AA29" s="1487">
        <f t="shared" si="3"/>
        <v>1</v>
      </c>
      <c r="AB29" s="1487">
        <f t="shared" si="4"/>
        <v>0.96153846153846156</v>
      </c>
      <c r="AC29" s="1487">
        <f t="shared" si="5"/>
        <v>1</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900"/>
      <c r="M30" s="2894"/>
      <c r="N30" s="2894"/>
      <c r="O30" s="2894"/>
      <c r="P30" s="3491"/>
      <c r="Q30" s="1486" t="str">
        <f t="shared" si="11"/>
        <v>物业等级</v>
      </c>
      <c r="R30" s="713" t="s">
        <v>17</v>
      </c>
      <c r="S30" s="714">
        <f t="shared" si="12"/>
        <v>100</v>
      </c>
      <c r="T30" s="713" t="s">
        <v>17</v>
      </c>
      <c r="U30" s="714">
        <f t="shared" si="13"/>
        <v>100</v>
      </c>
      <c r="V30" s="713" t="s">
        <v>17</v>
      </c>
      <c r="W30" s="714">
        <f t="shared" si="14"/>
        <v>100</v>
      </c>
      <c r="X30" s="1489"/>
      <c r="Y30" s="3491"/>
      <c r="Z30" s="1490" t="str">
        <f t="shared" si="15"/>
        <v>物业等级</v>
      </c>
      <c r="AA30" s="1487">
        <f t="shared" si="3"/>
        <v>1</v>
      </c>
      <c r="AB30" s="1487">
        <f t="shared" si="4"/>
        <v>1</v>
      </c>
      <c r="AC30" s="1487">
        <f t="shared" si="5"/>
        <v>1</v>
      </c>
    </row>
    <row r="31" spans="1:29" s="112" customFormat="1" ht="15">
      <c r="A31" s="613"/>
      <c r="B31" s="609" t="s">
        <v>2297</v>
      </c>
      <c r="C31" s="427">
        <v>1</v>
      </c>
      <c r="D31" s="131">
        <v>100</v>
      </c>
      <c r="E31" s="427">
        <v>1</v>
      </c>
      <c r="F31" s="419">
        <f>LOOKUP(E31,91:91,92:92)-LOOKUP(C31,91:91,92:92)+100</f>
        <v>100</v>
      </c>
      <c r="G31" s="427">
        <v>1</v>
      </c>
      <c r="H31" s="393">
        <f>LOOKUP(G31,91:91,92:92)-LOOKUP(C31,91:91,92:92)+100</f>
        <v>100</v>
      </c>
      <c r="I31" s="427">
        <v>1</v>
      </c>
      <c r="J31" s="393">
        <f>LOOKUP(I31,91:91,92:92)-LOOKUP(C31,91:91,92:92)+100</f>
        <v>100</v>
      </c>
      <c r="K31" s="568"/>
      <c r="L31" s="2895"/>
      <c r="M31" s="2896"/>
      <c r="N31" s="2896"/>
      <c r="O31" s="2896"/>
      <c r="P31" s="3491"/>
      <c r="Q31" s="1477" t="str">
        <f t="shared" si="11"/>
        <v>停车位面积</v>
      </c>
      <c r="R31" s="709" t="s">
        <v>17</v>
      </c>
      <c r="S31" s="710">
        <f t="shared" si="12"/>
        <v>100</v>
      </c>
      <c r="T31" s="709" t="s">
        <v>17</v>
      </c>
      <c r="U31" s="710">
        <f t="shared" si="13"/>
        <v>100</v>
      </c>
      <c r="V31" s="709" t="s">
        <v>17</v>
      </c>
      <c r="W31" s="710">
        <f t="shared" si="14"/>
        <v>100</v>
      </c>
      <c r="X31" s="711"/>
      <c r="Y31" s="3491"/>
      <c r="Z31" s="55" t="str">
        <f t="shared" si="15"/>
        <v>停车位面积</v>
      </c>
      <c r="AA31" s="712">
        <f t="shared" si="3"/>
        <v>1</v>
      </c>
      <c r="AB31" s="712">
        <f t="shared" si="4"/>
        <v>1</v>
      </c>
      <c r="AC31" s="712">
        <f t="shared" si="5"/>
        <v>1</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900"/>
      <c r="M32" s="2894"/>
      <c r="N32" s="2894"/>
      <c r="O32" s="2894"/>
      <c r="P32" s="3491" t="s">
        <v>2145</v>
      </c>
      <c r="Q32" s="1486" t="str">
        <f t="shared" si="11"/>
        <v>车位类型</v>
      </c>
      <c r="R32" s="713" t="s">
        <v>17</v>
      </c>
      <c r="S32" s="714">
        <f t="shared" si="12"/>
        <v>100</v>
      </c>
      <c r="T32" s="713" t="s">
        <v>17</v>
      </c>
      <c r="U32" s="714">
        <f t="shared" si="13"/>
        <v>100</v>
      </c>
      <c r="V32" s="713" t="s">
        <v>17</v>
      </c>
      <c r="W32" s="714">
        <f t="shared" si="14"/>
        <v>100</v>
      </c>
      <c r="X32" s="1489"/>
      <c r="Y32" s="3491"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900"/>
      <c r="M33" s="2894"/>
      <c r="N33" s="2894"/>
      <c r="O33" s="2894"/>
      <c r="P33" s="3491"/>
      <c r="Q33" s="1486" t="str">
        <f t="shared" si="11"/>
        <v>是否直接入户</v>
      </c>
      <c r="R33" s="713" t="s">
        <v>17</v>
      </c>
      <c r="S33" s="714">
        <f t="shared" si="12"/>
        <v>100</v>
      </c>
      <c r="T33" s="713" t="s">
        <v>17</v>
      </c>
      <c r="U33" s="714">
        <f t="shared" si="13"/>
        <v>100</v>
      </c>
      <c r="V33" s="713" t="s">
        <v>17</v>
      </c>
      <c r="W33" s="714">
        <f t="shared" si="14"/>
        <v>100</v>
      </c>
      <c r="X33" s="1489"/>
      <c r="Y33" s="3491"/>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0"/>
      <c r="M34" s="2894"/>
      <c r="N34" s="2894"/>
      <c r="O34" s="2894"/>
      <c r="P34" s="3491"/>
      <c r="Q34" s="1486">
        <f t="shared" si="11"/>
        <v>111</v>
      </c>
      <c r="R34" s="713" t="s">
        <v>17</v>
      </c>
      <c r="S34" s="714">
        <f t="shared" si="12"/>
        <v>100</v>
      </c>
      <c r="T34" s="713" t="s">
        <v>17</v>
      </c>
      <c r="U34" s="714">
        <f t="shared" si="13"/>
        <v>100</v>
      </c>
      <c r="V34" s="713" t="s">
        <v>17</v>
      </c>
      <c r="W34" s="714">
        <f t="shared" si="14"/>
        <v>100</v>
      </c>
      <c r="X34" s="1489"/>
      <c r="Y34" s="3491"/>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9"/>
      <c r="M35" s="2901"/>
      <c r="N35" s="2901"/>
      <c r="O35" s="2901"/>
      <c r="P35" s="3491"/>
      <c r="Q35" s="715">
        <f t="shared" si="11"/>
        <v>111</v>
      </c>
      <c r="R35" s="716" t="s">
        <v>17</v>
      </c>
      <c r="S35" s="717">
        <f t="shared" si="12"/>
        <v>100</v>
      </c>
      <c r="T35" s="716" t="s">
        <v>17</v>
      </c>
      <c r="U35" s="717">
        <f t="shared" si="13"/>
        <v>100</v>
      </c>
      <c r="V35" s="716" t="s">
        <v>17</v>
      </c>
      <c r="W35" s="717">
        <f t="shared" si="14"/>
        <v>100</v>
      </c>
      <c r="X35" s="718"/>
      <c r="Y35" s="3491"/>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0"/>
      <c r="M36" s="2894"/>
      <c r="N36" s="2894"/>
      <c r="O36" s="2894"/>
      <c r="P36" s="3491"/>
      <c r="Q36" s="1486">
        <f t="shared" si="11"/>
        <v>111</v>
      </c>
      <c r="R36" s="713" t="s">
        <v>17</v>
      </c>
      <c r="S36" s="714">
        <f t="shared" si="12"/>
        <v>100</v>
      </c>
      <c r="T36" s="713" t="s">
        <v>17</v>
      </c>
      <c r="U36" s="714">
        <f t="shared" si="13"/>
        <v>100</v>
      </c>
      <c r="V36" s="713" t="s">
        <v>17</v>
      </c>
      <c r="W36" s="714">
        <f t="shared" si="14"/>
        <v>100</v>
      </c>
      <c r="X36" s="1489"/>
      <c r="Y36" s="3491"/>
      <c r="Z36" s="1490">
        <f t="shared" si="15"/>
        <v>111</v>
      </c>
      <c r="AA36" s="1487">
        <f t="shared" si="3"/>
        <v>1</v>
      </c>
      <c r="AB36" s="1487">
        <f t="shared" si="4"/>
        <v>1</v>
      </c>
      <c r="AC36" s="1487">
        <f t="shared" si="5"/>
        <v>1</v>
      </c>
    </row>
    <row r="37" spans="1:29" ht="15">
      <c r="A37" s="437" t="s">
        <v>2300</v>
      </c>
      <c r="B37" s="2109" t="s">
        <v>2301</v>
      </c>
      <c r="C37" s="1268" t="s">
        <v>1</v>
      </c>
      <c r="D37" s="1269"/>
      <c r="E37" s="1270">
        <v>261300</v>
      </c>
      <c r="F37" s="1271"/>
      <c r="G37" s="1272">
        <v>300000</v>
      </c>
      <c r="H37" s="1273"/>
      <c r="I37" s="1270">
        <v>225000</v>
      </c>
      <c r="J37" s="1273"/>
      <c r="K37" s="575"/>
      <c r="L37" s="2902"/>
      <c r="M37" s="2903"/>
      <c r="N37" s="2894"/>
      <c r="O37" s="2903"/>
      <c r="P37" s="3473" t="str">
        <f>A37</f>
        <v>成交单价</v>
      </c>
      <c r="Q37" s="3473"/>
      <c r="R37" s="3492">
        <f>E37</f>
        <v>261300</v>
      </c>
      <c r="S37" s="3492"/>
      <c r="T37" s="3492">
        <f>G37</f>
        <v>300000</v>
      </c>
      <c r="U37" s="3492"/>
      <c r="V37" s="3492">
        <f>I37</f>
        <v>225000</v>
      </c>
      <c r="W37" s="3492"/>
      <c r="X37" s="698"/>
      <c r="Y37" s="720"/>
      <c r="Z37" s="698"/>
      <c r="AA37" s="698"/>
      <c r="AB37" s="698"/>
      <c r="AC37" s="698"/>
    </row>
    <row r="38" spans="1:29" ht="15.75" thickBot="1">
      <c r="A38" s="444" t="s">
        <v>2302</v>
      </c>
      <c r="B38" s="445" t="str">
        <f>B37</f>
        <v>元/车位</v>
      </c>
      <c r="C38" s="1274">
        <f>R39</f>
        <v>253190</v>
      </c>
      <c r="D38" s="2488" t="s">
        <v>2638</v>
      </c>
      <c r="E38" s="1275">
        <f>R38</f>
        <v>256176</v>
      </c>
      <c r="F38" s="2489"/>
      <c r="G38" s="1274">
        <f>T38</f>
        <v>282805</v>
      </c>
      <c r="H38" s="2489"/>
      <c r="I38" s="1275">
        <f>V38</f>
        <v>220588</v>
      </c>
      <c r="J38" s="2489"/>
      <c r="K38" s="2491">
        <f>F38+H38+J38</f>
        <v>0</v>
      </c>
      <c r="L38" s="2902"/>
      <c r="M38" s="2903"/>
      <c r="N38" s="2903"/>
      <c r="O38" s="2903"/>
      <c r="P38" s="3473" t="str">
        <f>A38</f>
        <v>比较价值（元/平方米）</v>
      </c>
      <c r="Q38" s="3473"/>
      <c r="R38" s="3492">
        <f>IF(F1="售价",ROUND(PRODUCT(R37,AA7:AA36),0),ROUND(PRODUCT(R37,AA7:AA36),1))</f>
        <v>256176</v>
      </c>
      <c r="S38" s="3492"/>
      <c r="T38" s="3492">
        <f>IF(F1="售价",ROUND(PRODUCT(T37,AB7:AB36),0),ROUND(PRODUCT(T37,AB7:AB36),1))</f>
        <v>282805</v>
      </c>
      <c r="U38" s="3492"/>
      <c r="V38" s="3492">
        <f>IF(F1="售价",ROUND(PRODUCT(V37,AC7:AC36),0),ROUND(PRODUCT(V37,AC7:AC36),1))</f>
        <v>220588</v>
      </c>
      <c r="W38" s="3492"/>
      <c r="X38" s="698"/>
      <c r="Y38" s="698"/>
      <c r="Z38" s="698"/>
      <c r="AA38" s="698"/>
      <c r="AB38" s="698"/>
      <c r="AC38" s="698"/>
    </row>
    <row r="39" spans="1:29" ht="15.75" thickBot="1">
      <c r="A39" s="448" t="s">
        <v>2303</v>
      </c>
      <c r="B39" s="449"/>
      <c r="C39" s="1277">
        <f>R39</f>
        <v>253190</v>
      </c>
      <c r="D39" s="1277"/>
      <c r="E39" s="1277"/>
      <c r="F39" s="1277"/>
      <c r="G39" s="1277"/>
      <c r="H39" s="1277"/>
      <c r="I39" s="1277"/>
      <c r="J39" s="1277"/>
      <c r="K39" s="576"/>
      <c r="L39" s="2902"/>
      <c r="M39" s="2903"/>
      <c r="N39" s="2903"/>
      <c r="O39" s="2903"/>
      <c r="P39" s="3493" t="str">
        <f>A39</f>
        <v>估价对象XX用房的比较价值（楼面单价，元/平方米）</v>
      </c>
      <c r="Q39" s="3494"/>
      <c r="R39" s="3495">
        <f>IF(F1="售价",ROUND(IF(D38="简单平均",AVERAGE(R38:W38),R38*F38+T38*H38+V38*J38),0),ROUND(IF(D38="简单平均",AVERAGE(R38:V38),R38*F38+T38*H38+V38*J38),1))</f>
        <v>253190</v>
      </c>
      <c r="S39" s="3495"/>
      <c r="T39" s="3495"/>
      <c r="U39" s="3495"/>
      <c r="V39" s="3495"/>
      <c r="W39" s="3495"/>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3" t="s">
        <v>2304</v>
      </c>
      <c r="D42" s="454"/>
      <c r="E42" s="455">
        <f>IF(E37&lt;E38,E38/E37-1,E37/E38-1)</f>
        <v>2.0001873711823048E-2</v>
      </c>
      <c r="F42" s="456" t="str">
        <f>IF(OR(E42&gt;=0.3,E42&lt;=-0.3),"超过30%","")</f>
        <v/>
      </c>
      <c r="G42" s="455">
        <f>IF(G37&lt;G38,G38/G37-1,G37/G38-1)</f>
        <v>6.0801612418450945E-2</v>
      </c>
      <c r="H42" s="456" t="str">
        <f>IF(OR(G42&gt;=0.3,G42&lt;=-0.3),"超过30%","")</f>
        <v/>
      </c>
      <c r="I42" s="455">
        <f>IF(I37&lt;I38,I38/I37-1,I37/I38-1)</f>
        <v>2.0001088001160516E-2</v>
      </c>
      <c r="J42" s="456" t="str">
        <f>IF(OR(I42&gt;=0.3,I42&lt;=-0.3),"超过30%","")</f>
        <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3" t="s">
        <v>2305</v>
      </c>
      <c r="D43" s="457"/>
      <c r="E43" s="455">
        <f>IF(E38&lt;G38,G38/E38-1,E38/G38-1)</f>
        <v>0.10394806695396919</v>
      </c>
      <c r="F43" s="456" t="str">
        <f>IF(OR(E43&gt;=0.2,E43&lt;=-0.2),"超过20%","")</f>
        <v/>
      </c>
      <c r="G43" s="455">
        <f>IF(G38&lt;I38,I38/G38-1,G38/I38-1)</f>
        <v>0.2820507008540809</v>
      </c>
      <c r="H43" s="456" t="str">
        <f>IF(OR(G43&gt;=0.2,G43&lt;=-0.2),"超过20%","")</f>
        <v>超过20%</v>
      </c>
      <c r="I43" s="455">
        <f>IF(I38&lt;E38,E38/I38-1,I38/E38-1)</f>
        <v>0.16133243875460135</v>
      </c>
      <c r="J43" s="456" t="str">
        <f>IF(OR(I43&gt;=0.2,I43&lt;=-0.2),"超过20%","")</f>
        <v/>
      </c>
      <c r="K43" s="2908"/>
      <c r="L43" s="2904"/>
      <c r="M43" s="2903"/>
      <c r="N43" s="2903"/>
      <c r="O43" s="2903"/>
      <c r="P43" s="2934"/>
      <c r="Q43" s="2903"/>
      <c r="R43" s="2903"/>
      <c r="S43" s="2903"/>
      <c r="T43" s="2903"/>
      <c r="U43" s="2903"/>
      <c r="V43" s="2903"/>
      <c r="W43" s="2903"/>
      <c r="X43" s="2903"/>
      <c r="Y43" s="2903"/>
      <c r="Z43" s="2903"/>
      <c r="AA43" s="2903"/>
      <c r="AB43" s="2903"/>
      <c r="AC43" s="2903"/>
    </row>
    <row r="44" spans="1:29" s="458" customFormat="1" ht="13.5" customHeight="1">
      <c r="A44" s="2906"/>
      <c r="B44" s="2906"/>
      <c r="C44" s="453" t="s">
        <v>2306</v>
      </c>
      <c r="D44" s="457"/>
      <c r="E44" s="455">
        <f>IF(E37&lt;G37,G37/E37-1,E37/G37-1)</f>
        <v>0.14810562571756591</v>
      </c>
      <c r="F44" s="456" t="str">
        <f>IF(OR(E44&gt;=0.3,E44&lt;=-0.3),"超过30%","")</f>
        <v/>
      </c>
      <c r="G44" s="455">
        <f>IF(G37&lt;I37,I37/G37-1,G37/I37-1)</f>
        <v>0.33333333333333326</v>
      </c>
      <c r="H44" s="456" t="str">
        <f>IF(OR(G44&gt;=0.3,G44&lt;=-0.3),"超过30%","")</f>
        <v>超过30%</v>
      </c>
      <c r="I44" s="455">
        <f>IF(I37&lt;E37,E37/I37-1,I37/E37-1)</f>
        <v>0.16133333333333333</v>
      </c>
      <c r="J44" s="456" t="str">
        <f>IF(OR(I44&gt;=0.3,I44&lt;=-0.3),"超过30%","")</f>
        <v/>
      </c>
      <c r="K44" s="2911"/>
      <c r="L44" s="2905"/>
      <c r="M44" s="2906"/>
      <c r="N44" s="2906"/>
      <c r="O44" s="2906"/>
      <c r="P44" s="2935"/>
      <c r="Q44" s="2906"/>
      <c r="R44" s="2906"/>
      <c r="S44" s="2906"/>
      <c r="T44" s="2906"/>
      <c r="U44" s="2906"/>
      <c r="V44" s="2906"/>
      <c r="W44" s="2906"/>
      <c r="X44" s="2906"/>
      <c r="Y44" s="2906"/>
      <c r="Z44" s="2906"/>
      <c r="AA44" s="2906"/>
      <c r="AB44" s="2906"/>
      <c r="AC44" s="2906"/>
    </row>
    <row r="45" spans="1:29" s="458"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4" customFormat="1" ht="15">
      <c r="A48" s="461" t="s">
        <v>2308</v>
      </c>
      <c r="B48" s="462"/>
      <c r="C48" s="1298" t="str">
        <f>YEAR(C7)&amp;"-"&amp;MONTH(C7)</f>
        <v>2022-5</v>
      </c>
      <c r="D48" s="1299">
        <f>EDATE(C48,-1)</f>
        <v>44652</v>
      </c>
      <c r="E48" s="1299">
        <f t="shared" ref="E48:O48" si="16">EDATE(D48,-1)</f>
        <v>44621</v>
      </c>
      <c r="F48" s="1299">
        <f t="shared" si="16"/>
        <v>44593</v>
      </c>
      <c r="G48" s="1299">
        <f t="shared" si="16"/>
        <v>44562</v>
      </c>
      <c r="H48" s="1299">
        <f t="shared" si="16"/>
        <v>44531</v>
      </c>
      <c r="I48" s="1299">
        <f t="shared" si="16"/>
        <v>44501</v>
      </c>
      <c r="J48" s="1299">
        <f t="shared" si="16"/>
        <v>44470</v>
      </c>
      <c r="K48" s="1299">
        <f t="shared" si="16"/>
        <v>44440</v>
      </c>
      <c r="L48" s="1299">
        <f t="shared" si="16"/>
        <v>44409</v>
      </c>
      <c r="M48" s="1299">
        <f t="shared" si="16"/>
        <v>44378</v>
      </c>
      <c r="N48" s="1299">
        <f t="shared" si="16"/>
        <v>44348</v>
      </c>
      <c r="O48" s="1299">
        <f t="shared" si="16"/>
        <v>44317</v>
      </c>
      <c r="P48" s="2937"/>
      <c r="Q48" s="2919"/>
      <c r="R48" s="2919"/>
      <c r="S48" s="2919"/>
      <c r="T48" s="2919"/>
      <c r="U48" s="2919"/>
      <c r="V48" s="2919"/>
      <c r="W48" s="2919"/>
      <c r="X48" s="2919"/>
      <c r="Y48" s="2919"/>
      <c r="Z48" s="2919"/>
      <c r="AA48" s="2919"/>
      <c r="AB48" s="2919"/>
      <c r="AC48" s="2919"/>
    </row>
    <row r="49" spans="1:29" s="112" customFormat="1" ht="15">
      <c r="A49" s="465"/>
      <c r="B49" s="466"/>
      <c r="C49" s="1291">
        <v>100</v>
      </c>
      <c r="D49" s="468"/>
      <c r="E49" s="468"/>
      <c r="F49" s="468"/>
      <c r="G49" s="468"/>
      <c r="H49" s="468"/>
      <c r="I49" s="468"/>
      <c r="J49" s="468"/>
      <c r="K49" s="468"/>
      <c r="L49" s="468"/>
      <c r="M49" s="469"/>
      <c r="N49" s="468"/>
      <c r="O49" s="469"/>
      <c r="P49" s="2938"/>
      <c r="Q49" s="2837"/>
      <c r="R49" s="2837"/>
      <c r="S49" s="2837"/>
      <c r="T49" s="2837"/>
      <c r="U49" s="2837"/>
      <c r="V49" s="2837"/>
      <c r="W49" s="2837"/>
      <c r="X49" s="2837"/>
      <c r="Y49" s="2837"/>
      <c r="Z49" s="2837"/>
      <c r="AA49" s="2837"/>
      <c r="AB49" s="2837"/>
      <c r="AC49" s="2837"/>
    </row>
    <row r="50" spans="1:29" s="112" customFormat="1" ht="15.75" thickBot="1">
      <c r="A50" s="471" t="s">
        <v>2165</v>
      </c>
      <c r="B50" s="472"/>
      <c r="C50" s="473"/>
      <c r="D50" s="474"/>
      <c r="E50" s="474"/>
      <c r="F50" s="474"/>
      <c r="G50" s="474"/>
      <c r="H50" s="474"/>
      <c r="I50" s="474"/>
      <c r="J50" s="474"/>
      <c r="K50" s="474"/>
      <c r="L50" s="474"/>
      <c r="M50" s="475"/>
      <c r="N50" s="474"/>
      <c r="O50" s="475"/>
      <c r="P50" s="2938"/>
      <c r="Q50" s="2917"/>
      <c r="R50" s="2837"/>
      <c r="S50" s="2837"/>
      <c r="T50" s="2837"/>
      <c r="U50" s="2837"/>
      <c r="V50" s="2837"/>
      <c r="W50" s="2837"/>
      <c r="X50" s="2837"/>
      <c r="Y50" s="2837"/>
      <c r="Z50" s="2837"/>
      <c r="AA50" s="2837"/>
      <c r="AB50" s="2837"/>
      <c r="AC50" s="2837"/>
    </row>
    <row r="51" spans="1:29" s="112" customFormat="1" ht="15">
      <c r="A51" s="477" t="s">
        <v>2130</v>
      </c>
      <c r="B51" s="466"/>
      <c r="C51" s="478" t="s">
        <v>2232</v>
      </c>
      <c r="D51" s="479"/>
      <c r="E51" s="479"/>
      <c r="F51" s="479"/>
      <c r="G51" s="479"/>
      <c r="H51" s="479"/>
      <c r="I51" s="479"/>
      <c r="J51" s="479"/>
      <c r="K51" s="479"/>
      <c r="L51" s="480"/>
      <c r="M51" s="481"/>
      <c r="N51" s="2930"/>
      <c r="O51" s="2930"/>
      <c r="P51" s="2939"/>
      <c r="Q51" s="2917"/>
      <c r="R51" s="2837"/>
      <c r="S51" s="2837"/>
      <c r="T51" s="2837"/>
      <c r="U51" s="2837"/>
      <c r="V51" s="2837"/>
      <c r="W51" s="2837"/>
      <c r="X51" s="2837"/>
      <c r="Y51" s="2837"/>
      <c r="Z51" s="2837"/>
      <c r="AA51" s="2837"/>
      <c r="AB51" s="2837"/>
      <c r="AC51" s="2837"/>
    </row>
    <row r="52" spans="1:29" s="112" customFormat="1" ht="15.75" thickBot="1">
      <c r="A52" s="477"/>
      <c r="B52" s="466"/>
      <c r="C52" s="594">
        <v>100</v>
      </c>
      <c r="D52" s="468"/>
      <c r="E52" s="468"/>
      <c r="F52" s="468"/>
      <c r="G52" s="468"/>
      <c r="H52" s="468"/>
      <c r="I52" s="468"/>
      <c r="J52" s="468"/>
      <c r="K52" s="468"/>
      <c r="L52" s="468"/>
      <c r="M52" s="470"/>
      <c r="N52" s="2930"/>
      <c r="O52" s="2930"/>
      <c r="P52" s="2938"/>
      <c r="Q52" s="2917"/>
      <c r="R52" s="2837"/>
      <c r="S52" s="2837"/>
      <c r="T52" s="2837"/>
      <c r="U52" s="2837"/>
      <c r="V52" s="2837"/>
      <c r="W52" s="2837"/>
      <c r="X52" s="2837"/>
      <c r="Y52" s="2837"/>
      <c r="Z52" s="2837"/>
      <c r="AA52" s="2837"/>
      <c r="AB52" s="2837"/>
      <c r="AC52" s="2837"/>
    </row>
    <row r="53" spans="1:29">
      <c r="A53" s="483" t="s">
        <v>2168</v>
      </c>
      <c r="B53" s="484" t="s">
        <v>2134</v>
      </c>
      <c r="C53" s="485">
        <f>C9</f>
        <v>0</v>
      </c>
      <c r="D53" s="486"/>
      <c r="E53" s="486"/>
      <c r="F53" s="486"/>
      <c r="G53" s="486"/>
      <c r="H53" s="486"/>
      <c r="I53" s="486"/>
      <c r="J53" s="486"/>
      <c r="K53" s="487"/>
      <c r="L53" s="488"/>
      <c r="M53" s="489"/>
      <c r="N53" s="2931"/>
      <c r="O53" s="2931"/>
      <c r="P53" s="2940"/>
      <c r="Q53" s="2917"/>
      <c r="R53" s="2903"/>
      <c r="S53" s="2903"/>
      <c r="T53" s="2903"/>
      <c r="U53" s="2903"/>
      <c r="V53" s="2903"/>
      <c r="W53" s="2903"/>
      <c r="X53" s="2903"/>
      <c r="Y53" s="2903"/>
      <c r="Z53" s="2903"/>
      <c r="AA53" s="2903"/>
      <c r="AB53" s="2903"/>
      <c r="AC53" s="2903"/>
    </row>
    <row r="54" spans="1:29" ht="15.75" thickBot="1">
      <c r="A54" s="490"/>
      <c r="B54" s="491"/>
      <c r="C54" s="492">
        <v>100</v>
      </c>
      <c r="D54" s="492"/>
      <c r="E54" s="492"/>
      <c r="F54" s="492"/>
      <c r="G54" s="492"/>
      <c r="H54" s="492"/>
      <c r="I54" s="492"/>
      <c r="J54" s="492"/>
      <c r="K54" s="492"/>
      <c r="L54" s="492"/>
      <c r="M54" s="493"/>
      <c r="N54" s="2932"/>
      <c r="O54" s="2932"/>
      <c r="P54" s="2940"/>
      <c r="Q54" s="2917"/>
      <c r="R54" s="2903"/>
      <c r="S54" s="2903"/>
      <c r="T54" s="2903"/>
      <c r="U54" s="2903"/>
      <c r="V54" s="2903"/>
      <c r="W54" s="2903"/>
      <c r="X54" s="2903"/>
      <c r="Y54" s="2903"/>
      <c r="Z54" s="2903"/>
      <c r="AA54" s="2903"/>
      <c r="AB54" s="2903"/>
      <c r="AC54" s="2903"/>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31"/>
      <c r="O55" s="2931"/>
      <c r="P55" s="2940"/>
      <c r="Q55" s="2917"/>
      <c r="R55" s="2903"/>
      <c r="S55" s="2903"/>
      <c r="T55" s="2903"/>
      <c r="U55" s="2903"/>
      <c r="V55" s="2903"/>
      <c r="W55" s="2903"/>
      <c r="X55" s="2903"/>
      <c r="Y55" s="2903"/>
      <c r="Z55" s="2903"/>
      <c r="AA55" s="2903"/>
      <c r="AB55" s="2903"/>
      <c r="AC55" s="2903"/>
    </row>
    <row r="56" spans="1:29" ht="15.75" thickBot="1">
      <c r="A56" s="490"/>
      <c r="B56" s="499"/>
      <c r="C56" s="500" t="s">
        <v>24</v>
      </c>
      <c r="D56" s="500" t="s">
        <v>25</v>
      </c>
      <c r="E56" s="500">
        <v>100</v>
      </c>
      <c r="F56" s="500">
        <f>E56-$K10</f>
        <v>98</v>
      </c>
      <c r="G56" s="500">
        <f>F56-$K10</f>
        <v>96</v>
      </c>
      <c r="H56" s="500">
        <f>G56-$K10</f>
        <v>94</v>
      </c>
      <c r="I56" s="500">
        <f>H56-$K10</f>
        <v>92</v>
      </c>
      <c r="J56" s="500"/>
      <c r="K56" s="500"/>
      <c r="L56" s="500"/>
      <c r="M56" s="501"/>
      <c r="N56" s="2932"/>
      <c r="O56" s="2932"/>
      <c r="P56" s="2940"/>
      <c r="Q56" s="2917"/>
      <c r="R56" s="2903"/>
      <c r="S56" s="2903"/>
      <c r="T56" s="2903"/>
      <c r="U56" s="2903"/>
      <c r="V56" s="2903"/>
      <c r="W56" s="2903"/>
      <c r="X56" s="2903"/>
      <c r="Y56" s="2903"/>
      <c r="Z56" s="2903"/>
      <c r="AA56" s="2903"/>
      <c r="AB56" s="2903"/>
      <c r="AC56" s="2903"/>
    </row>
    <row r="57" spans="1:29" ht="15.75" thickTop="1">
      <c r="A57" s="490"/>
      <c r="B57" s="615">
        <f>B11</f>
        <v>111</v>
      </c>
      <c r="C57" s="505"/>
      <c r="D57" s="505"/>
      <c r="E57" s="505"/>
      <c r="F57" s="505"/>
      <c r="G57" s="505"/>
      <c r="H57" s="505"/>
      <c r="I57" s="505"/>
      <c r="J57" s="505"/>
      <c r="K57" s="506"/>
      <c r="L57" s="507"/>
      <c r="M57" s="508"/>
      <c r="N57" s="2931"/>
      <c r="O57" s="2931"/>
      <c r="P57" s="2940"/>
      <c r="Q57" s="2917"/>
      <c r="R57" s="2903"/>
      <c r="S57" s="2903"/>
      <c r="T57" s="2903"/>
      <c r="U57" s="2903"/>
      <c r="V57" s="2903"/>
      <c r="W57" s="2903"/>
      <c r="X57" s="2903"/>
      <c r="Y57" s="2903"/>
      <c r="Z57" s="2903"/>
      <c r="AA57" s="2903"/>
      <c r="AB57" s="2903"/>
      <c r="AC57" s="2903"/>
    </row>
    <row r="58" spans="1:29" ht="15.75" thickBot="1">
      <c r="A58" s="490"/>
      <c r="B58" s="491"/>
      <c r="C58" s="516"/>
      <c r="D58" s="492"/>
      <c r="E58" s="492"/>
      <c r="F58" s="492"/>
      <c r="G58" s="492"/>
      <c r="H58" s="492"/>
      <c r="I58" s="492"/>
      <c r="J58" s="492"/>
      <c r="K58" s="492"/>
      <c r="L58" s="492"/>
      <c r="M58" s="493"/>
      <c r="N58" s="2932"/>
      <c r="O58" s="2932"/>
      <c r="P58" s="2940"/>
      <c r="Q58" s="2917"/>
      <c r="R58" s="2903"/>
      <c r="S58" s="2903"/>
      <c r="T58" s="2903"/>
      <c r="U58" s="2903"/>
      <c r="V58" s="2903"/>
      <c r="W58" s="2903"/>
      <c r="X58" s="2903"/>
      <c r="Y58" s="2903"/>
      <c r="Z58" s="2903"/>
      <c r="AA58" s="2903"/>
      <c r="AB58" s="2903"/>
      <c r="AC58" s="2903"/>
    </row>
    <row r="59" spans="1:29" s="429" customFormat="1" ht="15.75" thickTop="1">
      <c r="A59" s="509"/>
      <c r="B59" s="494">
        <f>B12</f>
        <v>111</v>
      </c>
      <c r="C59" s="505"/>
      <c r="D59" s="505"/>
      <c r="E59" s="505"/>
      <c r="F59" s="505"/>
      <c r="G59" s="510"/>
      <c r="H59" s="511"/>
      <c r="I59" s="511"/>
      <c r="J59" s="511"/>
      <c r="K59" s="511"/>
      <c r="L59" s="512"/>
      <c r="M59" s="513"/>
      <c r="N59" s="2933"/>
      <c r="O59" s="2933"/>
      <c r="P59" s="2941"/>
      <c r="Q59" s="2924"/>
      <c r="R59" s="2925"/>
      <c r="S59" s="2925"/>
      <c r="T59" s="2925"/>
      <c r="U59" s="2925"/>
      <c r="V59" s="2925"/>
      <c r="W59" s="2925"/>
      <c r="X59" s="2925"/>
      <c r="Y59" s="2925"/>
      <c r="Z59" s="2925"/>
      <c r="AA59" s="2925"/>
      <c r="AB59" s="2925"/>
      <c r="AC59" s="2925"/>
    </row>
    <row r="60" spans="1:29" s="429" customFormat="1" ht="15.75" thickBot="1">
      <c r="A60" s="509"/>
      <c r="B60" s="499"/>
      <c r="C60" s="516"/>
      <c r="D60" s="492"/>
      <c r="E60" s="492"/>
      <c r="F60" s="492"/>
      <c r="G60" s="492"/>
      <c r="H60" s="492"/>
      <c r="I60" s="492"/>
      <c r="J60" s="492"/>
      <c r="K60" s="492"/>
      <c r="L60" s="492"/>
      <c r="M60" s="493"/>
      <c r="N60" s="2932"/>
      <c r="O60" s="2932"/>
      <c r="P60" s="2941"/>
      <c r="Q60" s="2924"/>
      <c r="R60" s="2925"/>
      <c r="S60" s="2925"/>
      <c r="T60" s="2925"/>
      <c r="U60" s="2925"/>
      <c r="V60" s="2925"/>
      <c r="W60" s="2925"/>
      <c r="X60" s="2925"/>
      <c r="Y60" s="2925"/>
      <c r="Z60" s="2925"/>
      <c r="AA60" s="2925"/>
      <c r="AB60" s="2925"/>
      <c r="AC60" s="2925"/>
    </row>
    <row r="61" spans="1:29" s="429" customFormat="1" ht="15.75" thickTop="1">
      <c r="A61" s="509"/>
      <c r="B61" s="494">
        <f>B13</f>
        <v>111</v>
      </c>
      <c r="C61" s="510"/>
      <c r="D61" s="510"/>
      <c r="E61" s="510"/>
      <c r="F61" s="510"/>
      <c r="G61" s="510"/>
      <c r="H61" s="511"/>
      <c r="I61" s="511"/>
      <c r="J61" s="511"/>
      <c r="K61" s="511"/>
      <c r="L61" s="512"/>
      <c r="M61" s="513"/>
      <c r="N61" s="2933"/>
      <c r="O61" s="2933"/>
      <c r="P61" s="2942"/>
      <c r="Q61" s="2927"/>
      <c r="R61" s="2925"/>
      <c r="S61" s="2925"/>
      <c r="T61" s="2925"/>
      <c r="U61" s="2925"/>
      <c r="V61" s="2925"/>
      <c r="W61" s="2925"/>
      <c r="X61" s="2925"/>
      <c r="Y61" s="2925"/>
      <c r="Z61" s="2925"/>
      <c r="AA61" s="2925"/>
      <c r="AB61" s="2925"/>
      <c r="AC61" s="2925"/>
    </row>
    <row r="62" spans="1:29" s="429" customFormat="1" ht="15.75" thickBot="1">
      <c r="A62" s="509"/>
      <c r="B62" s="499"/>
      <c r="C62" s="516"/>
      <c r="D62" s="516"/>
      <c r="E62" s="516"/>
      <c r="F62" s="516"/>
      <c r="G62" s="516"/>
      <c r="H62" s="518"/>
      <c r="I62" s="518"/>
      <c r="J62" s="518"/>
      <c r="K62" s="518"/>
      <c r="L62" s="518"/>
      <c r="M62" s="519"/>
      <c r="N62" s="2933"/>
      <c r="O62" s="2933"/>
      <c r="P62" s="2941"/>
      <c r="Q62" s="2924"/>
      <c r="R62" s="2925"/>
      <c r="S62" s="2925"/>
      <c r="T62" s="2925"/>
      <c r="U62" s="2925"/>
      <c r="V62" s="2925"/>
      <c r="W62" s="2925"/>
      <c r="X62" s="2925"/>
      <c r="Y62" s="2925"/>
      <c r="Z62" s="2925"/>
      <c r="AA62" s="2925"/>
      <c r="AB62" s="2925"/>
      <c r="AC62" s="2925"/>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31"/>
      <c r="O63" s="2931"/>
      <c r="P63" s="2944"/>
      <c r="Q63" s="2917"/>
      <c r="R63" s="2903"/>
      <c r="S63" s="2903"/>
      <c r="T63" s="2903"/>
      <c r="U63" s="2903"/>
      <c r="V63" s="2903"/>
      <c r="W63" s="2903"/>
      <c r="X63" s="2903"/>
      <c r="Y63" s="2903"/>
      <c r="Z63" s="2903"/>
      <c r="AA63" s="2903"/>
      <c r="AB63" s="2903"/>
      <c r="AC63" s="2903"/>
    </row>
    <row r="64" spans="1:29" ht="15.75" thickBot="1">
      <c r="A64" s="490"/>
      <c r="B64" s="499"/>
      <c r="C64" s="500">
        <v>100</v>
      </c>
      <c r="D64" s="500">
        <f>C64-$K14</f>
        <v>98</v>
      </c>
      <c r="E64" s="500">
        <f>D64-$K14</f>
        <v>96</v>
      </c>
      <c r="F64" s="500">
        <f>E64-$K14</f>
        <v>94</v>
      </c>
      <c r="G64" s="500">
        <f>F64-$K14</f>
        <v>92</v>
      </c>
      <c r="H64" s="500"/>
      <c r="I64" s="500"/>
      <c r="J64" s="500"/>
      <c r="K64" s="500"/>
      <c r="L64" s="500"/>
      <c r="M64" s="501"/>
      <c r="N64" s="2932"/>
      <c r="O64" s="2932"/>
      <c r="P64" s="2940"/>
      <c r="Q64" s="2917"/>
      <c r="R64" s="2903"/>
      <c r="S64" s="2903"/>
      <c r="T64" s="2903"/>
      <c r="U64" s="2903"/>
      <c r="V64" s="2903"/>
      <c r="W64" s="2903"/>
      <c r="X64" s="2903"/>
      <c r="Y64" s="2903"/>
      <c r="Z64" s="2903"/>
      <c r="AA64" s="2903"/>
      <c r="AB64" s="2903"/>
      <c r="AC64" s="2903"/>
    </row>
    <row r="65" spans="1:29" ht="15.75" thickTop="1">
      <c r="A65" s="490"/>
      <c r="B65" s="494" t="s">
        <v>2183</v>
      </c>
      <c r="C65" s="534" t="s">
        <v>2177</v>
      </c>
      <c r="D65" s="534" t="s">
        <v>2178</v>
      </c>
      <c r="E65" s="534" t="s">
        <v>2179</v>
      </c>
      <c r="F65" s="534" t="s">
        <v>2180</v>
      </c>
      <c r="G65" s="534" t="s">
        <v>2181</v>
      </c>
      <c r="H65" s="495"/>
      <c r="I65" s="495"/>
      <c r="J65" s="495"/>
      <c r="K65" s="496"/>
      <c r="L65" s="497"/>
      <c r="M65" s="498"/>
      <c r="N65" s="2931"/>
      <c r="O65" s="2931"/>
      <c r="P65" s="2940"/>
      <c r="Q65" s="2917"/>
      <c r="R65" s="2903"/>
      <c r="S65" s="2903"/>
      <c r="T65" s="2903"/>
      <c r="U65" s="2903"/>
      <c r="V65" s="2903"/>
      <c r="W65" s="2903"/>
      <c r="X65" s="2903"/>
      <c r="Y65" s="2903"/>
      <c r="Z65" s="2903"/>
      <c r="AA65" s="2903"/>
      <c r="AB65" s="2903"/>
      <c r="AC65" s="290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2"/>
      <c r="O66" s="2932"/>
      <c r="P66" s="2940"/>
      <c r="Q66" s="2917"/>
      <c r="R66" s="2903"/>
      <c r="S66" s="2903"/>
      <c r="T66" s="2903"/>
      <c r="U66" s="2903"/>
      <c r="V66" s="2903"/>
      <c r="W66" s="2903"/>
      <c r="X66" s="2903"/>
      <c r="Y66" s="2903"/>
      <c r="Z66" s="2903"/>
      <c r="AA66" s="2903"/>
      <c r="AB66" s="2903"/>
      <c r="AC66" s="2903"/>
    </row>
    <row r="67" spans="1:29" ht="15.75" thickTop="1">
      <c r="A67" s="490"/>
      <c r="B67" s="502" t="s">
        <v>2269</v>
      </c>
      <c r="C67" s="615" t="s">
        <v>2255</v>
      </c>
      <c r="D67" s="615" t="s">
        <v>2256</v>
      </c>
      <c r="E67" s="615" t="s">
        <v>2257</v>
      </c>
      <c r="F67" s="615" t="s">
        <v>2258</v>
      </c>
      <c r="G67" s="615" t="s">
        <v>2259</v>
      </c>
      <c r="H67" s="495"/>
      <c r="I67" s="495"/>
      <c r="J67" s="495"/>
      <c r="K67" s="495"/>
      <c r="L67" s="495"/>
      <c r="M67" s="1243"/>
      <c r="N67" s="2932"/>
      <c r="O67" s="2932"/>
      <c r="P67" s="2940"/>
      <c r="Q67" s="2917"/>
      <c r="R67" s="2903"/>
      <c r="S67" s="2903"/>
      <c r="T67" s="2903"/>
      <c r="U67" s="2903"/>
      <c r="V67" s="2903"/>
      <c r="W67" s="2903"/>
      <c r="X67" s="2903"/>
      <c r="Y67" s="2903"/>
      <c r="Z67" s="2903"/>
      <c r="AA67" s="2903"/>
      <c r="AB67" s="2903"/>
      <c r="AC67" s="290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2"/>
      <c r="O68" s="2932"/>
      <c r="P68" s="2940"/>
      <c r="Q68" s="2917"/>
      <c r="R68" s="2903"/>
      <c r="S68" s="2903"/>
      <c r="T68" s="2903"/>
      <c r="U68" s="2903"/>
      <c r="V68" s="2903"/>
      <c r="W68" s="2903"/>
      <c r="X68" s="2903"/>
      <c r="Y68" s="2903"/>
      <c r="Z68" s="2903"/>
      <c r="AA68" s="2903"/>
      <c r="AB68" s="2903"/>
      <c r="AC68" s="2903"/>
    </row>
    <row r="69" spans="1:29" ht="15.75" thickTop="1">
      <c r="A69" s="490"/>
      <c r="B69" s="494" t="s">
        <v>2189</v>
      </c>
      <c r="C69" s="534" t="s">
        <v>2177</v>
      </c>
      <c r="D69" s="534" t="s">
        <v>2178</v>
      </c>
      <c r="E69" s="534" t="s">
        <v>2179</v>
      </c>
      <c r="F69" s="534" t="s">
        <v>2180</v>
      </c>
      <c r="G69" s="534" t="s">
        <v>2181</v>
      </c>
      <c r="H69" s="495"/>
      <c r="I69" s="495"/>
      <c r="J69" s="495"/>
      <c r="K69" s="496"/>
      <c r="L69" s="497"/>
      <c r="M69" s="498"/>
      <c r="N69" s="2931"/>
      <c r="O69" s="2931"/>
      <c r="P69" s="2940"/>
      <c r="Q69" s="2917"/>
      <c r="R69" s="2903"/>
      <c r="S69" s="2903"/>
      <c r="T69" s="2903"/>
      <c r="U69" s="2903"/>
      <c r="V69" s="2903"/>
      <c r="W69" s="2903"/>
      <c r="X69" s="2903"/>
      <c r="Y69" s="2903"/>
      <c r="Z69" s="2903"/>
      <c r="AA69" s="2903"/>
      <c r="AB69" s="2903"/>
      <c r="AC69" s="290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2"/>
      <c r="O70" s="2932"/>
      <c r="P70" s="2940"/>
      <c r="Q70" s="2917"/>
      <c r="R70" s="2903"/>
      <c r="S70" s="2903"/>
      <c r="T70" s="2903"/>
      <c r="U70" s="2903"/>
      <c r="V70" s="2903"/>
      <c r="W70" s="2903"/>
      <c r="X70" s="2903"/>
      <c r="Y70" s="2903"/>
      <c r="Z70" s="2903"/>
      <c r="AA70" s="2903"/>
      <c r="AB70" s="2903"/>
      <c r="AC70" s="2903"/>
    </row>
    <row r="71" spans="1:29" ht="15.75" thickTop="1">
      <c r="A71" s="490"/>
      <c r="B71" s="494" t="s">
        <v>2309</v>
      </c>
      <c r="C71" s="510"/>
      <c r="D71" s="510"/>
      <c r="E71" s="510"/>
      <c r="F71" s="510"/>
      <c r="G71" s="510"/>
      <c r="H71" s="539"/>
      <c r="I71" s="539"/>
      <c r="J71" s="539"/>
      <c r="K71" s="540"/>
      <c r="L71" s="541"/>
      <c r="M71" s="542"/>
      <c r="N71" s="2931"/>
      <c r="O71" s="2931"/>
      <c r="P71" s="2940"/>
      <c r="Q71" s="2917"/>
      <c r="R71" s="2903"/>
      <c r="S71" s="2903"/>
      <c r="T71" s="2903"/>
      <c r="U71" s="2903"/>
      <c r="V71" s="2903"/>
      <c r="W71" s="2903"/>
      <c r="X71" s="2903"/>
      <c r="Y71" s="2903"/>
      <c r="Z71" s="2903"/>
      <c r="AA71" s="2903"/>
      <c r="AB71" s="2903"/>
      <c r="AC71" s="290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2"/>
      <c r="O72" s="2932"/>
      <c r="P72" s="2940"/>
      <c r="Q72" s="2917"/>
      <c r="R72" s="2903"/>
      <c r="S72" s="2903"/>
      <c r="T72" s="2903"/>
      <c r="U72" s="2903"/>
      <c r="V72" s="2903"/>
      <c r="W72" s="2903"/>
      <c r="X72" s="2903"/>
      <c r="Y72" s="2903"/>
      <c r="Z72" s="2903"/>
      <c r="AA72" s="2903"/>
      <c r="AB72" s="2903"/>
      <c r="AC72" s="2903"/>
    </row>
    <row r="73" spans="1:29" s="112" customFormat="1" ht="15.75" thickTop="1">
      <c r="A73" s="535"/>
      <c r="B73" s="494">
        <f>B23</f>
        <v>111</v>
      </c>
      <c r="C73" s="505"/>
      <c r="D73" s="505"/>
      <c r="E73" s="505"/>
      <c r="F73" s="505"/>
      <c r="G73" s="510"/>
      <c r="H73" s="510"/>
      <c r="I73" s="510"/>
      <c r="J73" s="510"/>
      <c r="K73" s="510"/>
      <c r="L73" s="536"/>
      <c r="M73" s="537"/>
      <c r="N73" s="2930"/>
      <c r="O73" s="2930"/>
      <c r="P73" s="2940"/>
      <c r="Q73" s="2917"/>
      <c r="R73" s="2837"/>
      <c r="S73" s="2837"/>
      <c r="T73" s="2837"/>
      <c r="U73" s="2837"/>
      <c r="V73" s="2837"/>
      <c r="W73" s="2837"/>
      <c r="X73" s="2837"/>
      <c r="Y73" s="2837"/>
      <c r="Z73" s="2837"/>
      <c r="AA73" s="2837"/>
      <c r="AB73" s="2837"/>
      <c r="AC73" s="2837"/>
    </row>
    <row r="74" spans="1:29" s="112" customFormat="1" ht="15.75" thickBot="1">
      <c r="A74" s="535"/>
      <c r="B74" s="499"/>
      <c r="C74" s="516"/>
      <c r="D74" s="492"/>
      <c r="E74" s="492"/>
      <c r="F74" s="492"/>
      <c r="G74" s="492"/>
      <c r="H74" s="492"/>
      <c r="I74" s="492"/>
      <c r="J74" s="492"/>
      <c r="K74" s="492"/>
      <c r="L74" s="492"/>
      <c r="M74" s="493"/>
      <c r="N74" s="2932"/>
      <c r="O74" s="2932"/>
      <c r="P74" s="2940"/>
      <c r="Q74" s="2917"/>
      <c r="R74" s="2837"/>
      <c r="S74" s="2837"/>
      <c r="T74" s="2837"/>
      <c r="U74" s="2837"/>
      <c r="V74" s="2837"/>
      <c r="W74" s="2837"/>
      <c r="X74" s="2837"/>
      <c r="Y74" s="2837"/>
      <c r="Z74" s="2837"/>
      <c r="AA74" s="2837"/>
      <c r="AB74" s="2837"/>
      <c r="AC74" s="2837"/>
    </row>
    <row r="75" spans="1:29" s="112" customFormat="1" ht="15.75" thickTop="1">
      <c r="A75" s="535"/>
      <c r="B75" s="494">
        <f>B24</f>
        <v>111</v>
      </c>
      <c r="C75" s="505"/>
      <c r="D75" s="505"/>
      <c r="E75" s="505"/>
      <c r="F75" s="505"/>
      <c r="G75" s="510"/>
      <c r="H75" s="510"/>
      <c r="I75" s="510"/>
      <c r="J75" s="510"/>
      <c r="K75" s="510"/>
      <c r="L75" s="510"/>
      <c r="M75" s="537"/>
      <c r="N75" s="2930"/>
      <c r="O75" s="2930"/>
      <c r="P75" s="2940"/>
      <c r="Q75" s="2917"/>
      <c r="R75" s="2837"/>
      <c r="S75" s="2837"/>
      <c r="T75" s="2837"/>
      <c r="U75" s="2837"/>
      <c r="V75" s="2837"/>
      <c r="W75" s="2837"/>
      <c r="X75" s="2837"/>
      <c r="Y75" s="2837"/>
      <c r="Z75" s="2837"/>
      <c r="AA75" s="2837"/>
      <c r="AB75" s="2837"/>
      <c r="AC75" s="2837"/>
    </row>
    <row r="76" spans="1:29" s="112" customFormat="1" ht="15.75" thickBot="1">
      <c r="A76" s="535"/>
      <c r="B76" s="499"/>
      <c r="C76" s="516"/>
      <c r="D76" s="492"/>
      <c r="E76" s="492"/>
      <c r="F76" s="492"/>
      <c r="G76" s="492"/>
      <c r="H76" s="492"/>
      <c r="I76" s="492"/>
      <c r="J76" s="492"/>
      <c r="K76" s="492"/>
      <c r="L76" s="492"/>
      <c r="M76" s="493"/>
      <c r="N76" s="2932"/>
      <c r="O76" s="2932"/>
      <c r="P76" s="2940"/>
      <c r="Q76" s="2917"/>
      <c r="R76" s="2837"/>
      <c r="S76" s="2837"/>
      <c r="T76" s="2837"/>
      <c r="U76" s="2837"/>
      <c r="V76" s="2837"/>
      <c r="W76" s="2837"/>
      <c r="X76" s="2837"/>
      <c r="Y76" s="2837"/>
      <c r="Z76" s="2837"/>
      <c r="AA76" s="2837"/>
      <c r="AB76" s="2837"/>
      <c r="AC76" s="2837"/>
    </row>
    <row r="77" spans="1:29" s="429" customFormat="1" ht="15.75" thickTop="1">
      <c r="A77" s="509"/>
      <c r="B77" s="494">
        <f>B25</f>
        <v>111</v>
      </c>
      <c r="C77" s="510"/>
      <c r="D77" s="510"/>
      <c r="E77" s="510"/>
      <c r="F77" s="510"/>
      <c r="G77" s="510"/>
      <c r="H77" s="511"/>
      <c r="I77" s="511"/>
      <c r="J77" s="511"/>
      <c r="K77" s="511"/>
      <c r="L77" s="512"/>
      <c r="M77" s="513"/>
      <c r="N77" s="2933"/>
      <c r="O77" s="2933"/>
      <c r="P77" s="2941"/>
      <c r="Q77" s="2924"/>
      <c r="R77" s="2925"/>
      <c r="S77" s="2925"/>
      <c r="T77" s="2925"/>
      <c r="U77" s="2925"/>
      <c r="V77" s="2925"/>
      <c r="W77" s="2925"/>
      <c r="X77" s="2925"/>
      <c r="Y77" s="2925"/>
      <c r="Z77" s="2925"/>
      <c r="AA77" s="2925"/>
      <c r="AB77" s="2925"/>
      <c r="AC77" s="2925"/>
    </row>
    <row r="78" spans="1:29" s="429" customFormat="1" ht="15.75" thickBot="1">
      <c r="A78" s="509"/>
      <c r="B78" s="499"/>
      <c r="C78" s="516"/>
      <c r="D78" s="516"/>
      <c r="E78" s="516"/>
      <c r="F78" s="516"/>
      <c r="G78" s="492"/>
      <c r="H78" s="492"/>
      <c r="I78" s="492"/>
      <c r="J78" s="492"/>
      <c r="K78" s="492"/>
      <c r="L78" s="492"/>
      <c r="M78" s="493"/>
      <c r="N78" s="2933"/>
      <c r="O78" s="2933"/>
      <c r="P78" s="2941"/>
      <c r="Q78" s="2924"/>
      <c r="R78" s="2925"/>
      <c r="S78" s="2925"/>
      <c r="T78" s="2925"/>
      <c r="U78" s="2925"/>
      <c r="V78" s="2925"/>
      <c r="W78" s="2925"/>
      <c r="X78" s="2925"/>
      <c r="Y78" s="2925"/>
      <c r="Z78" s="2925"/>
      <c r="AA78" s="2925"/>
      <c r="AB78" s="2925"/>
      <c r="AC78" s="2925"/>
    </row>
    <row r="79" spans="1:29" ht="27.75" thickTop="1">
      <c r="A79" s="483" t="s">
        <v>2143</v>
      </c>
      <c r="B79" s="484" t="s">
        <v>2310</v>
      </c>
      <c r="C79" s="485" t="str">
        <f>C26</f>
        <v>住宅</v>
      </c>
      <c r="D79" s="486"/>
      <c r="E79" s="486"/>
      <c r="F79" s="486"/>
      <c r="G79" s="486"/>
      <c r="H79" s="486"/>
      <c r="I79" s="486"/>
      <c r="J79" s="486"/>
      <c r="K79" s="487"/>
      <c r="L79" s="488"/>
      <c r="M79" s="489"/>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0"/>
      <c r="B81" s="494" t="s">
        <v>2311</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29" customFormat="1" ht="15.75" thickBot="1">
      <c r="A82" s="509"/>
      <c r="B82" s="499"/>
      <c r="C82" s="516"/>
      <c r="D82" s="492"/>
      <c r="E82" s="492"/>
      <c r="F82" s="492"/>
      <c r="G82" s="492"/>
      <c r="H82" s="492"/>
      <c r="I82" s="492"/>
      <c r="J82" s="492"/>
      <c r="K82" s="492"/>
      <c r="L82" s="492"/>
      <c r="M82" s="493"/>
      <c r="N82" s="2932"/>
      <c r="O82" s="2932"/>
      <c r="P82" s="2941"/>
      <c r="Q82" s="2924"/>
      <c r="R82" s="2925"/>
      <c r="S82" s="2925"/>
      <c r="T82" s="2925"/>
      <c r="U82" s="2925"/>
      <c r="V82" s="2925"/>
      <c r="W82" s="2925"/>
      <c r="X82" s="2925"/>
      <c r="Y82" s="2925"/>
      <c r="Z82" s="2925"/>
      <c r="AA82" s="2925"/>
      <c r="AB82" s="2925"/>
      <c r="AC82" s="2925"/>
    </row>
    <row r="83" spans="1:29" ht="15" thickTop="1">
      <c r="A83" s="555"/>
      <c r="B83" s="494" t="s">
        <v>2196</v>
      </c>
      <c r="C83" s="510"/>
      <c r="D83" s="510"/>
      <c r="E83" s="539"/>
      <c r="F83" s="539"/>
      <c r="G83" s="539"/>
      <c r="H83" s="539"/>
      <c r="I83" s="539"/>
      <c r="J83" s="539"/>
      <c r="K83" s="540"/>
      <c r="L83" s="541"/>
      <c r="M83" s="542"/>
      <c r="N83" s="2931"/>
      <c r="O83" s="2931"/>
      <c r="P83" s="2940"/>
      <c r="Q83" s="2917"/>
      <c r="R83" s="2903"/>
      <c r="S83" s="2903"/>
      <c r="T83" s="2903"/>
      <c r="U83" s="2903"/>
      <c r="V83" s="2903"/>
      <c r="W83" s="2903"/>
      <c r="X83" s="2903"/>
      <c r="Y83" s="2903"/>
      <c r="Z83" s="2903"/>
      <c r="AA83" s="2903"/>
      <c r="AB83" s="2903"/>
      <c r="AC83" s="290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1"/>
      <c r="O85" s="2931"/>
      <c r="P85" s="2940"/>
      <c r="Q85" s="2917"/>
      <c r="R85" s="2903"/>
      <c r="S85" s="2903"/>
      <c r="T85" s="2903"/>
      <c r="U85" s="2903"/>
      <c r="V85" s="2903"/>
      <c r="W85" s="2903"/>
      <c r="X85" s="2903"/>
      <c r="Y85" s="2903"/>
      <c r="Z85" s="2903"/>
      <c r="AA85" s="2903"/>
      <c r="AB85" s="2903"/>
      <c r="AC85" s="2903"/>
    </row>
    <row r="86" spans="1:29">
      <c r="A86" s="555"/>
      <c r="B86" s="502"/>
      <c r="C86" s="559">
        <v>0.5</v>
      </c>
      <c r="D86" s="559">
        <v>0.6</v>
      </c>
      <c r="E86" s="559">
        <v>0.7</v>
      </c>
      <c r="F86" s="559">
        <v>0.8</v>
      </c>
      <c r="G86" s="559">
        <v>0.9</v>
      </c>
      <c r="H86" s="559">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0"/>
      <c r="B87" s="499"/>
      <c r="C87" s="538">
        <v>100</v>
      </c>
      <c r="D87" s="500">
        <f>C87+$K$29</f>
        <v>102</v>
      </c>
      <c r="E87" s="500">
        <f t="shared" ref="E87:M87" si="19">D87+$K$29</f>
        <v>104</v>
      </c>
      <c r="F87" s="500">
        <f t="shared" si="19"/>
        <v>106</v>
      </c>
      <c r="G87" s="500">
        <f t="shared" si="19"/>
        <v>108</v>
      </c>
      <c r="H87" s="500">
        <f t="shared" si="19"/>
        <v>110</v>
      </c>
      <c r="I87" s="500">
        <f t="shared" si="19"/>
        <v>112</v>
      </c>
      <c r="J87" s="500">
        <f t="shared" si="19"/>
        <v>114</v>
      </c>
      <c r="K87" s="500">
        <f t="shared" si="19"/>
        <v>116</v>
      </c>
      <c r="L87" s="500">
        <f t="shared" si="19"/>
        <v>118</v>
      </c>
      <c r="M87" s="500">
        <f t="shared" si="19"/>
        <v>120</v>
      </c>
      <c r="N87" s="2932"/>
      <c r="O87" s="2932"/>
      <c r="P87" s="2940"/>
      <c r="Q87" s="2917"/>
      <c r="R87" s="2903"/>
      <c r="S87" s="2903"/>
      <c r="T87" s="2903"/>
      <c r="U87" s="2903"/>
      <c r="V87" s="2903"/>
      <c r="W87" s="2903"/>
      <c r="X87" s="2903"/>
      <c r="Y87" s="2903"/>
      <c r="Z87" s="2903"/>
      <c r="AA87" s="2903"/>
      <c r="AB87" s="2903"/>
      <c r="AC87" s="2903"/>
    </row>
    <row r="88" spans="1:29" ht="15" thickTop="1">
      <c r="A88" s="555"/>
      <c r="B88" s="502" t="s">
        <v>2313</v>
      </c>
      <c r="C88" s="486"/>
      <c r="D88" s="486"/>
      <c r="E88" s="486"/>
      <c r="F88" s="486"/>
      <c r="G88" s="486"/>
      <c r="H88" s="486"/>
      <c r="I88" s="486"/>
      <c r="J88" s="486"/>
      <c r="K88" s="487"/>
      <c r="L88" s="488"/>
      <c r="M88" s="489"/>
      <c r="N88" s="2931"/>
      <c r="O88" s="2931"/>
      <c r="P88" s="2940"/>
      <c r="Q88" s="2917"/>
      <c r="R88" s="2903"/>
      <c r="S88" s="2903"/>
      <c r="T88" s="2903"/>
      <c r="U88" s="2903"/>
      <c r="V88" s="2903"/>
      <c r="W88" s="2903"/>
      <c r="X88" s="2903"/>
      <c r="Y88" s="2903"/>
      <c r="Z88" s="2903"/>
      <c r="AA88" s="2903"/>
      <c r="AB88" s="2903"/>
      <c r="AC88" s="290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2"/>
      <c r="O89" s="2932"/>
      <c r="P89" s="2940"/>
      <c r="Q89" s="2917"/>
      <c r="R89" s="2903"/>
      <c r="S89" s="2903"/>
      <c r="T89" s="2903"/>
      <c r="U89" s="2903"/>
      <c r="V89" s="2903"/>
      <c r="W89" s="2903"/>
      <c r="X89" s="2903"/>
      <c r="Y89" s="2903"/>
      <c r="Z89" s="2903"/>
      <c r="AA89" s="2903"/>
      <c r="AB89" s="2903"/>
      <c r="AC89" s="2903"/>
    </row>
    <row r="90" spans="1:29" s="429" customFormat="1" ht="15" thickTop="1">
      <c r="A90" s="549"/>
      <c r="B90" s="494" t="s">
        <v>2314</v>
      </c>
      <c r="C90" s="534" t="str">
        <f>C91&amp;"(含)"&amp;"-"&amp;D91</f>
        <v>0(含)-30</v>
      </c>
      <c r="D90" s="534" t="str">
        <f t="shared" ref="D90:L90" si="21">D91&amp;"(含)"&amp;"-"&amp;E91</f>
        <v>30(含)-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29" customFormat="1">
      <c r="A91" s="549"/>
      <c r="B91" s="502"/>
      <c r="C91" s="551">
        <v>0</v>
      </c>
      <c r="D91" s="551">
        <v>30</v>
      </c>
      <c r="E91" s="551"/>
      <c r="F91" s="551"/>
      <c r="G91" s="551"/>
      <c r="H91" s="551"/>
      <c r="I91" s="551"/>
      <c r="J91" s="552"/>
      <c r="K91" s="552"/>
      <c r="L91" s="553"/>
      <c r="M91" s="554"/>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16"/>
      <c r="D92" s="492"/>
      <c r="E92" s="492"/>
      <c r="F92" s="492"/>
      <c r="G92" s="492"/>
      <c r="H92" s="492"/>
      <c r="I92" s="492"/>
      <c r="J92" s="492"/>
      <c r="K92" s="492"/>
      <c r="L92" s="492"/>
      <c r="M92" s="493"/>
      <c r="N92" s="2933"/>
      <c r="O92" s="2933"/>
      <c r="P92" s="2941"/>
      <c r="Q92" s="2924"/>
      <c r="R92" s="2925"/>
      <c r="S92" s="2925"/>
      <c r="T92" s="2925"/>
      <c r="U92" s="2925"/>
      <c r="V92" s="2925"/>
      <c r="W92" s="2925"/>
      <c r="X92" s="2925"/>
      <c r="Y92" s="2925"/>
      <c r="Z92" s="2925"/>
      <c r="AA92" s="2925"/>
      <c r="AB92" s="2925"/>
      <c r="AC92" s="2925"/>
    </row>
    <row r="93" spans="1:29" ht="15" thickTop="1">
      <c r="A93" s="555"/>
      <c r="B93" s="494" t="s">
        <v>2315</v>
      </c>
      <c r="C93" s="510"/>
      <c r="D93" s="510"/>
      <c r="E93" s="539"/>
      <c r="F93" s="539"/>
      <c r="G93" s="539"/>
      <c r="H93" s="539"/>
      <c r="I93" s="539"/>
      <c r="J93" s="539"/>
      <c r="K93" s="540"/>
      <c r="L93" s="541"/>
      <c r="M93" s="542"/>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5"/>
      <c r="B95" s="494" t="s">
        <v>2316</v>
      </c>
      <c r="C95" s="486"/>
      <c r="D95" s="486"/>
      <c r="E95" s="486"/>
      <c r="F95" s="486"/>
      <c r="G95" s="486"/>
      <c r="H95" s="486"/>
      <c r="I95" s="486"/>
      <c r="J95" s="486"/>
      <c r="K95" s="487"/>
      <c r="L95" s="488"/>
      <c r="M95" s="489"/>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2"/>
      <c r="O96" s="2932"/>
      <c r="P96" s="2940"/>
      <c r="Q96" s="2917"/>
      <c r="R96" s="2903"/>
      <c r="S96" s="2903"/>
      <c r="T96" s="2903"/>
      <c r="U96" s="2903"/>
      <c r="V96" s="2903"/>
      <c r="W96" s="2903"/>
      <c r="X96" s="2903"/>
      <c r="Y96" s="2903"/>
      <c r="Z96" s="2903"/>
      <c r="AA96" s="2903"/>
      <c r="AB96" s="2903"/>
      <c r="AC96" s="2903"/>
    </row>
    <row r="97" spans="1:29" ht="15" thickTop="1">
      <c r="A97" s="555"/>
      <c r="B97" s="591">
        <f>B34</f>
        <v>111</v>
      </c>
      <c r="C97" s="505"/>
      <c r="D97" s="505"/>
      <c r="E97" s="505"/>
      <c r="F97" s="505"/>
      <c r="G97" s="510"/>
      <c r="H97" s="511"/>
      <c r="I97" s="511"/>
      <c r="J97" s="511"/>
      <c r="K97" s="511"/>
      <c r="L97" s="512"/>
      <c r="M97" s="513"/>
      <c r="N97" s="2932"/>
      <c r="O97" s="2932"/>
      <c r="P97" s="2945"/>
      <c r="Q97" s="2946"/>
      <c r="R97" s="2903"/>
      <c r="S97" s="2903"/>
      <c r="T97" s="2903"/>
      <c r="U97" s="2903"/>
      <c r="V97" s="2903"/>
      <c r="W97" s="2903"/>
      <c r="X97" s="2903"/>
      <c r="Y97" s="2903"/>
      <c r="Z97" s="2903"/>
      <c r="AA97" s="2903"/>
      <c r="AB97" s="2903"/>
      <c r="AC97" s="2903"/>
    </row>
    <row r="98" spans="1:29" ht="15.75" thickBot="1">
      <c r="A98" s="490"/>
      <c r="B98" s="499"/>
      <c r="C98" s="516"/>
      <c r="D98" s="492"/>
      <c r="E98" s="492"/>
      <c r="F98" s="492"/>
      <c r="G98" s="516"/>
      <c r="H98" s="518"/>
      <c r="I98" s="518"/>
      <c r="J98" s="518"/>
      <c r="K98" s="518"/>
      <c r="L98" s="518"/>
      <c r="M98" s="519"/>
      <c r="N98" s="2932"/>
      <c r="O98" s="2932"/>
      <c r="P98" s="2940"/>
      <c r="Q98" s="2917"/>
      <c r="R98" s="2903"/>
      <c r="S98" s="2903"/>
      <c r="T98" s="2903"/>
      <c r="U98" s="2903"/>
      <c r="V98" s="2903"/>
      <c r="W98" s="2903"/>
      <c r="X98" s="2903"/>
      <c r="Y98" s="2903"/>
      <c r="Z98" s="2903"/>
      <c r="AA98" s="2903"/>
      <c r="AB98" s="2903"/>
      <c r="AC98" s="2903"/>
    </row>
    <row r="99" spans="1:29" s="429" customFormat="1" ht="15" thickTop="1">
      <c r="A99" s="549"/>
      <c r="B99" s="494">
        <f>B35</f>
        <v>111</v>
      </c>
      <c r="C99" s="505"/>
      <c r="D99" s="505"/>
      <c r="E99" s="505"/>
      <c r="F99" s="505"/>
      <c r="G99" s="510"/>
      <c r="H99" s="511"/>
      <c r="I99" s="511"/>
      <c r="J99" s="511"/>
      <c r="K99" s="511"/>
      <c r="L99" s="512"/>
      <c r="M99" s="513"/>
      <c r="N99" s="2933"/>
      <c r="O99" s="2933"/>
      <c r="P99" s="2941"/>
      <c r="Q99" s="2924"/>
      <c r="R99" s="2925"/>
      <c r="S99" s="2925"/>
      <c r="T99" s="2925"/>
      <c r="U99" s="2925"/>
      <c r="V99" s="2925"/>
      <c r="W99" s="2925"/>
      <c r="X99" s="2925"/>
      <c r="Y99" s="2925"/>
      <c r="Z99" s="2925"/>
      <c r="AA99" s="2925"/>
      <c r="AB99" s="2925"/>
      <c r="AC99" s="2925"/>
    </row>
    <row r="100" spans="1:29" s="429" customFormat="1" ht="15.75" thickBot="1">
      <c r="A100" s="509"/>
      <c r="B100" s="491"/>
      <c r="C100" s="516"/>
      <c r="D100" s="492"/>
      <c r="E100" s="492"/>
      <c r="F100" s="492"/>
      <c r="G100" s="516"/>
      <c r="H100" s="518"/>
      <c r="I100" s="518"/>
      <c r="J100" s="518"/>
      <c r="K100" s="518"/>
      <c r="L100" s="518"/>
      <c r="M100" s="519"/>
      <c r="N100" s="2933"/>
      <c r="O100" s="2933"/>
      <c r="P100" s="2941"/>
      <c r="Q100" s="2924"/>
      <c r="R100" s="2925"/>
      <c r="S100" s="2925"/>
      <c r="T100" s="2925"/>
      <c r="U100" s="2925"/>
      <c r="V100" s="2925"/>
      <c r="W100" s="2925"/>
      <c r="X100" s="2925"/>
      <c r="Y100" s="2925"/>
      <c r="Z100" s="2925"/>
      <c r="AA100" s="2925"/>
      <c r="AB100" s="2925"/>
      <c r="AC100" s="2925"/>
    </row>
    <row r="101" spans="1:29" ht="15" thickTop="1">
      <c r="A101" s="555"/>
      <c r="B101" s="494">
        <f>B36</f>
        <v>111</v>
      </c>
      <c r="C101" s="510"/>
      <c r="D101" s="510"/>
      <c r="E101" s="510"/>
      <c r="F101" s="510"/>
      <c r="G101" s="510"/>
      <c r="H101" s="511"/>
      <c r="I101" s="511"/>
      <c r="J101" s="511"/>
      <c r="K101" s="511"/>
      <c r="L101" s="512"/>
      <c r="M101" s="513"/>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16"/>
      <c r="D102" s="516"/>
      <c r="E102" s="516"/>
      <c r="F102" s="516"/>
      <c r="G102" s="516"/>
      <c r="H102" s="518"/>
      <c r="I102" s="518"/>
      <c r="J102" s="518"/>
      <c r="K102" s="518"/>
      <c r="L102" s="518"/>
      <c r="M102" s="519"/>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160" priority="18" stopIfTrue="1" operator="containsText" text="超过">
      <formula>NOT(ISERROR(SEARCH("超过",F42)))</formula>
    </cfRule>
  </conditionalFormatting>
  <conditionalFormatting sqref="J44">
    <cfRule type="containsText" dxfId="159" priority="17" stopIfTrue="1" operator="containsText" text="超过">
      <formula>NOT(ISERROR(SEARCH("超过",J44)))</formula>
    </cfRule>
  </conditionalFormatting>
  <conditionalFormatting sqref="H44">
    <cfRule type="containsText" dxfId="158" priority="16" stopIfTrue="1" operator="containsText" text="超过">
      <formula>NOT(ISERROR(SEARCH("超过",H44)))</formula>
    </cfRule>
  </conditionalFormatting>
  <conditionalFormatting sqref="F44">
    <cfRule type="containsText" dxfId="157" priority="15" stopIfTrue="1" operator="containsText" text="超过">
      <formula>NOT(ISERROR(SEARCH("超过",F44)))</formula>
    </cfRule>
  </conditionalFormatting>
  <conditionalFormatting sqref="F43 H43 J43">
    <cfRule type="containsText" dxfId="156" priority="14" stopIfTrue="1" operator="containsText" text="超过">
      <formula>NOT(ISERROR(SEARCH("超过",F43)))</formula>
    </cfRule>
  </conditionalFormatting>
  <conditionalFormatting sqref="E42">
    <cfRule type="expression" dxfId="155" priority="13" stopIfTrue="1">
      <formula>$F$42="超过30%"</formula>
    </cfRule>
  </conditionalFormatting>
  <conditionalFormatting sqref="G44">
    <cfRule type="expression" dxfId="154" priority="12" stopIfTrue="1">
      <formula>$H$54+$H$44="超过30%"</formula>
    </cfRule>
  </conditionalFormatting>
  <conditionalFormatting sqref="E43">
    <cfRule type="expression" dxfId="153" priority="11" stopIfTrue="1">
      <formula>$F$43="超过20%"</formula>
    </cfRule>
  </conditionalFormatting>
  <conditionalFormatting sqref="E44">
    <cfRule type="expression" dxfId="152" priority="10" stopIfTrue="1">
      <formula>$F$44="超过30%"</formula>
    </cfRule>
  </conditionalFormatting>
  <conditionalFormatting sqref="G42">
    <cfRule type="expression" dxfId="151" priority="9" stopIfTrue="1">
      <formula>$H$52+$H$42="超过30%"</formula>
    </cfRule>
  </conditionalFormatting>
  <conditionalFormatting sqref="G43">
    <cfRule type="expression" dxfId="150" priority="8" stopIfTrue="1">
      <formula>$H$43="超过20%"</formula>
    </cfRule>
  </conditionalFormatting>
  <conditionalFormatting sqref="I42">
    <cfRule type="expression" dxfId="149" priority="7" stopIfTrue="1">
      <formula>$J$52+$J$42="超过30%"</formula>
    </cfRule>
  </conditionalFormatting>
  <conditionalFormatting sqref="I43">
    <cfRule type="expression" dxfId="148" priority="6" stopIfTrue="1">
      <formula>$J$53+$J$43="超过20%"</formula>
    </cfRule>
  </conditionalFormatting>
  <conditionalFormatting sqref="I44">
    <cfRule type="expression" dxfId="147" priority="5" stopIfTrue="1">
      <formula>$J$44="超过30%"</formula>
    </cfRule>
  </conditionalFormatting>
  <conditionalFormatting sqref="F38">
    <cfRule type="expression" dxfId="146" priority="4">
      <formula>$D$38="简单平均"</formula>
    </cfRule>
  </conditionalFormatting>
  <conditionalFormatting sqref="H38">
    <cfRule type="expression" dxfId="145" priority="3">
      <formula>$D$38="简单平均"</formula>
    </cfRule>
  </conditionalFormatting>
  <conditionalFormatting sqref="J38">
    <cfRule type="expression" dxfId="144" priority="2">
      <formula>$D$38="简单平均"</formula>
    </cfRule>
  </conditionalFormatting>
  <conditionalFormatting sqref="F7:F36 H7:H36 J7:J36">
    <cfRule type="cellIs" dxfId="14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9" zoomScale="70" zoomScaleNormal="70" zoomScaleSheetLayoutView="70" workbookViewId="0">
      <selection activeCell="H42" sqref="H4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3182</v>
      </c>
      <c r="D1" s="1496" t="s">
        <v>70</v>
      </c>
      <c r="E1" s="1497" t="s">
        <v>1111</v>
      </c>
      <c r="F1" s="1173">
        <f ca="1">J53</f>
        <v>31.93</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f ca="1">ROUND(D2/10000,0)</f>
        <v>7</v>
      </c>
      <c r="C2" s="1521" t="s">
        <v>1315</v>
      </c>
      <c r="D2" s="1605">
        <f ca="1">C40+J29+L46</f>
        <v>68091</v>
      </c>
      <c r="E2" s="1522" t="s">
        <v>1316</v>
      </c>
      <c r="F2" s="1523"/>
      <c r="G2" s="2884"/>
      <c r="H2" s="2873"/>
      <c r="I2" s="2873"/>
      <c r="J2" s="2873"/>
      <c r="K2" s="2874"/>
      <c r="L2" s="2873"/>
      <c r="M2" s="2873"/>
    </row>
    <row r="3" spans="1:37" ht="18" customHeight="1" thickBot="1">
      <c r="A3" s="1524" t="s">
        <v>1317</v>
      </c>
      <c r="B3" s="1525">
        <f ca="1">IF(ISERROR(D2/F43),0,ROUND(D2/F43,0))</f>
        <v>2007</v>
      </c>
      <c r="C3" s="1521" t="s">
        <v>1318</v>
      </c>
      <c r="D3" s="1521"/>
      <c r="E3" s="1522"/>
      <c r="F3" s="1523"/>
      <c r="G3" s="2884"/>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2544</v>
      </c>
      <c r="D5" s="1498" t="s">
        <v>1325</v>
      </c>
      <c r="E5" s="1183"/>
      <c r="F5" s="1184"/>
      <c r="G5" s="1518"/>
      <c r="H5" s="304">
        <v>1</v>
      </c>
      <c r="I5" s="305" t="s">
        <v>1324</v>
      </c>
      <c r="J5" s="1182">
        <f ca="1">J6+J10+J12</f>
        <v>5760</v>
      </c>
      <c r="K5" s="1498" t="s">
        <v>1325</v>
      </c>
      <c r="L5" s="1183"/>
      <c r="M5" s="1184"/>
    </row>
    <row r="6" spans="1:37" ht="18" customHeight="1">
      <c r="A6" s="1181" t="s">
        <v>822</v>
      </c>
      <c r="B6" s="3453" t="s">
        <v>1127</v>
      </c>
      <c r="C6" s="1186">
        <f ca="1">ROUND(F6*F8*F7*(1-F9),0)</f>
        <v>2544</v>
      </c>
      <c r="D6" s="159" t="s">
        <v>2605</v>
      </c>
      <c r="E6" s="307" t="s">
        <v>1129</v>
      </c>
      <c r="F6" s="308">
        <f ca="1">INDIRECT("'数据-取费表'!u"&amp;$G$1)</f>
        <v>212</v>
      </c>
      <c r="G6" s="1518"/>
      <c r="H6" s="1181" t="s">
        <v>822</v>
      </c>
      <c r="I6" s="3453" t="s">
        <v>1127</v>
      </c>
      <c r="J6" s="306">
        <f ca="1">ROUND(M6*M8*M7*(1-M9),0)</f>
        <v>5760</v>
      </c>
      <c r="K6" s="1510" t="s">
        <v>2606</v>
      </c>
      <c r="L6" s="307" t="s">
        <v>1129</v>
      </c>
      <c r="M6" s="308">
        <f ca="1">INDIRECT("'数据-取费表'!z"&amp;$G$1)</f>
        <v>600</v>
      </c>
    </row>
    <row r="7" spans="1:37" ht="18" customHeight="1">
      <c r="A7" s="1185"/>
      <c r="B7" s="3454"/>
      <c r="C7" s="1187"/>
      <c r="D7" s="312"/>
      <c r="E7" s="1188" t="s">
        <v>1130</v>
      </c>
      <c r="F7" s="308">
        <f ca="1">IF(INDIRECT("'数据-取费表'!ah"&amp;$G$1)="",INDIRECT("'数据-取费表'!k"&amp;$G$1),INDIRECT("'数据-取费表'!ah"&amp;$G$1))</f>
        <v>1</v>
      </c>
      <c r="G7" s="1518"/>
      <c r="H7" s="309"/>
      <c r="I7" s="3454"/>
      <c r="J7" s="311"/>
      <c r="K7" s="312"/>
      <c r="L7" s="307" t="s">
        <v>1130</v>
      </c>
      <c r="M7" s="308">
        <f ca="1">F7</f>
        <v>1</v>
      </c>
    </row>
    <row r="8" spans="1:37" ht="18" customHeight="1">
      <c r="A8" s="309"/>
      <c r="B8" s="3454"/>
      <c r="C8" s="311"/>
      <c r="D8" s="312"/>
      <c r="E8" s="307" t="s">
        <v>1131</v>
      </c>
      <c r="F8" s="308">
        <f ca="1">INDIRECT("'数据-取费表'!ai"&amp;$G$1)</f>
        <v>12</v>
      </c>
      <c r="G8" s="1518"/>
      <c r="H8" s="309"/>
      <c r="I8" s="3454"/>
      <c r="J8" s="311"/>
      <c r="K8" s="312"/>
      <c r="L8" s="307" t="s">
        <v>1131</v>
      </c>
      <c r="M8" s="308">
        <f ca="1">INDIRECT("'数据-取费表'!ai"&amp;$G$1)</f>
        <v>12</v>
      </c>
    </row>
    <row r="9" spans="1:37" ht="18" customHeight="1">
      <c r="A9" s="309"/>
      <c r="B9" s="3455"/>
      <c r="C9" s="311"/>
      <c r="D9" s="312"/>
      <c r="E9" s="307" t="s">
        <v>1132</v>
      </c>
      <c r="F9" s="317">
        <f ca="1">INDIRECT("'数据-取费表'!w"&amp;$G$1)</f>
        <v>0</v>
      </c>
      <c r="G9" s="1518"/>
      <c r="H9" s="309"/>
      <c r="I9" s="3455"/>
      <c r="J9" s="311"/>
      <c r="K9" s="312"/>
      <c r="L9" s="318" t="s">
        <v>1132</v>
      </c>
      <c r="M9" s="319">
        <f ca="1">INDIRECT("'数据-取费表'!ab"&amp;$G$1)</f>
        <v>0.2</v>
      </c>
    </row>
    <row r="10" spans="1:37" ht="18" customHeight="1">
      <c r="A10" s="1181" t="s">
        <v>826</v>
      </c>
      <c r="B10" s="1499" t="s">
        <v>1133</v>
      </c>
      <c r="C10" s="321">
        <f ca="1">ROUND(IF(F10="押一",C6/12*F11,IF(F10="押二",C6/12*2*F11,IF(F10="押三",C6/12*3*F11,C11*F11))),0)</f>
        <v>0</v>
      </c>
      <c r="D10" s="1500" t="s">
        <v>2615</v>
      </c>
      <c r="E10" s="318" t="s">
        <v>1134</v>
      </c>
      <c r="F10" s="1228" t="s">
        <v>4106</v>
      </c>
      <c r="G10" s="1518"/>
      <c r="H10" s="1181" t="s">
        <v>826</v>
      </c>
      <c r="I10" s="1499" t="s">
        <v>1133</v>
      </c>
      <c r="J10" s="306">
        <f ca="1">ROUND(IF(M10="押一",J6/12*M11,IF(M10="押二",J6/12*2*M11,IF(M10="押三",J6/12*3*M11,J11*M11))),0)</f>
        <v>0</v>
      </c>
      <c r="K10" s="1511" t="s">
        <v>2617</v>
      </c>
      <c r="L10" s="318" t="s">
        <v>1134</v>
      </c>
      <c r="M10" s="1228" t="s">
        <v>4106</v>
      </c>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115064</v>
      </c>
      <c r="D13" s="1193" t="s">
        <v>1139</v>
      </c>
      <c r="E13" s="1193" t="s">
        <v>1140</v>
      </c>
      <c r="F13" s="1194">
        <f ca="1">INDIRECT("'数据-取费表'!y"&amp;$G$1)</f>
        <v>0.73</v>
      </c>
      <c r="G13" s="1518"/>
      <c r="H13" s="1191">
        <v>2</v>
      </c>
      <c r="I13" s="1192" t="s">
        <v>1138</v>
      </c>
      <c r="J13" s="1180">
        <f ca="1">ROUND(J14*J15,0)</f>
        <v>107183</v>
      </c>
      <c r="K13" s="1199" t="s">
        <v>1139</v>
      </c>
      <c r="L13" s="1526"/>
      <c r="M13" s="1527"/>
    </row>
    <row r="14" spans="1:37" ht="18" customHeight="1">
      <c r="A14" s="1093" t="s">
        <v>821</v>
      </c>
      <c r="B14" s="307" t="s">
        <v>1141</v>
      </c>
      <c r="C14" s="323">
        <f ca="1">ROUND(INDIRECT("'数据-取费表'!l"&amp;$G$1)*F43+'数据-取费表'!L14*INDIRECT("'数据-取费表'!S"&amp;$G$1),0)</f>
        <v>118755</v>
      </c>
      <c r="D14" s="1479" t="s">
        <v>1142</v>
      </c>
      <c r="E14" s="1476"/>
      <c r="F14" s="324"/>
      <c r="G14" s="1518"/>
      <c r="H14" s="1093" t="s">
        <v>822</v>
      </c>
      <c r="I14" s="307" t="s">
        <v>1143</v>
      </c>
      <c r="J14" s="24">
        <f ca="1">C29</f>
        <v>157622</v>
      </c>
      <c r="K14" s="15"/>
      <c r="L14" s="896"/>
      <c r="M14" s="897"/>
    </row>
    <row r="15" spans="1:37" s="1531" customFormat="1" ht="18" customHeight="1" thickBot="1">
      <c r="A15" s="1093" t="s">
        <v>823</v>
      </c>
      <c r="B15" s="307" t="s">
        <v>1144</v>
      </c>
      <c r="C15" s="24">
        <f ca="1">ROUND(C14*F15,0)</f>
        <v>3563</v>
      </c>
      <c r="D15" s="325" t="s">
        <v>1145</v>
      </c>
      <c r="E15" s="325" t="s">
        <v>1146</v>
      </c>
      <c r="F15" s="326">
        <f>'数据-取费表'!B33</f>
        <v>0.03</v>
      </c>
      <c r="G15" s="1530"/>
      <c r="H15" s="1201" t="s">
        <v>826</v>
      </c>
      <c r="I15" s="1202" t="s">
        <v>1140</v>
      </c>
      <c r="J15" s="1211">
        <f ca="1">INDIRECT("'数据-取费表'!ad"&amp;$G$1)</f>
        <v>0.68</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1943</v>
      </c>
      <c r="K16" s="1199" t="s">
        <v>1149</v>
      </c>
      <c r="L16" s="1200"/>
      <c r="M16" s="1184"/>
    </row>
    <row r="17" spans="1:37" s="1531" customFormat="1" ht="18" customHeight="1">
      <c r="A17" s="1093" t="s">
        <v>1114</v>
      </c>
      <c r="B17" s="307" t="s">
        <v>1150</v>
      </c>
      <c r="C17" s="24">
        <f ca="1">ROUND(F17*(F43+INDIRECT("'数据-取费表'!S"&amp;$G$1)),0)</f>
        <v>6786</v>
      </c>
      <c r="D17" s="307" t="s">
        <v>1151</v>
      </c>
      <c r="E17" s="307" t="s">
        <v>1152</v>
      </c>
      <c r="F17" s="26">
        <f>'数据-取费表'!B35</f>
        <v>200</v>
      </c>
      <c r="G17" s="1530"/>
      <c r="H17" s="1093" t="s">
        <v>822</v>
      </c>
      <c r="I17" s="307" t="s">
        <v>1153</v>
      </c>
      <c r="J17" s="2484">
        <f ca="1">ROUND(IF(AND(项目基本情况!B11="自然人",项目基本情况!B10="北京市"),J6*M17/(1+'数据-取费表'!C42),J18+J19+J20),0)</f>
        <v>990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1781</v>
      </c>
      <c r="D18" s="307" t="s">
        <v>1145</v>
      </c>
      <c r="E18" s="307" t="s">
        <v>1146</v>
      </c>
      <c r="F18" s="327">
        <f>'数据-取费表'!B36</f>
        <v>1.4999999999999999E-2</v>
      </c>
      <c r="G18" s="1530"/>
      <c r="H18" s="1093" t="s">
        <v>821</v>
      </c>
      <c r="I18" s="307" t="s">
        <v>1157</v>
      </c>
      <c r="J18" s="24">
        <f ca="1">ROUND(J6*M18/(1+'数据-取费表'!C42),0)</f>
        <v>307</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130885</v>
      </c>
      <c r="D19" s="135" t="s">
        <v>1160</v>
      </c>
      <c r="E19" s="1494"/>
      <c r="F19" s="26"/>
      <c r="G19" s="1518"/>
      <c r="H19" s="1093" t="s">
        <v>823</v>
      </c>
      <c r="I19" s="307" t="s">
        <v>1161</v>
      </c>
      <c r="J19" s="24">
        <f ca="1">IF(K19="按租金收入计税",ROUND(J6*M19/(1+'数据-取费表'!C42),0),ROUND(C29*M19*0.7,0))</f>
        <v>658</v>
      </c>
      <c r="K19" s="1504" t="s">
        <v>4107</v>
      </c>
      <c r="L19" s="307" t="s">
        <v>1146</v>
      </c>
      <c r="M19" s="327">
        <f>IF(K19="按租金收入计税",'数据-取费表'!B51,'数据-取费表'!B50)</f>
        <v>0.12</v>
      </c>
    </row>
    <row r="20" spans="1:37" s="1531" customFormat="1" ht="18" customHeight="1">
      <c r="A20" s="1093" t="s">
        <v>826</v>
      </c>
      <c r="B20" s="307" t="s">
        <v>1163</v>
      </c>
      <c r="C20" s="24">
        <f ca="1">ROUND(C19*F20,0)</f>
        <v>2618</v>
      </c>
      <c r="D20" s="328" t="s">
        <v>1164</v>
      </c>
      <c r="E20" s="307" t="s">
        <v>1146</v>
      </c>
      <c r="F20" s="327">
        <f>'数据-取费表'!B37</f>
        <v>0.02</v>
      </c>
      <c r="G20" s="1530"/>
      <c r="H20" s="1093" t="s">
        <v>1113</v>
      </c>
      <c r="I20" s="159" t="s">
        <v>1165</v>
      </c>
      <c r="J20" s="25">
        <f ca="1">ROUND(M20*M21,0)</f>
        <v>25</v>
      </c>
      <c r="K20" s="329" t="s">
        <v>1166</v>
      </c>
      <c r="L20" s="307" t="s">
        <v>1167</v>
      </c>
      <c r="M20" s="330">
        <f>'数据-取费表'!B52</f>
        <v>3</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0.02</v>
      </c>
      <c r="G21" s="1530"/>
      <c r="H21" s="331"/>
      <c r="I21" s="316"/>
      <c r="J21" s="29"/>
      <c r="K21" s="332"/>
      <c r="L21" s="307" t="s">
        <v>1171</v>
      </c>
      <c r="M21" s="308">
        <f ca="1">INDIRECT("'数据-取费表'!r"&amp;$G$1)</f>
        <v>8.27</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ROUND(J14*M22,0)</f>
        <v>788</v>
      </c>
      <c r="K22" s="1478" t="s">
        <v>1174</v>
      </c>
      <c r="L22" s="307" t="s">
        <v>1146</v>
      </c>
      <c r="M22" s="333">
        <f ca="1">INDIRECT("'数据-取费表'!Ak"&amp;$G$1)</f>
        <v>5.0000000000000001E-3</v>
      </c>
    </row>
    <row r="23" spans="1:37" s="1531" customFormat="1" ht="18" customHeight="1">
      <c r="A23" s="1093" t="s">
        <v>821</v>
      </c>
      <c r="B23" s="307" t="s">
        <v>1175</v>
      </c>
      <c r="C23" s="24">
        <f ca="1">IF('数据-取费表'!B22&lt;=1,ROUND(C19*F24*F23/2,0)+ROUND(C20*F24*F23/2,0),ROUND(C19*(POWER((1+F24),F23/2)-1),0)+ROUND(C20*(POWER((1+F24),F23/2)-1),0))</f>
        <v>5607</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ROUND(J13*M23,0)</f>
        <v>107</v>
      </c>
      <c r="K23" s="1478" t="s">
        <v>1178</v>
      </c>
      <c r="L23" s="307" t="s">
        <v>1179</v>
      </c>
      <c r="M23" s="335">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ROUND(J5*M24,0)</f>
        <v>58</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4"/>
      <c r="D25" s="135" t="s">
        <v>1186</v>
      </c>
      <c r="E25" s="1494"/>
      <c r="F25" s="26"/>
      <c r="G25" s="1518"/>
      <c r="H25" s="1191" t="s">
        <v>818</v>
      </c>
      <c r="I25" s="1206" t="s">
        <v>1187</v>
      </c>
      <c r="J25" s="315">
        <f ca="1">J5-J16</f>
        <v>3817</v>
      </c>
      <c r="K25" s="1207" t="s">
        <v>1188</v>
      </c>
      <c r="L25" s="1208"/>
      <c r="M25" s="1209"/>
    </row>
    <row r="26" spans="1:37" ht="18" customHeight="1">
      <c r="A26" s="1093" t="s">
        <v>821</v>
      </c>
      <c r="B26" s="307" t="s">
        <v>1189</v>
      </c>
      <c r="C26" s="24">
        <f ca="1">ROUND((C19+C20)*F26,0)</f>
        <v>6675</v>
      </c>
      <c r="D26" s="328" t="s">
        <v>1190</v>
      </c>
      <c r="E26" s="318" t="s">
        <v>1191</v>
      </c>
      <c r="F26" s="317">
        <f ca="1">INDIRECT("'数据-取费表'!q"&amp;$G$1)</f>
        <v>0.05</v>
      </c>
      <c r="G26" s="1518"/>
      <c r="H26" s="304" t="s">
        <v>819</v>
      </c>
      <c r="I26" s="305" t="s">
        <v>1192</v>
      </c>
      <c r="J26" s="306">
        <f ca="1">IF(J5&lt;&gt;0,ROUND(J25*(1-((1+M28)/(1+M26))^M27)/(M26-M28),0),0)</f>
        <v>72229</v>
      </c>
      <c r="K26" s="329" t="s">
        <v>1193</v>
      </c>
      <c r="L26" s="307" t="s">
        <v>1194</v>
      </c>
      <c r="M26" s="317">
        <f ca="1">INDIRECT("'数据-取费表'!I"&amp;$G$1)</f>
        <v>0.05</v>
      </c>
    </row>
    <row r="27" spans="1:37" ht="18" customHeight="1">
      <c r="A27" s="1093" t="s">
        <v>823</v>
      </c>
      <c r="B27" s="307" t="s">
        <v>1195</v>
      </c>
      <c r="C27" s="24">
        <f ca="1">ROUND(F21*F26,4)</f>
        <v>1E-3</v>
      </c>
      <c r="D27" s="328" t="s">
        <v>1196</v>
      </c>
      <c r="E27" s="325"/>
      <c r="F27" s="326"/>
      <c r="G27" s="1518"/>
      <c r="H27" s="309"/>
      <c r="I27" s="310"/>
      <c r="J27" s="311"/>
      <c r="K27" s="337" t="s">
        <v>1197</v>
      </c>
      <c r="L27" s="307" t="s">
        <v>1198</v>
      </c>
      <c r="M27" s="338">
        <f ca="1">INDIRECT("'数据-取费表'!ag"&amp;$G$1)</f>
        <v>28.93</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0.02</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157622</v>
      </c>
      <c r="D29" s="1204"/>
      <c r="E29" s="1202"/>
      <c r="F29" s="1205"/>
      <c r="G29" s="1530"/>
      <c r="H29" s="339" t="s">
        <v>820</v>
      </c>
      <c r="I29" s="340" t="s">
        <v>1203</v>
      </c>
      <c r="J29" s="341">
        <f ca="1">ROUND(J26/(1+F40)^F41,0)</f>
        <v>62394</v>
      </c>
      <c r="K29" s="342" t="s">
        <v>1204</v>
      </c>
      <c r="L29" s="343"/>
      <c r="M29" s="344">
        <f ca="1">INDIRECT("'数据-取费表'!k"&amp;$G$1)</f>
        <v>33.93</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452</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452</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7" t="s">
        <v>1157</v>
      </c>
      <c r="C32" s="24">
        <f ca="1">IF(项目基本情况!B11="自然人","——",ROUND(C6*F32/(1+'数据-取费表'!C42),0))</f>
        <v>136</v>
      </c>
      <c r="D32" s="1478"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IF(项目基本情况!B11="自然人","——",IF(D33="按租金收入计税",ROUND(C6*F33/(1+'数据-取费表'!C42),0),IF(D33="按房产原值计税",ROUND(C29*F33*0.7,0),INDIRECT("'数据-取费表'!Aj"&amp;$G$1))))</f>
        <v>291</v>
      </c>
      <c r="D33" s="1504" t="s">
        <v>4107</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5">
        <f ca="1">IF(项目基本情况!B11="自然人","——",ROUND(F34*F35,))</f>
        <v>25</v>
      </c>
      <c r="D34" s="329" t="s">
        <v>1166</v>
      </c>
      <c r="E34" s="307" t="s">
        <v>1167</v>
      </c>
      <c r="F34" s="330">
        <f>'数据-取费表'!B52</f>
        <v>3</v>
      </c>
      <c r="G34" s="1518"/>
      <c r="H34" s="2875"/>
      <c r="I34" s="1532"/>
      <c r="J34" s="1533"/>
      <c r="K34" s="2880"/>
      <c r="L34" s="2881"/>
      <c r="M34" s="2881"/>
    </row>
    <row r="35" spans="1:18" ht="18" customHeight="1">
      <c r="A35" s="1215"/>
      <c r="B35" s="1213"/>
      <c r="C35" s="29"/>
      <c r="D35" s="332"/>
      <c r="E35" s="307" t="s">
        <v>1171</v>
      </c>
      <c r="F35" s="308">
        <f ca="1">INDIRECT("'数据-取费表'!r"&amp;$G$1)</f>
        <v>8.27</v>
      </c>
      <c r="G35" s="1518"/>
      <c r="H35" s="2875"/>
      <c r="I35" s="1532"/>
      <c r="J35" s="1533"/>
      <c r="K35" s="2879"/>
      <c r="L35" s="2878"/>
      <c r="M35" s="2878"/>
    </row>
    <row r="36" spans="1:18" ht="18" customHeight="1">
      <c r="A36" s="1214" t="s">
        <v>826</v>
      </c>
      <c r="B36" s="307" t="s">
        <v>1173</v>
      </c>
      <c r="C36" s="24">
        <f ca="1">ROUND(C29*F36,0)</f>
        <v>0</v>
      </c>
      <c r="D36" s="1478" t="s">
        <v>1206</v>
      </c>
      <c r="E36" s="307" t="s">
        <v>1146</v>
      </c>
      <c r="F36" s="333">
        <v>0</v>
      </c>
      <c r="G36" s="1518"/>
      <c r="H36" s="2878"/>
      <c r="I36" s="1532"/>
      <c r="J36" s="1533"/>
      <c r="K36" s="2719"/>
      <c r="L36" s="2878"/>
      <c r="M36" s="2878"/>
    </row>
    <row r="37" spans="1:18" ht="18" customHeight="1">
      <c r="A37" s="1093" t="s">
        <v>862</v>
      </c>
      <c r="B37" s="307" t="s">
        <v>1177</v>
      </c>
      <c r="C37" s="24">
        <f ca="1">ROUND(C13*F37,0)</f>
        <v>0</v>
      </c>
      <c r="D37" s="1478" t="s">
        <v>1178</v>
      </c>
      <c r="E37" s="307" t="s">
        <v>1179</v>
      </c>
      <c r="F37" s="335">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v>0</v>
      </c>
      <c r="G38" s="1518"/>
      <c r="H38" s="2878"/>
      <c r="I38" s="1532"/>
      <c r="J38" s="1533"/>
      <c r="K38" s="2882"/>
      <c r="L38" s="2878"/>
      <c r="M38" s="2878"/>
    </row>
    <row r="39" spans="1:18" ht="24.6" customHeight="1" thickTop="1">
      <c r="A39" s="1191" t="s">
        <v>818</v>
      </c>
      <c r="B39" s="1206" t="s">
        <v>1207</v>
      </c>
      <c r="C39" s="315">
        <f ca="1">C5-C30</f>
        <v>2092</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5697</v>
      </c>
      <c r="D40" s="329" t="s">
        <v>1193</v>
      </c>
      <c r="E40" s="307" t="s">
        <v>1194</v>
      </c>
      <c r="F40" s="317">
        <f ca="1">INDIRECT("'数据-取费表'!I"&amp;$G$1)</f>
        <v>0.05</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3</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f ca="1">ROUND(C40/F43,0)</f>
        <v>168</v>
      </c>
      <c r="D43" s="342" t="s">
        <v>1212</v>
      </c>
      <c r="E43" s="343" t="s">
        <v>1213</v>
      </c>
      <c r="F43" s="344">
        <f ca="1">INDIRECT("'数据-取费表'!k"&amp;$G$1)</f>
        <v>33.93</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f ca="1">C68-C40</f>
        <v>4878</v>
      </c>
      <c r="D45" s="1607" t="s">
        <v>1328</v>
      </c>
      <c r="E45" s="1534"/>
      <c r="F45" s="1534"/>
      <c r="O45" s="1537" t="s">
        <v>1243</v>
      </c>
      <c r="P45" s="1595"/>
      <c r="Q45" s="1595"/>
      <c r="R45" s="1595"/>
    </row>
    <row r="46" spans="1:18" s="1518" customFormat="1" ht="13.5" thickBot="1">
      <c r="A46" s="1538" t="s">
        <v>1244</v>
      </c>
      <c r="C46" s="1539">
        <f ca="1">ROUND(C45/10000,0)</f>
        <v>0</v>
      </c>
      <c r="D46" s="1540" t="str">
        <f>C2</f>
        <v>万元</v>
      </c>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t="s">
        <v>4108</v>
      </c>
      <c r="K47" s="1550" t="s">
        <v>1251</v>
      </c>
      <c r="L47" s="1551">
        <f ca="1">INDIRECT("'数据-取费表'!d"&amp;$G$1)</f>
        <v>50</v>
      </c>
      <c r="M47" s="1514" t="str">
        <f>IF(ISNUMBER(FIND("住宅",C1)),"住宅","非住宅")</f>
        <v>非住宅</v>
      </c>
      <c r="O47" s="1552" t="s">
        <v>827</v>
      </c>
      <c r="P47" s="1553" t="s">
        <v>1252</v>
      </c>
      <c r="Q47" s="1554">
        <f ca="1">C40+J29</f>
        <v>68091</v>
      </c>
      <c r="R47" s="1554" t="s">
        <v>1253</v>
      </c>
    </row>
    <row r="48" spans="1:18" s="1518" customFormat="1" ht="28.5" thickBot="1">
      <c r="A48" s="1222" t="s">
        <v>863</v>
      </c>
      <c r="B48" s="305" t="s">
        <v>1125</v>
      </c>
      <c r="C48" s="1493">
        <f ca="1">C49+C53+C55</f>
        <v>5760</v>
      </c>
      <c r="D48" s="1224"/>
      <c r="E48" s="1225"/>
      <c r="F48" s="1073"/>
      <c r="G48" s="730"/>
      <c r="H48" s="731"/>
      <c r="I48" s="1555" t="s">
        <v>1254</v>
      </c>
      <c r="J48" s="1556" t="s">
        <v>4109</v>
      </c>
      <c r="K48" s="1557" t="s">
        <v>1255</v>
      </c>
      <c r="L48" s="1558">
        <f ca="1">INDIRECT("'数据-取费表'!f"&amp;$G$1)</f>
        <v>31.93</v>
      </c>
      <c r="O48" s="1552" t="s">
        <v>828</v>
      </c>
      <c r="P48" s="1553" t="s">
        <v>1256</v>
      </c>
      <c r="Q48" s="1554" t="str">
        <f ca="1">J60</f>
        <v>0</v>
      </c>
      <c r="R48" s="1554" t="s">
        <v>1257</v>
      </c>
    </row>
    <row r="49" spans="1:18" s="1518" customFormat="1" ht="13.5" thickBot="1">
      <c r="A49" s="1086" t="s">
        <v>864</v>
      </c>
      <c r="B49" s="1505" t="s">
        <v>1214</v>
      </c>
      <c r="C49" s="1226">
        <f ca="1">ROUND(F49*F51*F50*(1-F52),0)</f>
        <v>5760</v>
      </c>
      <c r="D49" s="1166" t="s">
        <v>1128</v>
      </c>
      <c r="E49" s="1506" t="s">
        <v>1215</v>
      </c>
      <c r="F49" s="1171">
        <v>600</v>
      </c>
      <c r="G49" s="1559"/>
      <c r="H49" s="731"/>
      <c r="I49" s="1555" t="s">
        <v>1258</v>
      </c>
      <c r="J49" s="1560">
        <v>2006</v>
      </c>
      <c r="K49" s="1557" t="s">
        <v>1259</v>
      </c>
      <c r="L49" s="1561"/>
      <c r="O49" s="1562" t="s">
        <v>829</v>
      </c>
      <c r="P49" s="1553" t="s">
        <v>1260</v>
      </c>
      <c r="Q49" s="1554">
        <f ca="1">C29</f>
        <v>157622</v>
      </c>
      <c r="R49" s="1554" t="s">
        <v>1253</v>
      </c>
    </row>
    <row r="50" spans="1:18" s="1518" customFormat="1" ht="13.5" thickBot="1">
      <c r="A50" s="1087"/>
      <c r="B50" s="1090"/>
      <c r="C50" s="1091"/>
      <c r="D50" s="1064"/>
      <c r="E50" s="1167" t="s">
        <v>1130</v>
      </c>
      <c r="F50" s="1168">
        <f ca="1">F7</f>
        <v>1</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12</v>
      </c>
      <c r="I51" s="1566" t="s">
        <v>1264</v>
      </c>
      <c r="J51" s="1567">
        <f>IF(J49="",J50,J49+J50-YEAR('数据-取费表'!B2))</f>
        <v>44</v>
      </c>
      <c r="K51" s="1568" t="s">
        <v>1265</v>
      </c>
      <c r="L51" s="1569">
        <f ca="1">ROUND(-PV(INDIRECT("'数据-取费表'!h"&amp;$G$1),J51,(C39-C13*C76),0),0)</f>
        <v>-102455</v>
      </c>
      <c r="M51" s="1570"/>
      <c r="O51" s="1562" t="s">
        <v>831</v>
      </c>
      <c r="P51" s="1553" t="s">
        <v>1266</v>
      </c>
      <c r="Q51" s="1565">
        <f>J52</f>
        <v>7.0000000000000007E-2</v>
      </c>
      <c r="R51" s="1554"/>
    </row>
    <row r="52" spans="1:18" s="1518" customFormat="1" ht="13.5" thickBot="1">
      <c r="A52" s="1088"/>
      <c r="B52" s="1090"/>
      <c r="C52" s="1091"/>
      <c r="D52" s="1064"/>
      <c r="E52" s="1092" t="s">
        <v>1132</v>
      </c>
      <c r="F52" s="1165">
        <v>0.2</v>
      </c>
      <c r="I52" s="1571" t="s">
        <v>1267</v>
      </c>
      <c r="J52" s="1572">
        <v>7.0000000000000007E-2</v>
      </c>
      <c r="K52" s="1571" t="s">
        <v>1268</v>
      </c>
      <c r="L52" s="1572"/>
      <c r="O52" s="1562" t="s">
        <v>832</v>
      </c>
      <c r="P52" s="1553" t="s">
        <v>1269</v>
      </c>
      <c r="Q52" s="1554">
        <f ca="1">J53</f>
        <v>31.93</v>
      </c>
      <c r="R52" s="1554" t="s">
        <v>1270</v>
      </c>
    </row>
    <row r="53" spans="1:18" s="1518" customFormat="1" ht="30.75" customHeight="1" thickBot="1">
      <c r="A53" s="1223" t="s">
        <v>865</v>
      </c>
      <c r="B53" s="328" t="s">
        <v>1133</v>
      </c>
      <c r="C53" s="321">
        <f ca="1">ROUND(IF(F53="押一",C49/12*F11,IF(F53="押二",C49/12*2*F11,IF(F53="押三",C49/12*3*F11,C54*F11))),0)</f>
        <v>0</v>
      </c>
      <c r="D53" s="1500" t="s">
        <v>2618</v>
      </c>
      <c r="E53" s="318" t="s">
        <v>1134</v>
      </c>
      <c r="F53" s="1228"/>
      <c r="I53" s="1573" t="s">
        <v>1271</v>
      </c>
      <c r="J53" s="2336">
        <f ca="1">IF(M47="住宅",IF(D1="——",MAX(J51,L48),MAX(J51,L48-'数据-取费表'!B24)),IF(D1="——",MIN(J51,L48),MIN(J51,L48-'数据-取费表'!B24)))</f>
        <v>31.93</v>
      </c>
      <c r="K53" s="3451" t="s">
        <v>1272</v>
      </c>
      <c r="L53" s="3452"/>
      <c r="O53" s="1552" t="s">
        <v>833</v>
      </c>
      <c r="P53" s="1553" t="s">
        <v>1273</v>
      </c>
      <c r="Q53" s="1554">
        <f ca="1">Q47+Q48</f>
        <v>68091</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115064</v>
      </c>
      <c r="D56" s="1581"/>
      <c r="E56" s="1582"/>
      <c r="F56" s="1574"/>
      <c r="I56" s="1583" t="s">
        <v>1278</v>
      </c>
      <c r="J56" s="1584" t="s">
        <v>4099</v>
      </c>
      <c r="K56" s="1555" t="s">
        <v>1279</v>
      </c>
      <c r="L56" s="1558" t="str">
        <f ca="1">IF(L48&lt;J51,"——",L48-J51)</f>
        <v>——</v>
      </c>
      <c r="O56" s="1552" t="s">
        <v>827</v>
      </c>
      <c r="P56" s="1553" t="s">
        <v>1252</v>
      </c>
      <c r="Q56" s="1554">
        <f ca="1">C40+J29</f>
        <v>68091</v>
      </c>
      <c r="R56" s="1554" t="s">
        <v>1253</v>
      </c>
    </row>
    <row r="57" spans="1:18" s="1518" customFormat="1" ht="24.75" thickBot="1">
      <c r="A57" s="1585"/>
      <c r="B57" s="1061" t="s">
        <v>1202</v>
      </c>
      <c r="C57" s="243">
        <f ca="1">C29</f>
        <v>157622</v>
      </c>
      <c r="D57" s="1586"/>
      <c r="E57" s="1587"/>
      <c r="F57" s="1588"/>
      <c r="I57" s="1589" t="s">
        <v>1280</v>
      </c>
      <c r="J57" s="1590" t="str">
        <f ca="1">IF(OR(M47="住宅",J51&lt;L48,J56="是"),"——",J51-L48)</f>
        <v>——</v>
      </c>
      <c r="K57" s="1555" t="s">
        <v>1329</v>
      </c>
      <c r="L57" s="1558" t="str">
        <f ca="1">IF(L48&lt;J51,"——",IF(L55="比较法",L49,IF(L55="基准地价",L50,L51)))</f>
        <v>——</v>
      </c>
      <c r="O57" s="1552" t="s">
        <v>828</v>
      </c>
      <c r="P57" s="1553" t="s">
        <v>1330</v>
      </c>
      <c r="Q57" s="1554">
        <f ca="1">L60</f>
        <v>0</v>
      </c>
      <c r="R57" s="1554" t="s">
        <v>1331</v>
      </c>
    </row>
    <row r="58" spans="1:18" s="1518" customFormat="1" ht="24.75" thickBot="1">
      <c r="A58" s="320" t="s">
        <v>817</v>
      </c>
      <c r="B58" s="1069" t="s">
        <v>1148</v>
      </c>
      <c r="C58" s="321">
        <f ca="1">ROUND(C59+C64+C65+C66,0)</f>
        <v>1951</v>
      </c>
      <c r="D58" s="1071" t="s">
        <v>1149</v>
      </c>
      <c r="E58" s="1072"/>
      <c r="F58" s="1073"/>
      <c r="I58" s="1589" t="s">
        <v>1284</v>
      </c>
      <c r="J58" s="1591" t="e">
        <f ca="1">IF(J55&lt;0.4,0.4,J55)</f>
        <v>#VALUE!</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990</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307</v>
      </c>
      <c r="D60" s="1075" t="s">
        <v>1158</v>
      </c>
      <c r="E60" s="1061" t="s">
        <v>1146</v>
      </c>
      <c r="F60" s="336">
        <f t="shared" ref="F60:F63"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658</v>
      </c>
      <c r="D61" s="1504" t="s">
        <v>4107</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IF(项目基本情况!B11="自然人","——",ROUND(F62*F63,0))</f>
        <v>25</v>
      </c>
      <c r="D62" s="1076" t="s">
        <v>1221</v>
      </c>
      <c r="E62" s="1061" t="s">
        <v>1222</v>
      </c>
      <c r="F62" s="330">
        <f t="shared" si="0"/>
        <v>3</v>
      </c>
      <c r="I62" s="1596" t="s">
        <v>1294</v>
      </c>
      <c r="J62" s="1597" t="s">
        <v>1295</v>
      </c>
      <c r="K62" s="1597" t="s">
        <v>1296</v>
      </c>
      <c r="L62" s="1597" t="s">
        <v>1297</v>
      </c>
      <c r="M62" s="1598" t="s">
        <v>1298</v>
      </c>
      <c r="O62" s="1552" t="s">
        <v>833</v>
      </c>
      <c r="P62" s="1553" t="s">
        <v>1299</v>
      </c>
      <c r="Q62" s="1554">
        <f ca="1">Q56+Q57</f>
        <v>68091</v>
      </c>
      <c r="R62" s="1554" t="s">
        <v>834</v>
      </c>
    </row>
    <row r="63" spans="1:18" s="1518" customFormat="1" ht="13.5" thickBot="1">
      <c r="A63" s="331"/>
      <c r="B63" s="1067"/>
      <c r="C63" s="29"/>
      <c r="D63" s="1077"/>
      <c r="E63" s="1061" t="s">
        <v>1223</v>
      </c>
      <c r="F63" s="308">
        <f t="shared" ca="1" si="0"/>
        <v>8.27</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788</v>
      </c>
      <c r="D64" s="1075" t="s">
        <v>1226</v>
      </c>
      <c r="E64" s="1061" t="s">
        <v>1218</v>
      </c>
      <c r="F64" s="333">
        <f ca="1">M22</f>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115</v>
      </c>
      <c r="D65" s="1075" t="s">
        <v>1178</v>
      </c>
      <c r="E65" s="1061" t="s">
        <v>1179</v>
      </c>
      <c r="F65" s="333">
        <f t="shared" ref="F65:F66" ca="1" si="1">M23</f>
        <v>1E-3</v>
      </c>
      <c r="I65" s="1596" t="s">
        <v>1303</v>
      </c>
      <c r="J65" s="1597">
        <v>40</v>
      </c>
      <c r="K65" s="1597">
        <v>30</v>
      </c>
      <c r="L65" s="1597">
        <v>50</v>
      </c>
      <c r="M65" s="1599">
        <v>0.02</v>
      </c>
      <c r="O65" s="1552" t="s">
        <v>827</v>
      </c>
      <c r="P65" s="1553" t="s">
        <v>1304</v>
      </c>
      <c r="Q65" s="1554">
        <f ca="1">C40+J29</f>
        <v>68091</v>
      </c>
      <c r="R65" s="1554" t="s">
        <v>1253</v>
      </c>
    </row>
    <row r="66" spans="1:18" s="1518" customFormat="1" ht="16.5" thickBot="1">
      <c r="A66" s="1093" t="s">
        <v>1228</v>
      </c>
      <c r="B66" s="1061" t="s">
        <v>1163</v>
      </c>
      <c r="C66" s="24">
        <f ca="1">ROUND(C48*F66,0)</f>
        <v>58</v>
      </c>
      <c r="D66" s="1075" t="s">
        <v>1229</v>
      </c>
      <c r="E66" s="1061" t="s">
        <v>1146</v>
      </c>
      <c r="F66" s="333">
        <f t="shared" ca="1" si="1"/>
        <v>0.01</v>
      </c>
      <c r="O66" s="1552" t="s">
        <v>828</v>
      </c>
      <c r="P66" s="1553" t="s">
        <v>1282</v>
      </c>
      <c r="Q66" s="1554">
        <f ca="1">L60</f>
        <v>0</v>
      </c>
      <c r="R66" s="1554" t="s">
        <v>1305</v>
      </c>
    </row>
    <row r="67" spans="1:18" s="1518" customFormat="1" ht="16.5" thickBot="1">
      <c r="A67" s="1068" t="s">
        <v>818</v>
      </c>
      <c r="B67" s="1078" t="s">
        <v>1187</v>
      </c>
      <c r="C67" s="321">
        <f ca="1">C48-C58</f>
        <v>3809</v>
      </c>
      <c r="D67" s="1074" t="s">
        <v>1188</v>
      </c>
      <c r="E67" s="1079"/>
      <c r="F67" s="1080"/>
      <c r="O67" s="1562" t="s">
        <v>829</v>
      </c>
      <c r="P67" s="1553" t="s">
        <v>1286</v>
      </c>
      <c r="Q67" s="1600">
        <f ca="1">L51</f>
        <v>-102455</v>
      </c>
      <c r="R67" s="1554" t="s">
        <v>1306</v>
      </c>
    </row>
    <row r="68" spans="1:18" s="1518" customFormat="1" ht="16.5" thickBot="1">
      <c r="A68" s="1058" t="s">
        <v>819</v>
      </c>
      <c r="B68" s="1059" t="s">
        <v>1209</v>
      </c>
      <c r="C68" s="306">
        <f ca="1">ROUND(C67*(1-((1+F70)/(1+F68))^F69)/(F68-F70),0)</f>
        <v>10575</v>
      </c>
      <c r="D68" s="1076" t="s">
        <v>1193</v>
      </c>
      <c r="E68" s="1061" t="s">
        <v>1194</v>
      </c>
      <c r="F68" s="317">
        <f ca="1">F40</f>
        <v>0.05</v>
      </c>
      <c r="O68" s="1562" t="s">
        <v>830</v>
      </c>
      <c r="P68" s="1601" t="s">
        <v>1307</v>
      </c>
      <c r="Q68" s="1554">
        <f ca="1">ROUND(Q69-Q70*Q71,0)</f>
        <v>-5387</v>
      </c>
      <c r="R68" s="1554" t="s">
        <v>838</v>
      </c>
    </row>
    <row r="69" spans="1:18" s="1518" customFormat="1" ht="13.5" thickBot="1">
      <c r="A69" s="1062"/>
      <c r="B69" s="1063"/>
      <c r="C69" s="311"/>
      <c r="D69" s="1081" t="s">
        <v>1197</v>
      </c>
      <c r="E69" s="1061" t="s">
        <v>1198</v>
      </c>
      <c r="F69" s="338">
        <f ca="1">F41</f>
        <v>3</v>
      </c>
      <c r="O69" s="1562" t="s">
        <v>835</v>
      </c>
      <c r="P69" s="1601" t="s">
        <v>1308</v>
      </c>
      <c r="Q69" s="1554">
        <f ca="1">C39</f>
        <v>2092</v>
      </c>
      <c r="R69" s="1554" t="s">
        <v>1253</v>
      </c>
    </row>
    <row r="70" spans="1:18" s="1518" customFormat="1" ht="13.5" thickBot="1">
      <c r="A70" s="1065"/>
      <c r="B70" s="1066"/>
      <c r="C70" s="315"/>
      <c r="D70" s="1077"/>
      <c r="E70" s="1061" t="s">
        <v>1201</v>
      </c>
      <c r="F70" s="1165">
        <f ca="1">M28</f>
        <v>0.02</v>
      </c>
      <c r="O70" s="1562" t="s">
        <v>836</v>
      </c>
      <c r="P70" s="1601" t="s">
        <v>1309</v>
      </c>
      <c r="Q70" s="1554">
        <f ca="1">C13</f>
        <v>115064</v>
      </c>
      <c r="R70" s="1554" t="s">
        <v>1253</v>
      </c>
    </row>
    <row r="71" spans="1:18" s="1518" customFormat="1" ht="13.5" thickBot="1">
      <c r="A71" s="1082" t="s">
        <v>820</v>
      </c>
      <c r="B71" s="1083" t="s">
        <v>1211</v>
      </c>
      <c r="C71" s="341">
        <f ca="1">ROUND(C68/F71,0)</f>
        <v>312</v>
      </c>
      <c r="D71" s="1084" t="s">
        <v>1212</v>
      </c>
      <c r="E71" s="1085" t="s">
        <v>1213</v>
      </c>
      <c r="F71" s="344">
        <f ca="1">F43</f>
        <v>33.93</v>
      </c>
      <c r="O71" s="1562" t="s">
        <v>837</v>
      </c>
      <c r="P71" s="1601" t="s">
        <v>1310</v>
      </c>
      <c r="Q71" s="1565">
        <f ca="1">C76</f>
        <v>6.5000000000000002E-2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7479</v>
      </c>
      <c r="D75" s="1518"/>
      <c r="E75" s="1518"/>
      <c r="F75" s="1518"/>
      <c r="K75" s="1536"/>
      <c r="L75" s="1518"/>
      <c r="O75" s="1552" t="s">
        <v>833</v>
      </c>
      <c r="P75" s="1553" t="s">
        <v>1273</v>
      </c>
      <c r="Q75" s="1554">
        <f ca="1">Q65+Q66</f>
        <v>68091</v>
      </c>
      <c r="R75" s="1554" t="s">
        <v>834</v>
      </c>
    </row>
    <row r="76" spans="1:18">
      <c r="B76" s="347" t="s">
        <v>1231</v>
      </c>
      <c r="C76" s="348">
        <f ca="1">INDIRECT("'数据-取费表'!j"&amp;$G$1)</f>
        <v>6.5000000000000002E-2</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-2.5750000000000002</v>
      </c>
    </row>
    <row r="80" spans="1:18">
      <c r="B80" s="345" t="s">
        <v>1235</v>
      </c>
      <c r="C80" s="279">
        <f ca="1">ROUND(C75/C39,3)</f>
        <v>3.5750000000000002</v>
      </c>
    </row>
    <row r="81" spans="2:3">
      <c r="B81" s="275" t="s">
        <v>1236</v>
      </c>
      <c r="C81" s="243"/>
    </row>
    <row r="82" spans="2:3">
      <c r="B82" s="278" t="s">
        <v>1237</v>
      </c>
      <c r="C82" s="280">
        <f ca="1">1-C83</f>
        <v>-19.196999999999999</v>
      </c>
    </row>
    <row r="83" spans="2:3">
      <c r="B83" s="278" t="s">
        <v>1238</v>
      </c>
      <c r="C83" s="279">
        <f ca="1">ROUND(C13/C40,3)</f>
        <v>20.196999999999999</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19" t="s">
        <v>2819</v>
      </c>
      <c r="B2" s="3023" t="e">
        <f>C40</f>
        <v>#DIV/0!</v>
      </c>
      <c r="C2" s="3024" t="s">
        <v>2820</v>
      </c>
      <c r="D2" s="3024"/>
      <c r="E2" s="3025"/>
      <c r="F2" s="3026"/>
      <c r="G2" s="3027"/>
      <c r="H2" s="3028"/>
      <c r="I2" s="3029"/>
      <c r="J2" s="3496" t="s">
        <v>2821</v>
      </c>
      <c r="K2" s="3497"/>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98" t="s">
        <v>2831</v>
      </c>
      <c r="K3" s="3499"/>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98" t="s">
        <v>2833</v>
      </c>
      <c r="K4" s="3499"/>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500" t="s">
        <v>2837</v>
      </c>
      <c r="B6" s="3501"/>
      <c r="C6" s="3502"/>
      <c r="D6" s="3050"/>
      <c r="E6" s="3051"/>
      <c r="F6" s="3052"/>
      <c r="G6" s="3053"/>
      <c r="H6" s="3028"/>
      <c r="I6" s="3029"/>
      <c r="J6" s="3503">
        <v>1</v>
      </c>
      <c r="K6" s="3504"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503"/>
      <c r="K7" s="3505"/>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507" t="s">
        <v>2851</v>
      </c>
      <c r="C8" s="3508"/>
      <c r="D8" s="3069" t="s">
        <v>2852</v>
      </c>
      <c r="E8" s="3070" t="s">
        <v>2853</v>
      </c>
      <c r="F8" s="3071" t="s">
        <v>2854</v>
      </c>
      <c r="G8" s="3072"/>
      <c r="H8" s="3028"/>
      <c r="I8" s="3029"/>
      <c r="J8" s="3503"/>
      <c r="K8" s="3505"/>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507" t="s">
        <v>2857</v>
      </c>
      <c r="C9" s="3508"/>
      <c r="D9" s="3069">
        <f>ROUND(D6*E9,0)</f>
        <v>0</v>
      </c>
      <c r="E9" s="3073"/>
      <c r="F9" s="3074" t="s">
        <v>2858</v>
      </c>
      <c r="G9" s="3053"/>
      <c r="H9" s="3028"/>
      <c r="I9" s="3029"/>
      <c r="J9" s="3503"/>
      <c r="K9" s="3505"/>
      <c r="L9" s="3063" t="s">
        <v>2859</v>
      </c>
      <c r="M9" s="3064"/>
      <c r="N9" s="3040"/>
      <c r="O9" s="3065"/>
      <c r="P9" s="3065"/>
      <c r="Q9" s="3066">
        <v>365</v>
      </c>
      <c r="R9" s="3067">
        <f t="shared" si="0"/>
        <v>0</v>
      </c>
      <c r="S9" s="3021"/>
      <c r="T9" s="3021"/>
      <c r="U9" s="3021"/>
      <c r="V9" s="3029"/>
    </row>
    <row r="10" spans="1:22" s="3033" customFormat="1" ht="13.15" customHeight="1">
      <c r="A10" s="3068">
        <v>2</v>
      </c>
      <c r="B10" s="3507" t="s">
        <v>2860</v>
      </c>
      <c r="C10" s="3508"/>
      <c r="D10" s="3069">
        <f>ROUND(D6*E10,0)</f>
        <v>0</v>
      </c>
      <c r="E10" s="3073"/>
      <c r="F10" s="3074" t="s">
        <v>2861</v>
      </c>
      <c r="G10" s="3053"/>
      <c r="H10" s="3028"/>
      <c r="I10" s="3029"/>
      <c r="J10" s="3503"/>
      <c r="K10" s="3505"/>
      <c r="L10" s="3063" t="s">
        <v>2862</v>
      </c>
      <c r="M10" s="3064"/>
      <c r="N10" s="3040"/>
      <c r="O10" s="3065"/>
      <c r="P10" s="3065"/>
      <c r="Q10" s="3066">
        <v>365</v>
      </c>
      <c r="R10" s="3067">
        <f t="shared" si="0"/>
        <v>0</v>
      </c>
      <c r="S10" s="3021"/>
      <c r="T10" s="3021"/>
      <c r="U10" s="3021"/>
      <c r="V10" s="3029"/>
    </row>
    <row r="11" spans="1:22" s="3033" customFormat="1" ht="13.15" customHeight="1">
      <c r="A11" s="3068">
        <v>3</v>
      </c>
      <c r="B11" s="3507" t="s">
        <v>2863</v>
      </c>
      <c r="C11" s="3508"/>
      <c r="D11" s="3069">
        <f>D12+D14+D15+D16</f>
        <v>0</v>
      </c>
      <c r="E11" s="3075" t="e">
        <f>D11/D6</f>
        <v>#DIV/0!</v>
      </c>
      <c r="F11" s="3071"/>
      <c r="G11" s="3072"/>
      <c r="H11" s="3028"/>
      <c r="I11" s="3029"/>
      <c r="J11" s="3503"/>
      <c r="K11" s="3505"/>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509" t="s">
        <v>2866</v>
      </c>
      <c r="C12" s="3510"/>
      <c r="D12" s="3077">
        <f>ROUND(D13*1.2%*(1-30%),0)</f>
        <v>0</v>
      </c>
      <c r="E12" s="3078">
        <v>1.2E-2</v>
      </c>
      <c r="F12" s="3071" t="s">
        <v>2867</v>
      </c>
      <c r="G12" s="3072"/>
      <c r="H12" s="3028"/>
      <c r="I12" s="3029"/>
      <c r="J12" s="3503"/>
      <c r="K12" s="3505"/>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503"/>
      <c r="K13" s="3505"/>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509" t="s">
        <v>2872</v>
      </c>
      <c r="C14" s="3510"/>
      <c r="D14" s="3077">
        <f>ROUND(E14*B5/10000,0)</f>
        <v>0</v>
      </c>
      <c r="E14" s="3066"/>
      <c r="F14" s="3071" t="s">
        <v>2873</v>
      </c>
      <c r="G14" s="3072"/>
      <c r="H14" s="3028"/>
      <c r="I14" s="3029"/>
      <c r="J14" s="3503"/>
      <c r="K14" s="3506"/>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509" t="s">
        <v>2876</v>
      </c>
      <c r="C15" s="3510"/>
      <c r="D15" s="3077">
        <f>ROUND(D6*E15,0)</f>
        <v>0</v>
      </c>
      <c r="E15" s="3078">
        <v>5.5E-2</v>
      </c>
      <c r="F15" s="3071" t="s">
        <v>2877</v>
      </c>
      <c r="G15" s="3053"/>
      <c r="H15" s="3028"/>
      <c r="I15" s="3029"/>
      <c r="J15" s="3503">
        <v>2</v>
      </c>
      <c r="K15" s="3504"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509" t="s">
        <v>2885</v>
      </c>
      <c r="C16" s="3510"/>
      <c r="D16" s="3088">
        <f>D6*E16</f>
        <v>0</v>
      </c>
      <c r="E16" s="3089"/>
      <c r="F16" s="3074" t="s">
        <v>2886</v>
      </c>
      <c r="G16" s="3053"/>
      <c r="H16" s="3028"/>
      <c r="I16" s="3029"/>
      <c r="J16" s="3503"/>
      <c r="K16" s="3505"/>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511" t="s">
        <v>2888</v>
      </c>
      <c r="C17" s="3512"/>
      <c r="D17" s="3091">
        <f>ROUND(D6*E17,0)</f>
        <v>0</v>
      </c>
      <c r="E17" s="3092"/>
      <c r="F17" s="3093" t="s">
        <v>2889</v>
      </c>
      <c r="G17" s="3053"/>
      <c r="H17" s="3028"/>
      <c r="I17" s="3029"/>
      <c r="J17" s="3503"/>
      <c r="K17" s="3505"/>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503"/>
      <c r="K18" s="3505"/>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503"/>
      <c r="K19" s="3506"/>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503">
        <v>3</v>
      </c>
      <c r="K20" s="3504"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503"/>
      <c r="K21" s="3505"/>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503"/>
      <c r="K22" s="3505"/>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503"/>
      <c r="K23" s="3505"/>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503"/>
      <c r="K24" s="3506"/>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513">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514"/>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96" t="s">
        <v>2821</v>
      </c>
      <c r="K32" s="3497"/>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98" t="s">
        <v>2831</v>
      </c>
      <c r="K33" s="3499"/>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98" t="s">
        <v>2833</v>
      </c>
      <c r="K34" s="3499"/>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503">
        <v>1</v>
      </c>
      <c r="K36" s="3504"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503"/>
      <c r="K37" s="3505"/>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503"/>
      <c r="K38" s="3505"/>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503"/>
      <c r="K39" s="3505"/>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503"/>
      <c r="K40" s="3506"/>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513">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514"/>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7</v>
      </c>
      <c r="C2" s="2008" t="s">
        <v>2099</v>
      </c>
      <c r="D2" s="2009" t="s">
        <v>2100</v>
      </c>
      <c r="E2" s="2782">
        <f>SUM(E6:E13)</f>
        <v>33.93</v>
      </c>
      <c r="F2" s="2885"/>
      <c r="G2" s="1624"/>
      <c r="H2" s="1624"/>
      <c r="I2" s="1624"/>
      <c r="J2" s="1624"/>
      <c r="K2" s="1624"/>
      <c r="L2" s="1624"/>
      <c r="M2" s="1624"/>
      <c r="N2" s="1624"/>
      <c r="O2" s="1624"/>
      <c r="P2" s="1624"/>
      <c r="Q2" s="1624"/>
      <c r="R2" s="1624"/>
      <c r="S2" s="1624"/>
    </row>
    <row r="3" spans="1:22" ht="15.75">
      <c r="A3" s="2006" t="s">
        <v>1119</v>
      </c>
      <c r="B3" s="2776">
        <f ca="1">ROUND(B2*10000/E2,0)</f>
        <v>2063</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515" t="s">
        <v>2102</v>
      </c>
      <c r="C5" s="3516"/>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 (元)</v>
      </c>
      <c r="B6" s="2777">
        <f ca="1">IF(F6="是",'数据-取费表'!AO6,0)</f>
        <v>7</v>
      </c>
      <c r="C6" s="2008" t="s">
        <v>2099</v>
      </c>
      <c r="D6" s="2887"/>
      <c r="E6" s="2781">
        <f>IF(OR(A6=0,F6="否"),0,'数据-取费表'!K6+'数据-取费表'!S6)</f>
        <v>33.93</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2114</v>
      </c>
      <c r="D3" s="358">
        <f>IF(D1="",'数据-汇总表'!E3,SUMIF('数据-汇总表'!$C19:$C33,D1,'数据-汇总表'!$E19:$E33))</f>
        <v>32206.890000000196</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0" t="s">
        <v>2115</v>
      </c>
      <c r="B4" s="361"/>
      <c r="C4" s="3474" t="s">
        <v>2116</v>
      </c>
      <c r="D4" s="3475"/>
      <c r="E4" s="3476" t="s">
        <v>2117</v>
      </c>
      <c r="F4" s="3477"/>
      <c r="G4" s="3474" t="s">
        <v>2118</v>
      </c>
      <c r="H4" s="3475"/>
      <c r="I4" s="3474" t="s">
        <v>2119</v>
      </c>
      <c r="J4" s="3475"/>
      <c r="K4" s="2025" t="s">
        <v>2120</v>
      </c>
      <c r="L4" s="2893"/>
      <c r="M4" s="2894"/>
      <c r="N4" s="2894"/>
      <c r="O4" s="2894"/>
      <c r="P4" s="3478" t="s">
        <v>2121</v>
      </c>
      <c r="Q4" s="3479"/>
      <c r="R4" s="3461" t="s">
        <v>2117</v>
      </c>
      <c r="S4" s="3462"/>
      <c r="T4" s="3461" t="s">
        <v>2118</v>
      </c>
      <c r="U4" s="3462"/>
      <c r="V4" s="3486" t="s">
        <v>2119</v>
      </c>
      <c r="W4" s="3486"/>
      <c r="X4" s="1489"/>
      <c r="Y4" s="3461" t="s">
        <v>2121</v>
      </c>
      <c r="Z4" s="3462"/>
      <c r="AA4" s="3456" t="s">
        <v>2117</v>
      </c>
      <c r="AB4" s="3456" t="s">
        <v>2118</v>
      </c>
      <c r="AC4" s="3456" t="s">
        <v>2119</v>
      </c>
    </row>
    <row r="5" spans="1:29" ht="15">
      <c r="A5" s="363"/>
      <c r="B5" s="364"/>
      <c r="C5" s="3467" t="s">
        <v>2122</v>
      </c>
      <c r="D5" s="3468"/>
      <c r="E5" s="3465" t="s">
        <v>2123</v>
      </c>
      <c r="F5" s="3466"/>
      <c r="G5" s="3467" t="s">
        <v>2124</v>
      </c>
      <c r="H5" s="3468"/>
      <c r="I5" s="3467" t="s">
        <v>2125</v>
      </c>
      <c r="J5" s="3468"/>
      <c r="K5" s="2026"/>
      <c r="L5" s="2893"/>
      <c r="M5" s="2894"/>
      <c r="N5" s="2894"/>
      <c r="O5" s="2894"/>
      <c r="P5" s="3480"/>
      <c r="Q5" s="3481"/>
      <c r="R5" s="3463"/>
      <c r="S5" s="3464"/>
      <c r="T5" s="3463"/>
      <c r="U5" s="3464"/>
      <c r="V5" s="3486"/>
      <c r="W5" s="3486"/>
      <c r="X5" s="1489"/>
      <c r="Y5" s="3463"/>
      <c r="Z5" s="3464"/>
      <c r="AA5" s="3457"/>
      <c r="AB5" s="3457"/>
      <c r="AC5" s="3457"/>
    </row>
    <row r="6" spans="1:29" ht="15.75" thickBot="1">
      <c r="A6" s="365"/>
      <c r="B6" s="366"/>
      <c r="C6" s="3469" t="s">
        <v>2126</v>
      </c>
      <c r="D6" s="3470"/>
      <c r="E6" s="3471" t="s">
        <v>2126</v>
      </c>
      <c r="F6" s="3472"/>
      <c r="G6" s="3469" t="s">
        <v>2126</v>
      </c>
      <c r="H6" s="3470"/>
      <c r="I6" s="3469" t="s">
        <v>2126</v>
      </c>
      <c r="J6" s="3470"/>
      <c r="K6" s="2026" t="s">
        <v>2127</v>
      </c>
      <c r="L6" s="2893"/>
      <c r="M6" s="2894"/>
      <c r="N6" s="2894"/>
      <c r="O6" s="2894"/>
      <c r="P6" s="3482"/>
      <c r="Q6" s="3483"/>
      <c r="R6" s="3463"/>
      <c r="S6" s="3464"/>
      <c r="T6" s="3484"/>
      <c r="U6" s="3485"/>
      <c r="V6" s="3486"/>
      <c r="W6" s="3486"/>
      <c r="X6" s="1489"/>
      <c r="Y6" s="3484"/>
      <c r="Z6" s="3485"/>
      <c r="AA6" s="3458"/>
      <c r="AB6" s="3458"/>
      <c r="AC6" s="3458"/>
    </row>
    <row r="7" spans="1:29" s="112" customFormat="1" ht="15.75" thickBot="1">
      <c r="A7" s="367" t="s">
        <v>2128</v>
      </c>
      <c r="B7" s="368"/>
      <c r="C7" s="369">
        <f>'数据-取费表'!B2</f>
        <v>44698</v>
      </c>
      <c r="D7" s="370">
        <v>100</v>
      </c>
      <c r="E7" s="371"/>
      <c r="F7" s="372">
        <f>SUMIF(58:58,YEAR(E7)&amp;"-"&amp;MONTH(E7),59:59)</f>
        <v>0</v>
      </c>
      <c r="G7" s="371"/>
      <c r="H7" s="370">
        <f>SUMIF(58:58,YEAR(G7)&amp;"-"&amp;MONTH(G7),59:59)</f>
        <v>0</v>
      </c>
      <c r="I7" s="371"/>
      <c r="J7" s="370">
        <f>SUMIF(58:58,YEAR(I7)&amp;"-"&amp;MONTH(I7),59:59)</f>
        <v>0</v>
      </c>
      <c r="K7" s="2027"/>
      <c r="L7" s="2895"/>
      <c r="M7" s="2896"/>
      <c r="N7" s="2896"/>
      <c r="O7" s="2896"/>
      <c r="P7" s="3459" t="s">
        <v>2129</v>
      </c>
      <c r="Q7" s="3487"/>
      <c r="R7" s="709" t="s">
        <v>23</v>
      </c>
      <c r="S7" s="710">
        <f t="shared" ref="S7:S15" si="0">F7</f>
        <v>0</v>
      </c>
      <c r="T7" s="709" t="s">
        <v>23</v>
      </c>
      <c r="U7" s="710">
        <f t="shared" ref="U7:U15" si="1">H7</f>
        <v>0</v>
      </c>
      <c r="V7" s="709" t="s">
        <v>23</v>
      </c>
      <c r="W7" s="710">
        <f t="shared" ref="W7:W15" si="2">J7</f>
        <v>0</v>
      </c>
      <c r="X7" s="711"/>
      <c r="Y7" s="3459" t="s">
        <v>2129</v>
      </c>
      <c r="Z7" s="3460"/>
      <c r="AA7" s="712" t="e">
        <f>D7/F7</f>
        <v>#DIV/0!</v>
      </c>
      <c r="AB7" s="712" t="e">
        <f>D7/H7</f>
        <v>#DIV/0!</v>
      </c>
      <c r="AC7" s="712" t="e">
        <f>D7/J7</f>
        <v>#DIV/0!</v>
      </c>
    </row>
    <row r="8" spans="1:29" s="112" customFormat="1" ht="15.75" thickBot="1">
      <c r="A8" s="367" t="s">
        <v>2130</v>
      </c>
      <c r="B8" s="368"/>
      <c r="C8" s="373" t="s">
        <v>2131</v>
      </c>
      <c r="D8" s="370">
        <v>100</v>
      </c>
      <c r="E8" s="2028"/>
      <c r="F8" s="372">
        <f>SUMIF(61:61,E8,62:62)-SUMIF(61:61,C8,62:62)+100</f>
        <v>0</v>
      </c>
      <c r="G8" s="373"/>
      <c r="H8" s="370">
        <f>SUMIF(61:61,G8,62:62)-SUMIF(61:61,C8,62:62)+100</f>
        <v>0</v>
      </c>
      <c r="I8" s="2028"/>
      <c r="J8" s="370">
        <f>SUMIF(61:61,I8,62:62)-SUMIF(61:61,C8,62:62)+100</f>
        <v>0</v>
      </c>
      <c r="K8" s="2027"/>
      <c r="L8" s="2895"/>
      <c r="M8" s="2896"/>
      <c r="N8" s="2896"/>
      <c r="O8" s="2896"/>
      <c r="P8" s="3459" t="s">
        <v>2132</v>
      </c>
      <c r="Q8" s="3460"/>
      <c r="R8" s="709" t="s">
        <v>23</v>
      </c>
      <c r="S8" s="710">
        <f t="shared" si="0"/>
        <v>0</v>
      </c>
      <c r="T8" s="709" t="s">
        <v>23</v>
      </c>
      <c r="U8" s="710">
        <f t="shared" si="1"/>
        <v>0</v>
      </c>
      <c r="V8" s="709" t="s">
        <v>23</v>
      </c>
      <c r="W8" s="710">
        <f t="shared" si="2"/>
        <v>0</v>
      </c>
      <c r="X8" s="711"/>
      <c r="Y8" s="3459" t="s">
        <v>2132</v>
      </c>
      <c r="Z8" s="3460"/>
      <c r="AA8" s="712" t="e">
        <f t="shared" ref="AA8:AA19" si="3">D8/F8</f>
        <v>#DIV/0!</v>
      </c>
      <c r="AB8" s="712" t="e">
        <f t="shared" ref="AB8:AB19" si="4">D8/H8</f>
        <v>#DIV/0!</v>
      </c>
      <c r="AC8" s="712" t="e">
        <f t="shared" ref="AC8:AC19" si="5">D8/J8</f>
        <v>#DIV/0!</v>
      </c>
    </row>
    <row r="9" spans="1:29" s="112" customFormat="1">
      <c r="A9" s="374" t="s">
        <v>2133</v>
      </c>
      <c r="B9" s="66" t="s">
        <v>2134</v>
      </c>
      <c r="C9" s="375"/>
      <c r="D9" s="130">
        <v>100</v>
      </c>
      <c r="E9" s="376"/>
      <c r="F9" s="377">
        <f>SUMIF(63:63,E9,64:64)-SUMIF(63:63,C9,64:64)+100</f>
        <v>100</v>
      </c>
      <c r="G9" s="378"/>
      <c r="H9" s="130">
        <f>SUMIF(63:63,G9,64:64)-SUMIF(63:63,C9,64:64)+100</f>
        <v>100</v>
      </c>
      <c r="I9" s="378"/>
      <c r="J9" s="130">
        <f>SUMIF(63:63,I9,64:64)-SUMIF(63:63,C9,64:64)+100</f>
        <v>100</v>
      </c>
      <c r="K9" s="2027"/>
      <c r="L9" s="2895"/>
      <c r="M9" s="2896"/>
      <c r="N9" s="2896"/>
      <c r="O9" s="2896"/>
      <c r="P9" s="3517" t="s">
        <v>2135</v>
      </c>
      <c r="Q9" s="1477" t="str">
        <f t="shared" ref="Q9:Q15" si="6">B9</f>
        <v>用途</v>
      </c>
      <c r="R9" s="709" t="s">
        <v>17</v>
      </c>
      <c r="S9" s="710">
        <f t="shared" si="0"/>
        <v>100</v>
      </c>
      <c r="T9" s="709" t="s">
        <v>17</v>
      </c>
      <c r="U9" s="710">
        <f t="shared" si="1"/>
        <v>100</v>
      </c>
      <c r="V9" s="709" t="s">
        <v>17</v>
      </c>
      <c r="W9" s="710">
        <f t="shared" si="2"/>
        <v>100</v>
      </c>
      <c r="X9" s="711"/>
      <c r="Y9" s="3424"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7"/>
      <c r="M10" s="2898"/>
      <c r="N10" s="2898"/>
      <c r="O10" s="2898"/>
      <c r="P10" s="3517"/>
      <c r="Q10" s="1477" t="str">
        <f t="shared" si="6"/>
        <v>土地使用年限（年）</v>
      </c>
      <c r="R10" s="709" t="s">
        <v>17</v>
      </c>
      <c r="S10" s="710">
        <f t="shared" si="0"/>
        <v>100</v>
      </c>
      <c r="T10" s="709" t="s">
        <v>17</v>
      </c>
      <c r="U10" s="710">
        <f t="shared" si="1"/>
        <v>100</v>
      </c>
      <c r="V10" s="709" t="s">
        <v>17</v>
      </c>
      <c r="W10" s="710">
        <f t="shared" si="2"/>
        <v>100</v>
      </c>
      <c r="X10" s="711"/>
      <c r="Y10" s="3424"/>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9"/>
      <c r="M11" s="2894"/>
      <c r="N11" s="2894"/>
      <c r="O11" s="2894"/>
      <c r="P11" s="3517"/>
      <c r="Q11" s="1477" t="str">
        <f t="shared" si="6"/>
        <v>容积率</v>
      </c>
      <c r="R11" s="709" t="s">
        <v>21</v>
      </c>
      <c r="S11" s="710" t="e">
        <f t="shared" si="0"/>
        <v>#N/A</v>
      </c>
      <c r="T11" s="709" t="s">
        <v>21</v>
      </c>
      <c r="U11" s="710" t="e">
        <f t="shared" si="1"/>
        <v>#N/A</v>
      </c>
      <c r="V11" s="709" t="s">
        <v>21</v>
      </c>
      <c r="W11" s="710" t="e">
        <f t="shared" si="2"/>
        <v>#N/A</v>
      </c>
      <c r="X11" s="711"/>
      <c r="Y11" s="3424"/>
      <c r="Z11" s="55" t="str">
        <f t="shared" si="7"/>
        <v>容积率</v>
      </c>
      <c r="AA11" s="712" t="e">
        <f t="shared" si="3"/>
        <v>#N/A</v>
      </c>
      <c r="AB11" s="712" t="e">
        <f t="shared" si="4"/>
        <v>#N/A</v>
      </c>
      <c r="AC11" s="712" t="e">
        <f t="shared" si="5"/>
        <v>#N/A</v>
      </c>
    </row>
    <row r="12" spans="1:29" s="112"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5"/>
      <c r="M12" s="2896"/>
      <c r="N12" s="2896"/>
      <c r="O12" s="2896"/>
      <c r="P12" s="3517"/>
      <c r="Q12" s="1477">
        <f t="shared" si="6"/>
        <v>111</v>
      </c>
      <c r="R12" s="709" t="s">
        <v>21</v>
      </c>
      <c r="S12" s="710">
        <f t="shared" si="0"/>
        <v>100</v>
      </c>
      <c r="T12" s="709" t="s">
        <v>21</v>
      </c>
      <c r="U12" s="710">
        <f t="shared" si="1"/>
        <v>100</v>
      </c>
      <c r="V12" s="709" t="s">
        <v>21</v>
      </c>
      <c r="W12" s="710">
        <f t="shared" si="2"/>
        <v>100</v>
      </c>
      <c r="X12" s="711"/>
      <c r="Y12" s="3424"/>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900"/>
      <c r="M13" s="2894"/>
      <c r="N13" s="2894"/>
      <c r="O13" s="2894"/>
      <c r="P13" s="3517"/>
      <c r="Q13" s="1477">
        <f t="shared" si="6"/>
        <v>111</v>
      </c>
      <c r="R13" s="709" t="s">
        <v>21</v>
      </c>
      <c r="S13" s="710">
        <f t="shared" si="0"/>
        <v>100</v>
      </c>
      <c r="T13" s="709" t="s">
        <v>21</v>
      </c>
      <c r="U13" s="710">
        <f t="shared" si="1"/>
        <v>100</v>
      </c>
      <c r="V13" s="709" t="s">
        <v>21</v>
      </c>
      <c r="W13" s="710">
        <f t="shared" si="2"/>
        <v>100</v>
      </c>
      <c r="X13" s="711"/>
      <c r="Y13" s="3424"/>
      <c r="Z13" s="55">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900"/>
      <c r="M14" s="2894"/>
      <c r="N14" s="2894"/>
      <c r="O14" s="2894"/>
      <c r="P14" s="3517"/>
      <c r="Q14" s="1477">
        <f t="shared" si="6"/>
        <v>111</v>
      </c>
      <c r="R14" s="709" t="s">
        <v>21</v>
      </c>
      <c r="S14" s="710">
        <f t="shared" si="0"/>
        <v>100</v>
      </c>
      <c r="T14" s="709" t="s">
        <v>21</v>
      </c>
      <c r="U14" s="710">
        <f t="shared" si="1"/>
        <v>100</v>
      </c>
      <c r="V14" s="709" t="s">
        <v>21</v>
      </c>
      <c r="W14" s="710">
        <f t="shared" si="2"/>
        <v>100</v>
      </c>
      <c r="X14" s="711"/>
      <c r="Y14" s="3424"/>
      <c r="Z14" s="55">
        <f t="shared" si="7"/>
        <v>111</v>
      </c>
      <c r="AA14" s="712">
        <f t="shared" si="3"/>
        <v>1</v>
      </c>
      <c r="AB14" s="712">
        <f t="shared" si="4"/>
        <v>1</v>
      </c>
      <c r="AC14" s="712">
        <f t="shared" si="5"/>
        <v>1</v>
      </c>
    </row>
    <row r="15" spans="1:29" ht="99.75">
      <c r="A15" s="398" t="s">
        <v>2139</v>
      </c>
      <c r="B15" s="64" t="s">
        <v>1702</v>
      </c>
      <c r="C15" s="203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0"/>
      <c r="M15" s="2894"/>
      <c r="N15" s="2894"/>
      <c r="O15" s="2894"/>
      <c r="P15" s="3523" t="s">
        <v>2140</v>
      </c>
      <c r="Q15" s="1486" t="str">
        <f t="shared" si="6"/>
        <v>居住社区成熟度</v>
      </c>
      <c r="R15" s="713" t="s">
        <v>21</v>
      </c>
      <c r="S15" s="714">
        <f t="shared" si="0"/>
        <v>100</v>
      </c>
      <c r="T15" s="713" t="s">
        <v>21</v>
      </c>
      <c r="U15" s="714">
        <f t="shared" si="1"/>
        <v>100</v>
      </c>
      <c r="V15" s="713" t="s">
        <v>21</v>
      </c>
      <c r="W15" s="714">
        <f t="shared" si="2"/>
        <v>100</v>
      </c>
      <c r="X15" s="1489"/>
      <c r="Y15" s="3488" t="s">
        <v>2140</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900"/>
      <c r="M16" s="2894"/>
      <c r="N16" s="2894"/>
      <c r="O16" s="2894"/>
      <c r="P16" s="3524"/>
      <c r="Q16" s="1486"/>
      <c r="R16" s="713"/>
      <c r="S16" s="714"/>
      <c r="T16" s="713"/>
      <c r="U16" s="714"/>
      <c r="V16" s="713"/>
      <c r="W16" s="714"/>
      <c r="X16" s="1489"/>
      <c r="Y16" s="3489"/>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00"/>
      <c r="M17" s="2894"/>
      <c r="N17" s="2894"/>
      <c r="O17" s="2894"/>
      <c r="P17" s="3524"/>
      <c r="Q17" s="1486" t="str">
        <f>B17</f>
        <v>交通便捷度</v>
      </c>
      <c r="R17" s="713" t="s">
        <v>21</v>
      </c>
      <c r="S17" s="714">
        <f>F17</f>
        <v>100</v>
      </c>
      <c r="T17" s="713" t="s">
        <v>21</v>
      </c>
      <c r="U17" s="714">
        <f>H17</f>
        <v>100</v>
      </c>
      <c r="V17" s="713" t="s">
        <v>21</v>
      </c>
      <c r="W17" s="714">
        <f>J17</f>
        <v>100</v>
      </c>
      <c r="X17" s="1489"/>
      <c r="Y17" s="3489"/>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900"/>
      <c r="M18" s="2894"/>
      <c r="N18" s="2894"/>
      <c r="O18" s="2894"/>
      <c r="P18" s="3524"/>
      <c r="Q18" s="1486"/>
      <c r="R18" s="713"/>
      <c r="S18" s="714"/>
      <c r="T18" s="713"/>
      <c r="U18" s="714"/>
      <c r="V18" s="713"/>
      <c r="W18" s="714"/>
      <c r="X18" s="1489"/>
      <c r="Y18" s="3489"/>
      <c r="Z18" s="1490"/>
      <c r="AA18" s="1487">
        <v>1</v>
      </c>
      <c r="AB18" s="1487">
        <v>1</v>
      </c>
      <c r="AC18" s="1487">
        <v>1</v>
      </c>
    </row>
    <row r="19" spans="1:29" ht="42.75">
      <c r="A19" s="386"/>
      <c r="B19" s="409" t="s">
        <v>1703</v>
      </c>
      <c r="C19" s="203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00"/>
      <c r="M19" s="2894"/>
      <c r="N19" s="2894"/>
      <c r="O19" s="2894"/>
      <c r="P19" s="3524"/>
      <c r="Q19" s="1486" t="str">
        <f>B19</f>
        <v>公共配套设施</v>
      </c>
      <c r="R19" s="713" t="s">
        <v>21</v>
      </c>
      <c r="S19" s="714">
        <f>F19</f>
        <v>100</v>
      </c>
      <c r="T19" s="713" t="s">
        <v>21</v>
      </c>
      <c r="U19" s="714">
        <f>H19</f>
        <v>100</v>
      </c>
      <c r="V19" s="713" t="s">
        <v>21</v>
      </c>
      <c r="W19" s="714">
        <f>J19</f>
        <v>100</v>
      </c>
      <c r="X19" s="1489"/>
      <c r="Y19" s="3489"/>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900"/>
      <c r="M20" s="2894"/>
      <c r="N20" s="2894"/>
      <c r="O20" s="2894"/>
      <c r="P20" s="3524"/>
      <c r="Q20" s="1486"/>
      <c r="R20" s="713"/>
      <c r="S20" s="714"/>
      <c r="T20" s="713"/>
      <c r="U20" s="714"/>
      <c r="V20" s="713"/>
      <c r="W20" s="714"/>
      <c r="X20" s="1489"/>
      <c r="Y20" s="3489"/>
      <c r="Z20" s="1490"/>
      <c r="AA20" s="1487">
        <v>1</v>
      </c>
      <c r="AB20" s="1487">
        <v>1</v>
      </c>
      <c r="AC20" s="1487">
        <v>1</v>
      </c>
    </row>
    <row r="21" spans="1:29" ht="28.5">
      <c r="A21" s="386"/>
      <c r="B21" s="1245" t="s">
        <v>1705</v>
      </c>
      <c r="C21" s="203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00"/>
      <c r="M21" s="2894"/>
      <c r="N21" s="2894"/>
      <c r="O21" s="2894"/>
      <c r="P21" s="3524"/>
      <c r="Q21" s="1486" t="str">
        <f>B21</f>
        <v>基础设施水平</v>
      </c>
      <c r="R21" s="713" t="s">
        <v>17</v>
      </c>
      <c r="S21" s="714">
        <f>F21</f>
        <v>100</v>
      </c>
      <c r="T21" s="713" t="s">
        <v>17</v>
      </c>
      <c r="U21" s="714">
        <f>H21</f>
        <v>100</v>
      </c>
      <c r="V21" s="713" t="s">
        <v>17</v>
      </c>
      <c r="W21" s="714">
        <f>J21</f>
        <v>100</v>
      </c>
      <c r="X21" s="1489"/>
      <c r="Y21" s="3489"/>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900"/>
      <c r="M22" s="2894"/>
      <c r="N22" s="2894"/>
      <c r="O22" s="2894"/>
      <c r="P22" s="3524"/>
      <c r="Q22" s="1486"/>
      <c r="R22" s="713"/>
      <c r="S22" s="714"/>
      <c r="T22" s="713"/>
      <c r="U22" s="714"/>
      <c r="V22" s="713"/>
      <c r="W22" s="714"/>
      <c r="X22" s="1489"/>
      <c r="Y22" s="3489"/>
      <c r="Z22" s="1490"/>
      <c r="AA22" s="1487">
        <v>1</v>
      </c>
      <c r="AB22" s="1487">
        <v>1</v>
      </c>
      <c r="AC22" s="1487">
        <v>1</v>
      </c>
    </row>
    <row r="23" spans="1:29" ht="57">
      <c r="A23" s="386"/>
      <c r="B23" s="409" t="s">
        <v>1706</v>
      </c>
      <c r="C23" s="203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00"/>
      <c r="M23" s="2894"/>
      <c r="N23" s="2894"/>
      <c r="O23" s="2894"/>
      <c r="P23" s="3524"/>
      <c r="Q23" s="1486" t="str">
        <f>B23</f>
        <v>自然及人文环境</v>
      </c>
      <c r="R23" s="713" t="s">
        <v>21</v>
      </c>
      <c r="S23" s="714">
        <f>F23</f>
        <v>100</v>
      </c>
      <c r="T23" s="713" t="s">
        <v>21</v>
      </c>
      <c r="U23" s="714">
        <f>H23</f>
        <v>100</v>
      </c>
      <c r="V23" s="713" t="s">
        <v>21</v>
      </c>
      <c r="W23" s="714">
        <f>J23</f>
        <v>100</v>
      </c>
      <c r="X23" s="1489"/>
      <c r="Y23" s="3489"/>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900"/>
      <c r="M24" s="2894"/>
      <c r="N24" s="2894"/>
      <c r="O24" s="2894"/>
      <c r="P24" s="3524"/>
      <c r="Q24" s="1486"/>
      <c r="R24" s="713"/>
      <c r="S24" s="714"/>
      <c r="T24" s="713"/>
      <c r="U24" s="714"/>
      <c r="V24" s="713"/>
      <c r="W24" s="714"/>
      <c r="X24" s="1489"/>
      <c r="Y24" s="3489"/>
      <c r="Z24" s="1490"/>
      <c r="AA24" s="1487">
        <v>1</v>
      </c>
      <c r="AB24" s="1487">
        <v>1</v>
      </c>
      <c r="AC24" s="1487">
        <v>1</v>
      </c>
    </row>
    <row r="25" spans="1:29" ht="15">
      <c r="A25" s="386"/>
      <c r="B25" s="380" t="s">
        <v>2141</v>
      </c>
      <c r="C25" s="418"/>
      <c r="D25" s="393">
        <v>100</v>
      </c>
      <c r="E25" s="2042"/>
      <c r="F25" s="393">
        <f>SUMIF(86:86,E25,87:87)-SUMIF(86:86,C25,87:87)+100</f>
        <v>100</v>
      </c>
      <c r="G25" s="2043"/>
      <c r="H25" s="393">
        <f>SUMIF(86:86,G25,87:87)-SUMIF(86:86,C25,87:87)+100</f>
        <v>100</v>
      </c>
      <c r="I25" s="2043"/>
      <c r="J25" s="393">
        <f>SUMIF(86:86,I25,87:87)-SUMIF(86:86,C25,87:87)+100</f>
        <v>100</v>
      </c>
      <c r="K25" s="384"/>
      <c r="L25" s="2900"/>
      <c r="M25" s="2894"/>
      <c r="N25" s="2894"/>
      <c r="O25" s="2894"/>
      <c r="P25" s="3524"/>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89"/>
      <c r="Z25" s="1490" t="str">
        <f>Q25</f>
        <v>楼层-1</v>
      </c>
      <c r="AA25" s="1487">
        <f t="shared" ref="AA25:AA46" si="15">D25/F25</f>
        <v>1</v>
      </c>
      <c r="AB25" s="1487">
        <f t="shared" ref="AB25:AB46" si="16">D25/H25</f>
        <v>1</v>
      </c>
      <c r="AC25" s="1487">
        <f t="shared" ref="AC25:AC46" si="17">D25/J25</f>
        <v>1</v>
      </c>
    </row>
    <row r="26" spans="1:29" ht="15">
      <c r="A26" s="386"/>
      <c r="B26" s="380" t="s">
        <v>2142</v>
      </c>
      <c r="C26" s="418"/>
      <c r="D26" s="393">
        <v>100</v>
      </c>
      <c r="E26" s="2042"/>
      <c r="F26" s="393">
        <f>SUMIF(88:88,E26,89:89)-SUMIF(88:88,C26,89:89)+100</f>
        <v>100</v>
      </c>
      <c r="G26" s="2043"/>
      <c r="H26" s="393">
        <f>SUMIF(88:88,G26,89:89)-SUMIF(88:88,C26,89:89)+100</f>
        <v>100</v>
      </c>
      <c r="I26" s="2043"/>
      <c r="J26" s="393">
        <f>SUMIF(88:88,I26,89:89)-SUMIF(88:88,C26,89:89)+100</f>
        <v>100</v>
      </c>
      <c r="K26" s="384"/>
      <c r="L26" s="2900"/>
      <c r="M26" s="2894"/>
      <c r="N26" s="2894"/>
      <c r="O26" s="2894"/>
      <c r="P26" s="3524"/>
      <c r="Q26" s="1486" t="str">
        <f t="shared" si="11"/>
        <v>朝向</v>
      </c>
      <c r="R26" s="713" t="s">
        <v>21</v>
      </c>
      <c r="S26" s="714">
        <f t="shared" si="12"/>
        <v>100</v>
      </c>
      <c r="T26" s="713" t="s">
        <v>21</v>
      </c>
      <c r="U26" s="714">
        <f t="shared" si="13"/>
        <v>100</v>
      </c>
      <c r="V26" s="713" t="s">
        <v>21</v>
      </c>
      <c r="W26" s="714">
        <f t="shared" si="14"/>
        <v>100</v>
      </c>
      <c r="X26" s="1489"/>
      <c r="Y26" s="3489"/>
      <c r="Z26" s="1490" t="str">
        <f>Q26</f>
        <v>朝向</v>
      </c>
      <c r="AA26" s="1487">
        <f t="shared" si="15"/>
        <v>1</v>
      </c>
      <c r="AB26" s="1487">
        <f t="shared" si="16"/>
        <v>1</v>
      </c>
      <c r="AC26" s="1487">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5"/>
      <c r="M27" s="2896"/>
      <c r="N27" s="2896"/>
      <c r="O27" s="2896"/>
      <c r="P27" s="3524"/>
      <c r="Q27" s="1477">
        <f t="shared" si="11"/>
        <v>111</v>
      </c>
      <c r="R27" s="709" t="s">
        <v>21</v>
      </c>
      <c r="S27" s="710">
        <f t="shared" si="12"/>
        <v>100</v>
      </c>
      <c r="T27" s="709" t="s">
        <v>21</v>
      </c>
      <c r="U27" s="710">
        <f t="shared" si="13"/>
        <v>100</v>
      </c>
      <c r="V27" s="709" t="s">
        <v>21</v>
      </c>
      <c r="W27" s="710">
        <f t="shared" si="14"/>
        <v>100</v>
      </c>
      <c r="X27" s="711"/>
      <c r="Y27" s="3489"/>
      <c r="Z27" s="55">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900"/>
      <c r="M28" s="2894"/>
      <c r="N28" s="2894"/>
      <c r="O28" s="2894"/>
      <c r="P28" s="3524"/>
      <c r="Q28" s="1486">
        <f t="shared" si="11"/>
        <v>111</v>
      </c>
      <c r="R28" s="713" t="s">
        <v>21</v>
      </c>
      <c r="S28" s="714">
        <f t="shared" si="12"/>
        <v>100</v>
      </c>
      <c r="T28" s="713" t="s">
        <v>21</v>
      </c>
      <c r="U28" s="714">
        <f t="shared" si="13"/>
        <v>100</v>
      </c>
      <c r="V28" s="713" t="s">
        <v>21</v>
      </c>
      <c r="W28" s="714">
        <f t="shared" si="14"/>
        <v>100</v>
      </c>
      <c r="X28" s="1489"/>
      <c r="Y28" s="3489"/>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900"/>
      <c r="M29" s="2894"/>
      <c r="N29" s="2894"/>
      <c r="O29" s="2894"/>
      <c r="P29" s="3524"/>
      <c r="Q29" s="1486">
        <f t="shared" si="11"/>
        <v>111</v>
      </c>
      <c r="R29" s="713" t="s">
        <v>21</v>
      </c>
      <c r="S29" s="714">
        <f t="shared" si="12"/>
        <v>100</v>
      </c>
      <c r="T29" s="713" t="s">
        <v>21</v>
      </c>
      <c r="U29" s="714">
        <f t="shared" si="13"/>
        <v>100</v>
      </c>
      <c r="V29" s="713" t="s">
        <v>21</v>
      </c>
      <c r="W29" s="714">
        <f t="shared" si="14"/>
        <v>100</v>
      </c>
      <c r="X29" s="1489"/>
      <c r="Y29" s="3489"/>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900"/>
      <c r="M30" s="2894"/>
      <c r="N30" s="2894"/>
      <c r="O30" s="2894"/>
      <c r="P30" s="3524"/>
      <c r="Q30" s="1486">
        <f t="shared" si="11"/>
        <v>111</v>
      </c>
      <c r="R30" s="713" t="s">
        <v>21</v>
      </c>
      <c r="S30" s="714">
        <f t="shared" si="12"/>
        <v>100</v>
      </c>
      <c r="T30" s="713" t="s">
        <v>21</v>
      </c>
      <c r="U30" s="714">
        <f t="shared" si="13"/>
        <v>100</v>
      </c>
      <c r="V30" s="713" t="s">
        <v>21</v>
      </c>
      <c r="W30" s="714">
        <f t="shared" si="14"/>
        <v>100</v>
      </c>
      <c r="X30" s="1489"/>
      <c r="Y30" s="3489"/>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900"/>
      <c r="M31" s="2894"/>
      <c r="N31" s="2894"/>
      <c r="O31" s="2894"/>
      <c r="P31" s="3524"/>
      <c r="Q31" s="1486">
        <f t="shared" si="11"/>
        <v>111</v>
      </c>
      <c r="R31" s="713" t="s">
        <v>21</v>
      </c>
      <c r="S31" s="714">
        <f t="shared" si="12"/>
        <v>100</v>
      </c>
      <c r="T31" s="713" t="s">
        <v>21</v>
      </c>
      <c r="U31" s="714">
        <f t="shared" si="13"/>
        <v>100</v>
      </c>
      <c r="V31" s="713" t="s">
        <v>21</v>
      </c>
      <c r="W31" s="714">
        <f t="shared" si="14"/>
        <v>100</v>
      </c>
      <c r="X31" s="1489"/>
      <c r="Y31" s="3489"/>
      <c r="Z31" s="1490">
        <f t="shared" si="18"/>
        <v>111</v>
      </c>
      <c r="AA31" s="1487">
        <f t="shared" si="15"/>
        <v>1</v>
      </c>
      <c r="AB31" s="1487">
        <f t="shared" si="16"/>
        <v>1</v>
      </c>
      <c r="AC31" s="1487">
        <f t="shared" si="17"/>
        <v>1</v>
      </c>
    </row>
    <row r="32" spans="1:29" ht="15">
      <c r="A32" s="398" t="s">
        <v>2143</v>
      </c>
      <c r="B32" s="66" t="s">
        <v>2144</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900"/>
      <c r="M32" s="2894"/>
      <c r="N32" s="2894"/>
      <c r="O32" s="2894"/>
      <c r="P32" s="3519" t="s">
        <v>2145</v>
      </c>
      <c r="Q32" s="1486" t="str">
        <f t="shared" si="11"/>
        <v>建筑类型</v>
      </c>
      <c r="R32" s="713" t="s">
        <v>21</v>
      </c>
      <c r="S32" s="714">
        <f t="shared" si="12"/>
        <v>100</v>
      </c>
      <c r="T32" s="713" t="s">
        <v>21</v>
      </c>
      <c r="U32" s="714">
        <f t="shared" si="13"/>
        <v>100</v>
      </c>
      <c r="V32" s="713" t="s">
        <v>21</v>
      </c>
      <c r="W32" s="714">
        <f t="shared" si="14"/>
        <v>100</v>
      </c>
      <c r="X32" s="1489"/>
      <c r="Y32" s="3491" t="s">
        <v>2145</v>
      </c>
      <c r="Z32" s="1490" t="str">
        <f t="shared" si="18"/>
        <v>建筑类型</v>
      </c>
      <c r="AA32" s="1487">
        <f t="shared" si="15"/>
        <v>1</v>
      </c>
      <c r="AB32" s="1487">
        <f t="shared" si="16"/>
        <v>1</v>
      </c>
      <c r="AC32" s="1487">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9"/>
      <c r="M33" s="2901"/>
      <c r="N33" s="2901"/>
      <c r="O33" s="2901"/>
      <c r="P33" s="3520"/>
      <c r="Q33" s="715" t="str">
        <f t="shared" si="11"/>
        <v>项目建筑规模</v>
      </c>
      <c r="R33" s="716" t="s">
        <v>21</v>
      </c>
      <c r="S33" s="717" t="e">
        <f t="shared" si="12"/>
        <v>#N/A</v>
      </c>
      <c r="T33" s="716" t="s">
        <v>21</v>
      </c>
      <c r="U33" s="717" t="e">
        <f t="shared" si="13"/>
        <v>#N/A</v>
      </c>
      <c r="V33" s="716" t="s">
        <v>21</v>
      </c>
      <c r="W33" s="717" t="e">
        <f t="shared" si="14"/>
        <v>#N/A</v>
      </c>
      <c r="X33" s="718"/>
      <c r="Y33" s="3491"/>
      <c r="Z33" s="719" t="str">
        <f t="shared" si="18"/>
        <v>项目建筑规模</v>
      </c>
      <c r="AA33" s="1487" t="e">
        <f t="shared" si="15"/>
        <v>#N/A</v>
      </c>
      <c r="AB33" s="1487" t="e">
        <f t="shared" si="16"/>
        <v>#N/A</v>
      </c>
      <c r="AC33" s="1487" t="e">
        <f t="shared" si="17"/>
        <v>#N/A</v>
      </c>
    </row>
    <row r="34" spans="1:29" ht="15">
      <c r="A34" s="430"/>
      <c r="B34" s="380" t="s">
        <v>2147</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900"/>
      <c r="M34" s="2894"/>
      <c r="N34" s="2894"/>
      <c r="O34" s="2894"/>
      <c r="P34" s="3520"/>
      <c r="Q34" s="1486" t="str">
        <f t="shared" si="11"/>
        <v>建筑结构</v>
      </c>
      <c r="R34" s="713" t="s">
        <v>21</v>
      </c>
      <c r="S34" s="714">
        <f t="shared" si="12"/>
        <v>100</v>
      </c>
      <c r="T34" s="713" t="s">
        <v>21</v>
      </c>
      <c r="U34" s="714">
        <f t="shared" si="13"/>
        <v>100</v>
      </c>
      <c r="V34" s="713" t="s">
        <v>21</v>
      </c>
      <c r="W34" s="714">
        <f t="shared" si="14"/>
        <v>100</v>
      </c>
      <c r="X34" s="1489"/>
      <c r="Y34" s="3491"/>
      <c r="Z34" s="1490" t="str">
        <f t="shared" si="18"/>
        <v>建筑结构</v>
      </c>
      <c r="AA34" s="1487">
        <f t="shared" si="15"/>
        <v>1</v>
      </c>
      <c r="AB34" s="1487">
        <f t="shared" si="16"/>
        <v>1</v>
      </c>
      <c r="AC34" s="1487">
        <f t="shared" si="17"/>
        <v>1</v>
      </c>
    </row>
    <row r="35" spans="1:29" ht="15">
      <c r="A35" s="430"/>
      <c r="B35" s="380" t="s">
        <v>2148</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900"/>
      <c r="M35" s="2894"/>
      <c r="N35" s="2894"/>
      <c r="O35" s="2894"/>
      <c r="P35" s="3520"/>
      <c r="Q35" s="1486" t="str">
        <f t="shared" si="11"/>
        <v>建筑品质</v>
      </c>
      <c r="R35" s="713" t="s">
        <v>21</v>
      </c>
      <c r="S35" s="714">
        <f t="shared" si="12"/>
        <v>100</v>
      </c>
      <c r="T35" s="713" t="s">
        <v>21</v>
      </c>
      <c r="U35" s="714">
        <f t="shared" si="13"/>
        <v>100</v>
      </c>
      <c r="V35" s="713" t="s">
        <v>21</v>
      </c>
      <c r="W35" s="714">
        <f t="shared" si="14"/>
        <v>100</v>
      </c>
      <c r="X35" s="1489"/>
      <c r="Y35" s="3491"/>
      <c r="Z35" s="1490" t="str">
        <f t="shared" si="18"/>
        <v>建筑品质</v>
      </c>
      <c r="AA35" s="1487">
        <f t="shared" si="15"/>
        <v>1</v>
      </c>
      <c r="AB35" s="1487">
        <f t="shared" si="16"/>
        <v>1</v>
      </c>
      <c r="AC35" s="1487">
        <f t="shared" si="17"/>
        <v>1</v>
      </c>
    </row>
    <row r="36" spans="1:29" ht="15">
      <c r="A36" s="430"/>
      <c r="B36" s="380" t="s">
        <v>2149</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900"/>
      <c r="M36" s="2894"/>
      <c r="N36" s="2894"/>
      <c r="O36" s="2894"/>
      <c r="P36" s="3520"/>
      <c r="Q36" s="1486" t="str">
        <f t="shared" si="11"/>
        <v>公共部分装修</v>
      </c>
      <c r="R36" s="713" t="s">
        <v>21</v>
      </c>
      <c r="S36" s="714">
        <f t="shared" si="12"/>
        <v>100</v>
      </c>
      <c r="T36" s="713" t="s">
        <v>21</v>
      </c>
      <c r="U36" s="714">
        <f t="shared" si="13"/>
        <v>100</v>
      </c>
      <c r="V36" s="713" t="s">
        <v>21</v>
      </c>
      <c r="W36" s="714">
        <f t="shared" si="14"/>
        <v>100</v>
      </c>
      <c r="X36" s="1489"/>
      <c r="Y36" s="3491"/>
      <c r="Z36" s="1490" t="str">
        <f t="shared" si="18"/>
        <v>公共部分装修</v>
      </c>
      <c r="AA36" s="1487">
        <f t="shared" si="15"/>
        <v>1</v>
      </c>
      <c r="AB36" s="1487">
        <f t="shared" si="16"/>
        <v>1</v>
      </c>
      <c r="AC36" s="1487">
        <f t="shared" si="17"/>
        <v>1</v>
      </c>
    </row>
    <row r="37" spans="1:29" s="112"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5"/>
      <c r="M37" s="2896"/>
      <c r="N37" s="2896"/>
      <c r="O37" s="2896"/>
      <c r="P37" s="3520"/>
      <c r="Q37" s="1477" t="str">
        <f t="shared" si="11"/>
        <v>成新度</v>
      </c>
      <c r="R37" s="709" t="s">
        <v>21</v>
      </c>
      <c r="S37" s="710" t="e">
        <f t="shared" si="12"/>
        <v>#N/A</v>
      </c>
      <c r="T37" s="709" t="s">
        <v>21</v>
      </c>
      <c r="U37" s="710" t="e">
        <f t="shared" si="13"/>
        <v>#N/A</v>
      </c>
      <c r="V37" s="709" t="s">
        <v>21</v>
      </c>
      <c r="W37" s="710" t="e">
        <f t="shared" si="14"/>
        <v>#N/A</v>
      </c>
      <c r="X37" s="711"/>
      <c r="Y37" s="3491"/>
      <c r="Z37" s="55" t="str">
        <f t="shared" si="18"/>
        <v>成新度</v>
      </c>
      <c r="AA37" s="712" t="e">
        <f t="shared" si="15"/>
        <v>#N/A</v>
      </c>
      <c r="AB37" s="712" t="e">
        <f t="shared" si="16"/>
        <v>#N/A</v>
      </c>
      <c r="AC37" s="712" t="e">
        <f t="shared" si="17"/>
        <v>#N/A</v>
      </c>
    </row>
    <row r="38" spans="1:29" ht="15">
      <c r="A38" s="430"/>
      <c r="B38" s="380" t="s">
        <v>2151</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900"/>
      <c r="M38" s="2894"/>
      <c r="N38" s="2894"/>
      <c r="O38" s="2894"/>
      <c r="P38" s="3520" t="s">
        <v>2145</v>
      </c>
      <c r="Q38" s="1486" t="str">
        <f t="shared" si="11"/>
        <v>物业管理</v>
      </c>
      <c r="R38" s="713" t="s">
        <v>21</v>
      </c>
      <c r="S38" s="714">
        <f t="shared" si="12"/>
        <v>100</v>
      </c>
      <c r="T38" s="713" t="s">
        <v>21</v>
      </c>
      <c r="U38" s="714">
        <f t="shared" si="13"/>
        <v>100</v>
      </c>
      <c r="V38" s="713" t="s">
        <v>21</v>
      </c>
      <c r="W38" s="714">
        <f t="shared" si="14"/>
        <v>100</v>
      </c>
      <c r="X38" s="1489"/>
      <c r="Y38" s="3491" t="s">
        <v>2145</v>
      </c>
      <c r="Z38" s="1490" t="str">
        <f t="shared" si="18"/>
        <v>物业管理</v>
      </c>
      <c r="AA38" s="1487">
        <f t="shared" si="15"/>
        <v>1</v>
      </c>
      <c r="AB38" s="1487">
        <f t="shared" si="16"/>
        <v>1</v>
      </c>
      <c r="AC38" s="1487">
        <f t="shared" si="17"/>
        <v>1</v>
      </c>
    </row>
    <row r="39" spans="1:29" ht="15">
      <c r="A39" s="430"/>
      <c r="B39" s="380" t="s">
        <v>2152</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900"/>
      <c r="M39" s="2894"/>
      <c r="N39" s="2894"/>
      <c r="O39" s="2894"/>
      <c r="P39" s="3520"/>
      <c r="Q39" s="1486" t="str">
        <f t="shared" si="11"/>
        <v>市政基础设施</v>
      </c>
      <c r="R39" s="713" t="s">
        <v>21</v>
      </c>
      <c r="S39" s="714">
        <f t="shared" si="12"/>
        <v>100</v>
      </c>
      <c r="T39" s="713" t="s">
        <v>21</v>
      </c>
      <c r="U39" s="714">
        <f t="shared" si="13"/>
        <v>100</v>
      </c>
      <c r="V39" s="713" t="s">
        <v>21</v>
      </c>
      <c r="W39" s="714">
        <f t="shared" si="14"/>
        <v>100</v>
      </c>
      <c r="X39" s="1489"/>
      <c r="Y39" s="3491"/>
      <c r="Z39" s="1490" t="str">
        <f t="shared" si="18"/>
        <v>市政基础设施</v>
      </c>
      <c r="AA39" s="1487">
        <f t="shared" si="15"/>
        <v>1</v>
      </c>
      <c r="AB39" s="1487">
        <f t="shared" si="16"/>
        <v>1</v>
      </c>
      <c r="AC39" s="1487">
        <f t="shared" si="17"/>
        <v>1</v>
      </c>
    </row>
    <row r="40" spans="1:29" ht="15">
      <c r="A40" s="430"/>
      <c r="B40" s="380" t="s">
        <v>2153</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900"/>
      <c r="M40" s="2894"/>
      <c r="N40" s="2894"/>
      <c r="O40" s="2894"/>
      <c r="P40" s="3520"/>
      <c r="Q40" s="1486" t="str">
        <f t="shared" si="11"/>
        <v>房型</v>
      </c>
      <c r="R40" s="713" t="s">
        <v>21</v>
      </c>
      <c r="S40" s="714">
        <f t="shared" si="12"/>
        <v>100</v>
      </c>
      <c r="T40" s="713" t="s">
        <v>21</v>
      </c>
      <c r="U40" s="714">
        <f t="shared" si="13"/>
        <v>100</v>
      </c>
      <c r="V40" s="713" t="s">
        <v>21</v>
      </c>
      <c r="W40" s="714">
        <f t="shared" si="14"/>
        <v>100</v>
      </c>
      <c r="X40" s="1489"/>
      <c r="Y40" s="3491"/>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9"/>
      <c r="M41" s="2901"/>
      <c r="N41" s="2901"/>
      <c r="O41" s="2901"/>
      <c r="P41" s="3520"/>
      <c r="Q41" s="715" t="str">
        <f t="shared" si="11"/>
        <v>单套/主力户型建筑面积</v>
      </c>
      <c r="R41" s="716" t="s">
        <v>21</v>
      </c>
      <c r="S41" s="717">
        <f t="shared" si="12"/>
        <v>100</v>
      </c>
      <c r="T41" s="716" t="s">
        <v>21</v>
      </c>
      <c r="U41" s="717">
        <f t="shared" si="13"/>
        <v>100</v>
      </c>
      <c r="V41" s="716" t="s">
        <v>21</v>
      </c>
      <c r="W41" s="717">
        <f t="shared" si="14"/>
        <v>100</v>
      </c>
      <c r="X41" s="718"/>
      <c r="Y41" s="3491"/>
      <c r="Z41" s="719" t="str">
        <f t="shared" si="18"/>
        <v>单套/主力户型建筑面积</v>
      </c>
      <c r="AA41" s="1487">
        <f t="shared" si="15"/>
        <v>1</v>
      </c>
      <c r="AB41" s="1487">
        <f t="shared" si="16"/>
        <v>1</v>
      </c>
      <c r="AC41" s="1487">
        <f t="shared" si="17"/>
        <v>1</v>
      </c>
    </row>
    <row r="42" spans="1:29" ht="15">
      <c r="A42" s="430"/>
      <c r="B42" s="380" t="s">
        <v>2155</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900"/>
      <c r="M42" s="2894"/>
      <c r="N42" s="2894"/>
      <c r="O42" s="2894"/>
      <c r="P42" s="3520"/>
      <c r="Q42" s="1486" t="str">
        <f t="shared" si="11"/>
        <v>内部装修</v>
      </c>
      <c r="R42" s="713" t="s">
        <v>21</v>
      </c>
      <c r="S42" s="714">
        <f t="shared" si="12"/>
        <v>100</v>
      </c>
      <c r="T42" s="713" t="s">
        <v>21</v>
      </c>
      <c r="U42" s="714">
        <f t="shared" si="13"/>
        <v>100</v>
      </c>
      <c r="V42" s="713" t="s">
        <v>21</v>
      </c>
      <c r="W42" s="714">
        <f t="shared" si="14"/>
        <v>100</v>
      </c>
      <c r="X42" s="1489"/>
      <c r="Y42" s="3491"/>
      <c r="Z42" s="1490" t="str">
        <f t="shared" si="18"/>
        <v>内部装修</v>
      </c>
      <c r="AA42" s="1487">
        <f t="shared" si="15"/>
        <v>1</v>
      </c>
      <c r="AB42" s="1487">
        <f t="shared" si="16"/>
        <v>1</v>
      </c>
      <c r="AC42" s="1487">
        <f t="shared" si="17"/>
        <v>1</v>
      </c>
    </row>
    <row r="43" spans="1:29" ht="15">
      <c r="A43" s="430"/>
      <c r="B43" s="380" t="s">
        <v>2156</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900"/>
      <c r="M43" s="2894"/>
      <c r="N43" s="2894"/>
      <c r="O43" s="2894"/>
      <c r="P43" s="3520"/>
      <c r="Q43" s="1486" t="str">
        <f t="shared" si="11"/>
        <v>内部装修维护情况</v>
      </c>
      <c r="R43" s="713" t="s">
        <v>21</v>
      </c>
      <c r="S43" s="714">
        <f t="shared" si="12"/>
        <v>100</v>
      </c>
      <c r="T43" s="713" t="s">
        <v>21</v>
      </c>
      <c r="U43" s="714">
        <f t="shared" si="13"/>
        <v>100</v>
      </c>
      <c r="V43" s="713" t="s">
        <v>21</v>
      </c>
      <c r="W43" s="714">
        <f t="shared" si="14"/>
        <v>100</v>
      </c>
      <c r="X43" s="1489"/>
      <c r="Y43" s="3491"/>
      <c r="Z43" s="1490" t="str">
        <f t="shared" si="18"/>
        <v>内部装修维护情况</v>
      </c>
      <c r="AA43" s="1487">
        <f t="shared" si="15"/>
        <v>1</v>
      </c>
      <c r="AB43" s="1487">
        <f t="shared" si="16"/>
        <v>1</v>
      </c>
      <c r="AC43" s="1487">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5"/>
      <c r="M44" s="2896"/>
      <c r="N44" s="2896"/>
      <c r="O44" s="2896"/>
      <c r="P44" s="3520"/>
      <c r="Q44" s="1477">
        <f t="shared" si="11"/>
        <v>111</v>
      </c>
      <c r="R44" s="709" t="s">
        <v>21</v>
      </c>
      <c r="S44" s="710">
        <f t="shared" si="12"/>
        <v>100</v>
      </c>
      <c r="T44" s="709" t="s">
        <v>21</v>
      </c>
      <c r="U44" s="710">
        <f t="shared" si="13"/>
        <v>100</v>
      </c>
      <c r="V44" s="709" t="s">
        <v>21</v>
      </c>
      <c r="W44" s="710">
        <f t="shared" si="14"/>
        <v>100</v>
      </c>
      <c r="X44" s="711"/>
      <c r="Y44" s="3491"/>
      <c r="Z44" s="55">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900"/>
      <c r="M45" s="2894"/>
      <c r="N45" s="2894"/>
      <c r="O45" s="2894"/>
      <c r="P45" s="3520"/>
      <c r="Q45" s="1486">
        <f t="shared" si="11"/>
        <v>111</v>
      </c>
      <c r="R45" s="713" t="s">
        <v>21</v>
      </c>
      <c r="S45" s="714">
        <f t="shared" si="12"/>
        <v>100</v>
      </c>
      <c r="T45" s="713" t="s">
        <v>21</v>
      </c>
      <c r="U45" s="714">
        <f t="shared" si="13"/>
        <v>100</v>
      </c>
      <c r="V45" s="713" t="s">
        <v>21</v>
      </c>
      <c r="W45" s="714">
        <f t="shared" si="14"/>
        <v>100</v>
      </c>
      <c r="X45" s="1489"/>
      <c r="Y45" s="3491"/>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900"/>
      <c r="M46" s="2894"/>
      <c r="N46" s="2894"/>
      <c r="O46" s="2894"/>
      <c r="P46" s="3521"/>
      <c r="Q46" s="1486">
        <f t="shared" si="11"/>
        <v>111</v>
      </c>
      <c r="R46" s="713" t="s">
        <v>20</v>
      </c>
      <c r="S46" s="714">
        <f t="shared" si="12"/>
        <v>100</v>
      </c>
      <c r="T46" s="713" t="s">
        <v>20</v>
      </c>
      <c r="U46" s="714">
        <f t="shared" si="13"/>
        <v>100</v>
      </c>
      <c r="V46" s="713" t="s">
        <v>20</v>
      </c>
      <c r="W46" s="714">
        <f t="shared" si="14"/>
        <v>100</v>
      </c>
      <c r="X46" s="1489"/>
      <c r="Y46" s="3522"/>
      <c r="Z46" s="1490">
        <f t="shared" si="18"/>
        <v>111</v>
      </c>
      <c r="AA46" s="1487">
        <f t="shared" si="15"/>
        <v>1</v>
      </c>
      <c r="AB46" s="1487">
        <f t="shared" si="16"/>
        <v>1</v>
      </c>
      <c r="AC46" s="1487">
        <f t="shared" si="17"/>
        <v>1</v>
      </c>
    </row>
    <row r="47" spans="1:29" ht="15">
      <c r="A47" s="437" t="s">
        <v>2157</v>
      </c>
      <c r="B47" s="438"/>
      <c r="C47" s="1268" t="s">
        <v>19</v>
      </c>
      <c r="D47" s="1269"/>
      <c r="E47" s="1270"/>
      <c r="F47" s="1271"/>
      <c r="G47" s="1272"/>
      <c r="H47" s="1273"/>
      <c r="I47" s="1270"/>
      <c r="J47" s="1273"/>
      <c r="K47" s="2050"/>
      <c r="L47" s="2902"/>
      <c r="M47" s="2903"/>
      <c r="N47" s="2894"/>
      <c r="O47" s="2903"/>
      <c r="P47" s="3473" t="str">
        <f>A47</f>
        <v>成交单价（元/平方米）</v>
      </c>
      <c r="Q47" s="3473"/>
      <c r="R47" s="3492">
        <f>E47</f>
        <v>0</v>
      </c>
      <c r="S47" s="3492"/>
      <c r="T47" s="3492">
        <f>G47</f>
        <v>0</v>
      </c>
      <c r="U47" s="3492"/>
      <c r="V47" s="3492">
        <f>I47</f>
        <v>0</v>
      </c>
      <c r="W47" s="3492"/>
      <c r="X47" s="698"/>
      <c r="Y47" s="720"/>
      <c r="Z47" s="698"/>
      <c r="AA47" s="698"/>
      <c r="AB47" s="698"/>
      <c r="AC47" s="698"/>
    </row>
    <row r="48" spans="1:29" ht="15.75" thickBot="1">
      <c r="A48" s="444" t="s">
        <v>2158</v>
      </c>
      <c r="B48" s="445"/>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473" t="str">
        <f>A48</f>
        <v>比较价值（元/平方米）</v>
      </c>
      <c r="Q48" s="3473"/>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1"/>
      <c r="L49" s="2902"/>
      <c r="M49" s="2903"/>
      <c r="N49" s="2903"/>
      <c r="O49" s="2903"/>
      <c r="P49" s="3493" t="str">
        <f>A49</f>
        <v>估价对象XX用房的比较价值（楼面单价，元/平方米）</v>
      </c>
      <c r="Q49" s="3494"/>
      <c r="R49" s="3518" t="e">
        <f>IF(F1="售价",ROUND(IF(D48="简单平均",AVERAGE(R48:V48),R48*F48+T48*H48+V48*J48),0),ROUND(IF(D48="简单平均",AVERAGE(R48:V48),R48*F48+T48*H48+V48*J48),1))</f>
        <v>#DIV/0!</v>
      </c>
      <c r="S49" s="3518"/>
      <c r="T49" s="3518"/>
      <c r="U49" s="3518"/>
      <c r="V49" s="3518"/>
      <c r="W49" s="3518"/>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row>
    <row r="53" spans="1:29" ht="13.5" customHeight="1">
      <c r="A53" s="2903"/>
      <c r="B53" s="2903"/>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row>
    <row r="54" spans="1:29" s="458" customFormat="1" ht="13.5" customHeight="1">
      <c r="A54" s="2906"/>
      <c r="B54" s="2906"/>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053"/>
    </row>
    <row r="55" spans="1:29" s="458"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0"/>
    </row>
    <row r="58" spans="1:29" s="464" customFormat="1" ht="15">
      <c r="A58" s="461" t="s">
        <v>2164</v>
      </c>
      <c r="B58" s="462"/>
      <c r="C58" s="1300" t="str">
        <f>YEAR(C7)&amp;"-"&amp;MONTH(C7)</f>
        <v>2022-5</v>
      </c>
      <c r="D58" s="1299">
        <f>EDATE(C58,-1)</f>
        <v>44652</v>
      </c>
      <c r="E58" s="1299">
        <f>EDATE(D58,-1)</f>
        <v>44621</v>
      </c>
      <c r="F58" s="1299">
        <f t="shared" ref="F58:O58" si="19">EDATE(E58,-1)</f>
        <v>44593</v>
      </c>
      <c r="G58" s="1299">
        <f t="shared" si="19"/>
        <v>44562</v>
      </c>
      <c r="H58" s="1299">
        <f t="shared" si="19"/>
        <v>44531</v>
      </c>
      <c r="I58" s="1299">
        <f t="shared" si="19"/>
        <v>44501</v>
      </c>
      <c r="J58" s="1299">
        <f t="shared" si="19"/>
        <v>44470</v>
      </c>
      <c r="K58" s="1299">
        <f t="shared" si="19"/>
        <v>44440</v>
      </c>
      <c r="L58" s="1299">
        <f t="shared" si="19"/>
        <v>44409</v>
      </c>
      <c r="M58" s="1299">
        <f t="shared" si="19"/>
        <v>44378</v>
      </c>
      <c r="N58" s="1299">
        <f t="shared" si="19"/>
        <v>44348</v>
      </c>
      <c r="O58" s="1299">
        <f t="shared" si="19"/>
        <v>44317</v>
      </c>
      <c r="P58" s="1295"/>
    </row>
    <row r="59" spans="1:29" s="112" customFormat="1" ht="15">
      <c r="A59" s="465"/>
      <c r="B59" s="2055"/>
      <c r="C59" s="1297">
        <v>100</v>
      </c>
      <c r="D59" s="467"/>
      <c r="E59" s="468"/>
      <c r="F59" s="468"/>
      <c r="G59" s="468"/>
      <c r="H59" s="468"/>
      <c r="I59" s="468"/>
      <c r="J59" s="468"/>
      <c r="K59" s="468"/>
      <c r="L59" s="468"/>
      <c r="M59" s="469"/>
      <c r="N59" s="468"/>
      <c r="O59" s="469"/>
      <c r="P59" s="2056"/>
    </row>
    <row r="60" spans="1:29" s="112" customFormat="1" ht="15.75" thickBot="1">
      <c r="A60" s="471" t="s">
        <v>2165</v>
      </c>
      <c r="B60" s="472"/>
      <c r="C60" s="473"/>
      <c r="D60" s="474"/>
      <c r="E60" s="474"/>
      <c r="F60" s="474"/>
      <c r="G60" s="474"/>
      <c r="H60" s="474"/>
      <c r="I60" s="474"/>
      <c r="J60" s="474"/>
      <c r="K60" s="474"/>
      <c r="L60" s="474"/>
      <c r="M60" s="475"/>
      <c r="N60" s="474"/>
      <c r="O60" s="475"/>
      <c r="P60" s="2056"/>
      <c r="Q60" s="460"/>
    </row>
    <row r="61" spans="1:29" s="112" customFormat="1" ht="15">
      <c r="A61" s="477" t="s">
        <v>2166</v>
      </c>
      <c r="B61" s="466"/>
      <c r="C61" s="478" t="s">
        <v>2167</v>
      </c>
      <c r="D61" s="479"/>
      <c r="E61" s="479"/>
      <c r="F61" s="479"/>
      <c r="G61" s="479"/>
      <c r="H61" s="479"/>
      <c r="I61" s="479"/>
      <c r="J61" s="479"/>
      <c r="K61" s="479"/>
      <c r="L61" s="480"/>
      <c r="M61" s="481"/>
      <c r="N61" s="1043"/>
      <c r="O61" s="1043"/>
      <c r="P61" s="2057"/>
      <c r="Q61" s="460"/>
    </row>
    <row r="62" spans="1:29" s="112"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2168</v>
      </c>
      <c r="B63" s="484" t="s">
        <v>2134</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2" customFormat="1" ht="15.75" thickTop="1">
      <c r="A86" s="535"/>
      <c r="B86" s="494" t="s">
        <v>2190</v>
      </c>
      <c r="C86" s="510"/>
      <c r="D86" s="510"/>
      <c r="E86" s="510"/>
      <c r="F86" s="510"/>
      <c r="G86" s="510"/>
      <c r="H86" s="510"/>
      <c r="I86" s="510"/>
      <c r="J86" s="510"/>
      <c r="K86" s="510"/>
      <c r="L86" s="536"/>
      <c r="M86" s="537"/>
      <c r="N86" s="1043"/>
      <c r="O86" s="1043"/>
      <c r="P86" s="2058"/>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2" customFormat="1" ht="15.75" thickTop="1">
      <c r="A88" s="535"/>
      <c r="B88" s="494" t="s">
        <v>2191</v>
      </c>
      <c r="C88" s="510"/>
      <c r="D88" s="510"/>
      <c r="E88" s="510"/>
      <c r="F88" s="2063"/>
      <c r="G88" s="510"/>
      <c r="H88" s="510"/>
      <c r="I88" s="510"/>
      <c r="J88" s="510"/>
      <c r="K88" s="510"/>
      <c r="L88" s="510"/>
      <c r="M88" s="537"/>
      <c r="N88" s="1043"/>
      <c r="O88" s="1043"/>
      <c r="P88" s="2058"/>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2143</v>
      </c>
      <c r="B100" s="484" t="s">
        <v>2192</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2194</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2195</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2196</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2197</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2198</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2199</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2200</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1" t="s">
        <v>2205</v>
      </c>
      <c r="D138" s="141" t="s">
        <v>2206</v>
      </c>
      <c r="E138" s="2073" t="s">
        <v>2207</v>
      </c>
      <c r="F138" s="2074" t="s">
        <v>2208</v>
      </c>
      <c r="G138" s="141" t="s">
        <v>2206</v>
      </c>
      <c r="H138" s="142" t="s">
        <v>2207</v>
      </c>
      <c r="I138" s="2075"/>
      <c r="J138" s="141" t="s">
        <v>2209</v>
      </c>
      <c r="K138" s="142"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6">
        <f>ROUNDUP((J139-1)/2,0)</f>
        <v>10</v>
      </c>
      <c r="K140" s="989">
        <v>100</v>
      </c>
    </row>
    <row r="141" spans="1:17" ht="15">
      <c r="B141" s="984">
        <v>4</v>
      </c>
      <c r="C141" s="985">
        <v>102</v>
      </c>
      <c r="D141" s="985"/>
      <c r="E141" s="986"/>
      <c r="F141" s="987">
        <v>101.5</v>
      </c>
      <c r="G141" s="985"/>
      <c r="H141" s="988"/>
      <c r="I141" s="2078" t="s">
        <v>2214</v>
      </c>
      <c r="J141" s="276">
        <v>1</v>
      </c>
      <c r="K141" s="990">
        <f>ROUND(100+(J141-J140)*K139*100,1)</f>
        <v>96.4</v>
      </c>
    </row>
    <row r="142" spans="1:17" ht="15">
      <c r="B142" s="984">
        <v>3</v>
      </c>
      <c r="C142" s="985">
        <v>103</v>
      </c>
      <c r="D142" s="985"/>
      <c r="E142" s="986"/>
      <c r="F142" s="987">
        <v>101</v>
      </c>
      <c r="G142" s="985"/>
      <c r="H142" s="988"/>
      <c r="I142" s="2078" t="s">
        <v>2215</v>
      </c>
      <c r="J142" s="276">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7" customFormat="1" ht="28.5" customHeight="1" thickBot="1">
      <c r="A3" s="208" t="s">
        <v>1909</v>
      </c>
      <c r="B3" s="565" t="e">
        <f ca="1">IF(C2="——",C49,ROUND(B2*10000/D3,0))</f>
        <v>#DIV/0!</v>
      </c>
      <c r="C3" s="359" t="s">
        <v>2224</v>
      </c>
      <c r="D3" s="358">
        <f>IF(D1="",'数据-汇总表'!E3,SUMIF('数据-汇总表'!$C19:$C33,D1,'数据-汇总表'!$E19:$E33))</f>
        <v>32206.890000000196</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0" t="s">
        <v>2225</v>
      </c>
      <c r="B4" s="361"/>
      <c r="C4" s="3474" t="s">
        <v>2226</v>
      </c>
      <c r="D4" s="3475"/>
      <c r="E4" s="3476" t="s">
        <v>2227</v>
      </c>
      <c r="F4" s="3477"/>
      <c r="G4" s="3474" t="s">
        <v>2228</v>
      </c>
      <c r="H4" s="3475"/>
      <c r="I4" s="3474" t="s">
        <v>2229</v>
      </c>
      <c r="J4" s="3475"/>
      <c r="K4" s="566" t="s">
        <v>2230</v>
      </c>
      <c r="L4" s="2893"/>
      <c r="M4" s="2894"/>
      <c r="N4" s="2894"/>
      <c r="O4" s="2894"/>
      <c r="P4" s="3478" t="s">
        <v>2231</v>
      </c>
      <c r="Q4" s="3479"/>
      <c r="R4" s="3461" t="s">
        <v>2227</v>
      </c>
      <c r="S4" s="3462"/>
      <c r="T4" s="3461" t="s">
        <v>2228</v>
      </c>
      <c r="U4" s="3462"/>
      <c r="V4" s="3486" t="s">
        <v>2229</v>
      </c>
      <c r="W4" s="3486"/>
      <c r="X4" s="1489"/>
      <c r="Y4" s="3461" t="s">
        <v>2231</v>
      </c>
      <c r="Z4" s="3462"/>
      <c r="AA4" s="3456" t="s">
        <v>2227</v>
      </c>
      <c r="AB4" s="3486" t="s">
        <v>2228</v>
      </c>
      <c r="AC4" s="3456" t="s">
        <v>2229</v>
      </c>
    </row>
    <row r="5" spans="1:29" ht="15">
      <c r="A5" s="363"/>
      <c r="B5" s="364"/>
      <c r="C5" s="3467" t="s">
        <v>2122</v>
      </c>
      <c r="D5" s="3468"/>
      <c r="E5" s="3465" t="s">
        <v>2123</v>
      </c>
      <c r="F5" s="3466"/>
      <c r="G5" s="3467" t="s">
        <v>2124</v>
      </c>
      <c r="H5" s="3468"/>
      <c r="I5" s="3467" t="s">
        <v>2125</v>
      </c>
      <c r="J5" s="3468"/>
      <c r="K5" s="566"/>
      <c r="L5" s="2893"/>
      <c r="M5" s="2894"/>
      <c r="N5" s="2894"/>
      <c r="O5" s="2894"/>
      <c r="P5" s="3480"/>
      <c r="Q5" s="3481"/>
      <c r="R5" s="3463"/>
      <c r="S5" s="3464"/>
      <c r="T5" s="3463"/>
      <c r="U5" s="3464"/>
      <c r="V5" s="3486"/>
      <c r="W5" s="3486"/>
      <c r="X5" s="1489"/>
      <c r="Y5" s="3463"/>
      <c r="Z5" s="3464"/>
      <c r="AA5" s="3457"/>
      <c r="AB5" s="3486"/>
      <c r="AC5" s="3457"/>
    </row>
    <row r="6" spans="1:29" ht="15.75" thickBot="1">
      <c r="A6" s="365"/>
      <c r="B6" s="366"/>
      <c r="C6" s="3469" t="s">
        <v>2126</v>
      </c>
      <c r="D6" s="3470"/>
      <c r="E6" s="3471" t="s">
        <v>2126</v>
      </c>
      <c r="F6" s="3472"/>
      <c r="G6" s="3469" t="s">
        <v>2126</v>
      </c>
      <c r="H6" s="3470"/>
      <c r="I6" s="3469" t="s">
        <v>2126</v>
      </c>
      <c r="J6" s="3470"/>
      <c r="K6" s="566" t="s">
        <v>2127</v>
      </c>
      <c r="L6" s="2893"/>
      <c r="M6" s="2894"/>
      <c r="N6" s="2894"/>
      <c r="O6" s="2894"/>
      <c r="P6" s="3482"/>
      <c r="Q6" s="3483"/>
      <c r="R6" s="3463"/>
      <c r="S6" s="3464"/>
      <c r="T6" s="3484"/>
      <c r="U6" s="3485"/>
      <c r="V6" s="3486"/>
      <c r="W6" s="3486"/>
      <c r="X6" s="1489"/>
      <c r="Y6" s="3484"/>
      <c r="Z6" s="3485"/>
      <c r="AA6" s="3458"/>
      <c r="AB6" s="3486"/>
      <c r="AC6" s="3458"/>
    </row>
    <row r="7" spans="1:29" s="112" customFormat="1" ht="15.75" thickBot="1">
      <c r="A7" s="367" t="s">
        <v>2128</v>
      </c>
      <c r="B7" s="368"/>
      <c r="C7" s="369">
        <f>'数据-取费表'!B2</f>
        <v>44698</v>
      </c>
      <c r="D7" s="370">
        <v>100</v>
      </c>
      <c r="E7" s="371"/>
      <c r="F7" s="372">
        <f>SUMIF(58:58,YEAR(E7)&amp;"-"&amp;MONTH(E7),59:59)</f>
        <v>0</v>
      </c>
      <c r="G7" s="371"/>
      <c r="H7" s="370">
        <f>SUMIF(58:58,YEAR(G7)&amp;"-"&amp;MONTH(G7),59:59)</f>
        <v>0</v>
      </c>
      <c r="I7" s="371"/>
      <c r="J7" s="370">
        <f>SUMIF(58:58,YEAR(I7)&amp;"-"&amp;MONTH(I7),59:59)</f>
        <v>0</v>
      </c>
      <c r="K7" s="567"/>
      <c r="L7" s="2895"/>
      <c r="M7" s="2896"/>
      <c r="N7" s="2896"/>
      <c r="O7" s="2896"/>
      <c r="P7" s="3459" t="s">
        <v>2129</v>
      </c>
      <c r="Q7" s="3487"/>
      <c r="R7" s="709" t="s">
        <v>17</v>
      </c>
      <c r="S7" s="710">
        <f t="shared" ref="S7:S15" si="0">F7</f>
        <v>0</v>
      </c>
      <c r="T7" s="709" t="s">
        <v>17</v>
      </c>
      <c r="U7" s="710">
        <f t="shared" ref="U7:U15" si="1">H7</f>
        <v>0</v>
      </c>
      <c r="V7" s="709" t="s">
        <v>17</v>
      </c>
      <c r="W7" s="710">
        <f t="shared" ref="W7:W15" si="2">J7</f>
        <v>0</v>
      </c>
      <c r="X7" s="711"/>
      <c r="Y7" s="3459" t="s">
        <v>2129</v>
      </c>
      <c r="Z7" s="3460"/>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5"/>
      <c r="M8" s="2896"/>
      <c r="N8" s="2896"/>
      <c r="O8" s="2896"/>
      <c r="P8" s="3459" t="s">
        <v>2132</v>
      </c>
      <c r="Q8" s="3460"/>
      <c r="R8" s="709" t="s">
        <v>17</v>
      </c>
      <c r="S8" s="710">
        <f t="shared" si="0"/>
        <v>0</v>
      </c>
      <c r="T8" s="709" t="s">
        <v>17</v>
      </c>
      <c r="U8" s="710">
        <f t="shared" si="1"/>
        <v>0</v>
      </c>
      <c r="V8" s="709" t="s">
        <v>17</v>
      </c>
      <c r="W8" s="710">
        <f t="shared" si="2"/>
        <v>0</v>
      </c>
      <c r="X8" s="711"/>
      <c r="Y8" s="3459" t="s">
        <v>2132</v>
      </c>
      <c r="Z8" s="3460"/>
      <c r="AA8" s="712" t="e">
        <f t="shared" ref="AA8:AA46" si="3">D8/F8</f>
        <v>#DIV/0!</v>
      </c>
      <c r="AB8" s="712" t="e">
        <f t="shared" ref="AB8:AB46" si="4">D8/H8</f>
        <v>#DIV/0!</v>
      </c>
      <c r="AC8" s="712" t="e">
        <f t="shared" ref="AC8:AC46" si="5">D8/J8</f>
        <v>#DIV/0!</v>
      </c>
    </row>
    <row r="9" spans="1:29" s="112" customFormat="1">
      <c r="A9" s="374" t="s">
        <v>2133</v>
      </c>
      <c r="B9" s="66" t="s">
        <v>2134</v>
      </c>
      <c r="C9" s="375"/>
      <c r="D9" s="130">
        <v>100</v>
      </c>
      <c r="E9" s="376"/>
      <c r="F9" s="377">
        <f>SUMIF(63:63,E9,64:64)-SUMIF(63:63,C9,64:64)+100</f>
        <v>100</v>
      </c>
      <c r="G9" s="376"/>
      <c r="H9" s="130">
        <f>SUMIF(63:63,G9,64:64)-SUMIF(63:63,C9,64:64)+100</f>
        <v>100</v>
      </c>
      <c r="I9" s="376"/>
      <c r="J9" s="130">
        <f>SUMIF(63:63,I9,64:64)-SUMIF(63:63,C9,64:64)+100</f>
        <v>100</v>
      </c>
      <c r="K9" s="567"/>
      <c r="L9" s="2895"/>
      <c r="M9" s="2896"/>
      <c r="N9" s="2896"/>
      <c r="O9" s="2896"/>
      <c r="P9" s="3517" t="s">
        <v>2135</v>
      </c>
      <c r="Q9" s="1477" t="str">
        <f t="shared" ref="Q9:Q15" si="6">B9</f>
        <v>用途</v>
      </c>
      <c r="R9" s="709" t="s">
        <v>17</v>
      </c>
      <c r="S9" s="710">
        <f t="shared" si="0"/>
        <v>100</v>
      </c>
      <c r="T9" s="709" t="s">
        <v>17</v>
      </c>
      <c r="U9" s="710">
        <f t="shared" si="1"/>
        <v>100</v>
      </c>
      <c r="V9" s="709" t="s">
        <v>17</v>
      </c>
      <c r="W9" s="710">
        <f t="shared" si="2"/>
        <v>100</v>
      </c>
      <c r="X9" s="711"/>
      <c r="Y9" s="3424"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7"/>
      <c r="M10" s="2898"/>
      <c r="N10" s="2898"/>
      <c r="O10" s="2898"/>
      <c r="P10" s="3517"/>
      <c r="Q10" s="1477" t="str">
        <f t="shared" si="6"/>
        <v>土地使用年限（年）</v>
      </c>
      <c r="R10" s="709" t="s">
        <v>17</v>
      </c>
      <c r="S10" s="710">
        <f t="shared" si="0"/>
        <v>100</v>
      </c>
      <c r="T10" s="709" t="s">
        <v>17</v>
      </c>
      <c r="U10" s="710">
        <f t="shared" si="1"/>
        <v>100</v>
      </c>
      <c r="V10" s="709" t="s">
        <v>17</v>
      </c>
      <c r="W10" s="710">
        <f t="shared" si="2"/>
        <v>100</v>
      </c>
      <c r="X10" s="711"/>
      <c r="Y10" s="3424"/>
      <c r="Z10" s="55"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9"/>
      <c r="M11" s="2894"/>
      <c r="N11" s="2894"/>
      <c r="O11" s="2894"/>
      <c r="P11" s="3517"/>
      <c r="Q11" s="1477" t="str">
        <f t="shared" si="6"/>
        <v>容积率</v>
      </c>
      <c r="R11" s="709" t="s">
        <v>17</v>
      </c>
      <c r="S11" s="710" t="e">
        <f t="shared" si="0"/>
        <v>#N/A</v>
      </c>
      <c r="T11" s="709" t="s">
        <v>17</v>
      </c>
      <c r="U11" s="710" t="e">
        <f t="shared" si="1"/>
        <v>#N/A</v>
      </c>
      <c r="V11" s="709" t="s">
        <v>17</v>
      </c>
      <c r="W11" s="710" t="e">
        <f t="shared" si="2"/>
        <v>#N/A</v>
      </c>
      <c r="X11" s="711"/>
      <c r="Y11" s="3424"/>
      <c r="Z11" s="55" t="str">
        <f t="shared" si="7"/>
        <v>容积率</v>
      </c>
      <c r="AA11" s="712" t="e">
        <f t="shared" si="3"/>
        <v>#N/A</v>
      </c>
      <c r="AB11" s="712" t="e">
        <f t="shared" si="4"/>
        <v>#N/A</v>
      </c>
      <c r="AC11" s="712" t="e">
        <f t="shared" si="5"/>
        <v>#N/A</v>
      </c>
    </row>
    <row r="12" spans="1:29" s="112"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5"/>
      <c r="M12" s="2896"/>
      <c r="N12" s="2896"/>
      <c r="O12" s="2896"/>
      <c r="P12" s="3517"/>
      <c r="Q12" s="1477">
        <f t="shared" si="6"/>
        <v>111</v>
      </c>
      <c r="R12" s="709" t="s">
        <v>17</v>
      </c>
      <c r="S12" s="710">
        <f t="shared" si="0"/>
        <v>100</v>
      </c>
      <c r="T12" s="709" t="s">
        <v>17</v>
      </c>
      <c r="U12" s="710">
        <f t="shared" si="1"/>
        <v>100</v>
      </c>
      <c r="V12" s="709" t="s">
        <v>17</v>
      </c>
      <c r="W12" s="710">
        <f t="shared" si="2"/>
        <v>100</v>
      </c>
      <c r="X12" s="711"/>
      <c r="Y12" s="3424"/>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900"/>
      <c r="M13" s="2894"/>
      <c r="N13" s="2894"/>
      <c r="O13" s="2894"/>
      <c r="P13" s="3517"/>
      <c r="Q13" s="1477">
        <f t="shared" si="6"/>
        <v>111</v>
      </c>
      <c r="R13" s="709" t="s">
        <v>17</v>
      </c>
      <c r="S13" s="710">
        <f t="shared" si="0"/>
        <v>100</v>
      </c>
      <c r="T13" s="709" t="s">
        <v>17</v>
      </c>
      <c r="U13" s="710">
        <f t="shared" si="1"/>
        <v>100</v>
      </c>
      <c r="V13" s="709" t="s">
        <v>17</v>
      </c>
      <c r="W13" s="710">
        <f t="shared" si="2"/>
        <v>100</v>
      </c>
      <c r="X13" s="711"/>
      <c r="Y13" s="3424"/>
      <c r="Z13" s="55">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900"/>
      <c r="M14" s="2894"/>
      <c r="N14" s="2894"/>
      <c r="O14" s="2894"/>
      <c r="P14" s="3517"/>
      <c r="Q14" s="1477">
        <f t="shared" si="6"/>
        <v>111</v>
      </c>
      <c r="R14" s="709" t="s">
        <v>17</v>
      </c>
      <c r="S14" s="710">
        <f t="shared" si="0"/>
        <v>100</v>
      </c>
      <c r="T14" s="709" t="s">
        <v>17</v>
      </c>
      <c r="U14" s="710">
        <f t="shared" si="1"/>
        <v>100</v>
      </c>
      <c r="V14" s="709" t="s">
        <v>17</v>
      </c>
      <c r="W14" s="710">
        <f t="shared" si="2"/>
        <v>100</v>
      </c>
      <c r="X14" s="711"/>
      <c r="Y14" s="3424"/>
      <c r="Z14" s="55">
        <f t="shared" si="7"/>
        <v>111</v>
      </c>
      <c r="AA14" s="712">
        <f t="shared" si="3"/>
        <v>1</v>
      </c>
      <c r="AB14" s="712">
        <f t="shared" si="4"/>
        <v>1</v>
      </c>
      <c r="AC14" s="712">
        <f t="shared" si="5"/>
        <v>1</v>
      </c>
    </row>
    <row r="15" spans="1:29" ht="71.25">
      <c r="A15" s="398" t="s">
        <v>2139</v>
      </c>
      <c r="B15" s="64" t="s">
        <v>2233</v>
      </c>
      <c r="C15" s="203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0"/>
      <c r="M15" s="2894"/>
      <c r="N15" s="2894"/>
      <c r="O15" s="2894"/>
      <c r="P15" s="3523" t="s">
        <v>2140</v>
      </c>
      <c r="Q15" s="1486" t="str">
        <f t="shared" si="6"/>
        <v>商业繁华度</v>
      </c>
      <c r="R15" s="713" t="s">
        <v>17</v>
      </c>
      <c r="S15" s="714">
        <f t="shared" si="0"/>
        <v>100</v>
      </c>
      <c r="T15" s="713" t="s">
        <v>17</v>
      </c>
      <c r="U15" s="714">
        <f t="shared" si="1"/>
        <v>100</v>
      </c>
      <c r="V15" s="713" t="s">
        <v>17</v>
      </c>
      <c r="W15" s="714">
        <f t="shared" si="2"/>
        <v>100</v>
      </c>
      <c r="X15" s="1489"/>
      <c r="Y15" s="3488"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900"/>
      <c r="M16" s="2894"/>
      <c r="N16" s="2894"/>
      <c r="O16" s="2894"/>
      <c r="P16" s="3524"/>
      <c r="Q16" s="1486"/>
      <c r="R16" s="713"/>
      <c r="S16" s="714"/>
      <c r="T16" s="713"/>
      <c r="U16" s="714"/>
      <c r="V16" s="713"/>
      <c r="W16" s="714"/>
      <c r="X16" s="1489"/>
      <c r="Y16" s="3489"/>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00"/>
      <c r="M17" s="2894"/>
      <c r="N17" s="2894"/>
      <c r="O17" s="2894"/>
      <c r="P17" s="3524"/>
      <c r="Q17" s="1486" t="str">
        <f>B17</f>
        <v>交通便捷度</v>
      </c>
      <c r="R17" s="713" t="s">
        <v>17</v>
      </c>
      <c r="S17" s="714">
        <f>F17</f>
        <v>100</v>
      </c>
      <c r="T17" s="713" t="s">
        <v>17</v>
      </c>
      <c r="U17" s="714">
        <f>H17</f>
        <v>100</v>
      </c>
      <c r="V17" s="713" t="s">
        <v>17</v>
      </c>
      <c r="W17" s="714">
        <f>J17</f>
        <v>100</v>
      </c>
      <c r="X17" s="1489"/>
      <c r="Y17" s="3489"/>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900"/>
      <c r="M18" s="2894"/>
      <c r="N18" s="2894"/>
      <c r="O18" s="2894"/>
      <c r="P18" s="3524"/>
      <c r="Q18" s="1486"/>
      <c r="R18" s="713"/>
      <c r="S18" s="714"/>
      <c r="T18" s="713"/>
      <c r="U18" s="714"/>
      <c r="V18" s="713"/>
      <c r="W18" s="714"/>
      <c r="X18" s="1489"/>
      <c r="Y18" s="3489"/>
      <c r="Z18" s="1490"/>
      <c r="AA18" s="1487">
        <v>1</v>
      </c>
      <c r="AB18" s="1487">
        <v>1</v>
      </c>
      <c r="AC18" s="1487">
        <v>1</v>
      </c>
    </row>
    <row r="19" spans="1:29" ht="42.75">
      <c r="A19" s="386"/>
      <c r="B19" s="409" t="s">
        <v>2234</v>
      </c>
      <c r="C19" s="203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00"/>
      <c r="M19" s="2894"/>
      <c r="N19" s="2894"/>
      <c r="O19" s="2894"/>
      <c r="P19" s="3524"/>
      <c r="Q19" s="1486" t="str">
        <f>B19</f>
        <v>公共配套设施</v>
      </c>
      <c r="R19" s="713" t="s">
        <v>17</v>
      </c>
      <c r="S19" s="714">
        <f>F19</f>
        <v>100</v>
      </c>
      <c r="T19" s="713" t="s">
        <v>17</v>
      </c>
      <c r="U19" s="714">
        <f>H19</f>
        <v>100</v>
      </c>
      <c r="V19" s="713" t="s">
        <v>17</v>
      </c>
      <c r="W19" s="714">
        <f>J19</f>
        <v>100</v>
      </c>
      <c r="X19" s="1489"/>
      <c r="Y19" s="3489"/>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900"/>
      <c r="M20" s="2894"/>
      <c r="N20" s="2894"/>
      <c r="O20" s="2894"/>
      <c r="P20" s="3524"/>
      <c r="Q20" s="1486"/>
      <c r="R20" s="713"/>
      <c r="S20" s="714"/>
      <c r="T20" s="713"/>
      <c r="U20" s="714"/>
      <c r="V20" s="713"/>
      <c r="W20" s="714"/>
      <c r="X20" s="1489"/>
      <c r="Y20" s="3489"/>
      <c r="Z20" s="1490"/>
      <c r="AA20" s="1487">
        <v>1</v>
      </c>
      <c r="AB20" s="1487">
        <v>1</v>
      </c>
      <c r="AC20" s="1487">
        <v>1</v>
      </c>
    </row>
    <row r="21" spans="1:29" ht="28.5">
      <c r="A21" s="386"/>
      <c r="B21" s="1245" t="s">
        <v>2235</v>
      </c>
      <c r="C21" s="203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00"/>
      <c r="M21" s="2894"/>
      <c r="N21" s="2894"/>
      <c r="O21" s="2894"/>
      <c r="P21" s="3524"/>
      <c r="Q21" s="1486" t="str">
        <f>B21</f>
        <v>基础设施水平</v>
      </c>
      <c r="R21" s="713" t="s">
        <v>17</v>
      </c>
      <c r="S21" s="714">
        <f>F21</f>
        <v>100</v>
      </c>
      <c r="T21" s="713" t="s">
        <v>17</v>
      </c>
      <c r="U21" s="714">
        <f>H21</f>
        <v>100</v>
      </c>
      <c r="V21" s="713" t="s">
        <v>17</v>
      </c>
      <c r="W21" s="714">
        <f>J21</f>
        <v>100</v>
      </c>
      <c r="X21" s="1489"/>
      <c r="Y21" s="3489"/>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900"/>
      <c r="M22" s="2894"/>
      <c r="N22" s="2894"/>
      <c r="O22" s="2894"/>
      <c r="P22" s="3524"/>
      <c r="Q22" s="1486"/>
      <c r="R22" s="713"/>
      <c r="S22" s="714"/>
      <c r="T22" s="713"/>
      <c r="U22" s="714"/>
      <c r="V22" s="713"/>
      <c r="W22" s="714"/>
      <c r="X22" s="1489"/>
      <c r="Y22" s="3489"/>
      <c r="Z22" s="1490"/>
      <c r="AA22" s="1487">
        <v>1</v>
      </c>
      <c r="AB22" s="1487">
        <v>1</v>
      </c>
      <c r="AC22" s="1487">
        <v>1</v>
      </c>
    </row>
    <row r="23" spans="1:29" ht="57">
      <c r="A23" s="386"/>
      <c r="B23" s="409" t="s">
        <v>1706</v>
      </c>
      <c r="C23" s="209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00"/>
      <c r="M23" s="2894"/>
      <c r="N23" s="2894"/>
      <c r="O23" s="2894"/>
      <c r="P23" s="3524"/>
      <c r="Q23" s="1486" t="str">
        <f>B23</f>
        <v>自然及人文环境</v>
      </c>
      <c r="R23" s="713" t="s">
        <v>17</v>
      </c>
      <c r="S23" s="714">
        <f>F23</f>
        <v>100</v>
      </c>
      <c r="T23" s="713" t="s">
        <v>17</v>
      </c>
      <c r="U23" s="714">
        <f>H23</f>
        <v>100</v>
      </c>
      <c r="V23" s="713" t="s">
        <v>17</v>
      </c>
      <c r="W23" s="714">
        <f>J23</f>
        <v>100</v>
      </c>
      <c r="X23" s="1489"/>
      <c r="Y23" s="3489"/>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900"/>
      <c r="M24" s="2894"/>
      <c r="N24" s="2894"/>
      <c r="O24" s="2894"/>
      <c r="P24" s="3524"/>
      <c r="Q24" s="1486"/>
      <c r="R24" s="713"/>
      <c r="S24" s="714"/>
      <c r="T24" s="713"/>
      <c r="U24" s="714"/>
      <c r="V24" s="713"/>
      <c r="W24" s="714"/>
      <c r="X24" s="1489"/>
      <c r="Y24" s="3489"/>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900"/>
      <c r="M25" s="2894"/>
      <c r="N25" s="2894"/>
      <c r="O25" s="2894"/>
      <c r="P25" s="3524"/>
      <c r="Q25" s="1486" t="str">
        <f t="shared" ref="Q25:Q46" si="11">B25</f>
        <v>临街状况</v>
      </c>
      <c r="R25" s="713" t="s">
        <v>17</v>
      </c>
      <c r="S25" s="714">
        <f>F25</f>
        <v>100</v>
      </c>
      <c r="T25" s="713" t="s">
        <v>17</v>
      </c>
      <c r="U25" s="714">
        <f>H25</f>
        <v>100</v>
      </c>
      <c r="V25" s="713" t="s">
        <v>17</v>
      </c>
      <c r="W25" s="714">
        <f>J25</f>
        <v>100</v>
      </c>
      <c r="X25" s="1489"/>
      <c r="Y25" s="3489"/>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900"/>
      <c r="M26" s="2894"/>
      <c r="N26" s="2894"/>
      <c r="O26" s="2894"/>
      <c r="P26" s="3524"/>
      <c r="Q26" s="1486" t="str">
        <f t="shared" si="11"/>
        <v>平面位置/可视性</v>
      </c>
      <c r="R26" s="713" t="s">
        <v>17</v>
      </c>
      <c r="S26" s="714">
        <f>F26</f>
        <v>100</v>
      </c>
      <c r="T26" s="713" t="s">
        <v>17</v>
      </c>
      <c r="U26" s="714">
        <f>H26</f>
        <v>100</v>
      </c>
      <c r="V26" s="713" t="s">
        <v>17</v>
      </c>
      <c r="W26" s="714">
        <f>J26</f>
        <v>100</v>
      </c>
      <c r="X26" s="1489"/>
      <c r="Y26" s="3489"/>
      <c r="Z26" s="1490" t="str">
        <f>Q26</f>
        <v>平面位置/可视性</v>
      </c>
      <c r="AA26" s="1487">
        <f t="shared" si="3"/>
        <v>1</v>
      </c>
      <c r="AB26" s="1487">
        <f t="shared" si="4"/>
        <v>1</v>
      </c>
      <c r="AC26" s="1487">
        <f t="shared" si="5"/>
        <v>1</v>
      </c>
    </row>
    <row r="27" spans="1:29" s="112" customFormat="1" ht="15">
      <c r="A27" s="389"/>
      <c r="B27" s="409" t="s">
        <v>2238</v>
      </c>
      <c r="C27" s="2092"/>
      <c r="D27" s="420">
        <v>100</v>
      </c>
      <c r="E27" s="2092"/>
      <c r="F27" s="422">
        <f>SUMIF(90:90,E27,91:91)-SUMIF(90:90,C27,91:91)+100</f>
        <v>100</v>
      </c>
      <c r="G27" s="2092"/>
      <c r="H27" s="420">
        <f>SUMIF(90:90,G27,91:91)-SUMIF(90:90,C27,91:91)+100</f>
        <v>100</v>
      </c>
      <c r="I27" s="2092"/>
      <c r="J27" s="420">
        <f>SUMIF(90:90,I27,91:91)-SUMIF(90:90,C27,91:91)+100</f>
        <v>100</v>
      </c>
      <c r="K27" s="568"/>
      <c r="L27" s="2895"/>
      <c r="M27" s="2896"/>
      <c r="N27" s="2896"/>
      <c r="O27" s="2896"/>
      <c r="P27" s="3524"/>
      <c r="Q27" s="1477" t="str">
        <f t="shared" si="11"/>
        <v>人流量</v>
      </c>
      <c r="R27" s="709" t="s">
        <v>17</v>
      </c>
      <c r="S27" s="710">
        <f>F27</f>
        <v>100</v>
      </c>
      <c r="T27" s="709" t="s">
        <v>17</v>
      </c>
      <c r="U27" s="710">
        <f>H27</f>
        <v>100</v>
      </c>
      <c r="V27" s="709" t="s">
        <v>17</v>
      </c>
      <c r="W27" s="710">
        <f>J27</f>
        <v>100</v>
      </c>
      <c r="X27" s="711"/>
      <c r="Y27" s="3489"/>
      <c r="Z27" s="55"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900"/>
      <c r="M28" s="2894"/>
      <c r="N28" s="2894"/>
      <c r="O28" s="2894"/>
      <c r="P28" s="3524"/>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89"/>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900"/>
      <c r="M29" s="2894"/>
      <c r="N29" s="2894"/>
      <c r="O29" s="2894"/>
      <c r="P29" s="3524"/>
      <c r="Q29" s="1486">
        <f t="shared" si="11"/>
        <v>111</v>
      </c>
      <c r="R29" s="713" t="s">
        <v>17</v>
      </c>
      <c r="S29" s="714">
        <f t="shared" si="12"/>
        <v>100</v>
      </c>
      <c r="T29" s="713" t="s">
        <v>17</v>
      </c>
      <c r="U29" s="714">
        <f t="shared" si="13"/>
        <v>100</v>
      </c>
      <c r="V29" s="713" t="s">
        <v>17</v>
      </c>
      <c r="W29" s="714">
        <f t="shared" si="14"/>
        <v>100</v>
      </c>
      <c r="X29" s="1489"/>
      <c r="Y29" s="3489"/>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900"/>
      <c r="M30" s="2894"/>
      <c r="N30" s="2894"/>
      <c r="O30" s="2894"/>
      <c r="P30" s="3524"/>
      <c r="Q30" s="1486">
        <f t="shared" si="11"/>
        <v>111</v>
      </c>
      <c r="R30" s="713" t="s">
        <v>17</v>
      </c>
      <c r="S30" s="714">
        <f t="shared" si="12"/>
        <v>100</v>
      </c>
      <c r="T30" s="713" t="s">
        <v>17</v>
      </c>
      <c r="U30" s="714">
        <f t="shared" si="13"/>
        <v>100</v>
      </c>
      <c r="V30" s="713" t="s">
        <v>17</v>
      </c>
      <c r="W30" s="714">
        <f t="shared" si="14"/>
        <v>100</v>
      </c>
      <c r="X30" s="1489"/>
      <c r="Y30" s="3489"/>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900"/>
      <c r="M31" s="2894"/>
      <c r="N31" s="2894"/>
      <c r="O31" s="2894"/>
      <c r="P31" s="3524"/>
      <c r="Q31" s="1486">
        <f t="shared" si="11"/>
        <v>111</v>
      </c>
      <c r="R31" s="713" t="s">
        <v>17</v>
      </c>
      <c r="S31" s="714">
        <f t="shared" si="12"/>
        <v>100</v>
      </c>
      <c r="T31" s="713" t="s">
        <v>17</v>
      </c>
      <c r="U31" s="714">
        <f t="shared" si="13"/>
        <v>100</v>
      </c>
      <c r="V31" s="713" t="s">
        <v>17</v>
      </c>
      <c r="W31" s="714">
        <f t="shared" si="14"/>
        <v>100</v>
      </c>
      <c r="X31" s="1489"/>
      <c r="Y31" s="3489"/>
      <c r="Z31" s="1490">
        <f t="shared" si="15"/>
        <v>111</v>
      </c>
      <c r="AA31" s="1487">
        <f t="shared" si="3"/>
        <v>1</v>
      </c>
      <c r="AB31" s="1487">
        <f t="shared" si="4"/>
        <v>1</v>
      </c>
      <c r="AC31" s="1487">
        <f t="shared" si="5"/>
        <v>1</v>
      </c>
    </row>
    <row r="32" spans="1:29" ht="15">
      <c r="A32" s="398" t="s">
        <v>2143</v>
      </c>
      <c r="B32" s="66" t="s">
        <v>2240</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900"/>
      <c r="M32" s="2894"/>
      <c r="N32" s="2894"/>
      <c r="O32" s="2894"/>
      <c r="P32" s="3519" t="s">
        <v>2145</v>
      </c>
      <c r="Q32" s="1486" t="str">
        <f t="shared" si="11"/>
        <v>商业类型</v>
      </c>
      <c r="R32" s="713" t="s">
        <v>17</v>
      </c>
      <c r="S32" s="714">
        <f t="shared" si="12"/>
        <v>100</v>
      </c>
      <c r="T32" s="713" t="s">
        <v>17</v>
      </c>
      <c r="U32" s="714">
        <f t="shared" si="13"/>
        <v>100</v>
      </c>
      <c r="V32" s="713" t="s">
        <v>17</v>
      </c>
      <c r="W32" s="714">
        <f t="shared" si="14"/>
        <v>100</v>
      </c>
      <c r="X32" s="1489"/>
      <c r="Y32" s="3491"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9"/>
      <c r="M33" s="2901"/>
      <c r="N33" s="2901"/>
      <c r="O33" s="2901"/>
      <c r="P33" s="3520"/>
      <c r="Q33" s="715" t="str">
        <f t="shared" si="11"/>
        <v>项目建筑规模</v>
      </c>
      <c r="R33" s="716" t="s">
        <v>17</v>
      </c>
      <c r="S33" s="717" t="e">
        <f t="shared" si="12"/>
        <v>#N/A</v>
      </c>
      <c r="T33" s="716" t="s">
        <v>17</v>
      </c>
      <c r="U33" s="717" t="e">
        <f t="shared" si="13"/>
        <v>#N/A</v>
      </c>
      <c r="V33" s="716" t="s">
        <v>17</v>
      </c>
      <c r="W33" s="717" t="e">
        <f t="shared" si="14"/>
        <v>#N/A</v>
      </c>
      <c r="X33" s="718"/>
      <c r="Y33" s="3491"/>
      <c r="Z33" s="719" t="str">
        <f t="shared" si="15"/>
        <v>项目建筑规模</v>
      </c>
      <c r="AA33" s="1487" t="e">
        <f t="shared" si="3"/>
        <v>#N/A</v>
      </c>
      <c r="AB33" s="1487" t="e">
        <f t="shared" si="4"/>
        <v>#N/A</v>
      </c>
      <c r="AC33" s="1487" t="e">
        <f t="shared" si="5"/>
        <v>#N/A</v>
      </c>
    </row>
    <row r="34" spans="1:29" ht="15">
      <c r="A34" s="430"/>
      <c r="B34" s="380" t="s">
        <v>2147</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900"/>
      <c r="M34" s="2894"/>
      <c r="N34" s="2894"/>
      <c r="O34" s="2894"/>
      <c r="P34" s="3520"/>
      <c r="Q34" s="1486" t="str">
        <f t="shared" si="11"/>
        <v>建筑结构</v>
      </c>
      <c r="R34" s="713" t="s">
        <v>17</v>
      </c>
      <c r="S34" s="714">
        <f t="shared" si="12"/>
        <v>100</v>
      </c>
      <c r="T34" s="713" t="s">
        <v>17</v>
      </c>
      <c r="U34" s="714">
        <f t="shared" si="13"/>
        <v>100</v>
      </c>
      <c r="V34" s="713" t="s">
        <v>17</v>
      </c>
      <c r="W34" s="714">
        <f t="shared" si="14"/>
        <v>100</v>
      </c>
      <c r="X34" s="1489"/>
      <c r="Y34" s="3491"/>
      <c r="Z34" s="1490" t="str">
        <f t="shared" si="15"/>
        <v>建筑结构</v>
      </c>
      <c r="AA34" s="1487">
        <f t="shared" si="3"/>
        <v>1</v>
      </c>
      <c r="AB34" s="1487">
        <f t="shared" si="4"/>
        <v>1</v>
      </c>
      <c r="AC34" s="1487">
        <f t="shared" si="5"/>
        <v>1</v>
      </c>
    </row>
    <row r="35" spans="1:29" ht="15">
      <c r="A35" s="430"/>
      <c r="B35" s="380" t="s">
        <v>2241</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900"/>
      <c r="M35" s="2894"/>
      <c r="N35" s="2894"/>
      <c r="O35" s="2894"/>
      <c r="P35" s="3520"/>
      <c r="Q35" s="1486" t="str">
        <f t="shared" si="11"/>
        <v>公共部分装修</v>
      </c>
      <c r="R35" s="713" t="s">
        <v>17</v>
      </c>
      <c r="S35" s="714">
        <f t="shared" si="12"/>
        <v>100</v>
      </c>
      <c r="T35" s="713" t="s">
        <v>17</v>
      </c>
      <c r="U35" s="714">
        <f t="shared" si="13"/>
        <v>100</v>
      </c>
      <c r="V35" s="713" t="s">
        <v>17</v>
      </c>
      <c r="W35" s="714">
        <f t="shared" si="14"/>
        <v>100</v>
      </c>
      <c r="X35" s="1489"/>
      <c r="Y35" s="3491"/>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0"/>
      <c r="M36" s="2894"/>
      <c r="N36" s="2894"/>
      <c r="O36" s="2894"/>
      <c r="P36" s="3520"/>
      <c r="Q36" s="1486" t="str">
        <f t="shared" si="11"/>
        <v>成新度</v>
      </c>
      <c r="R36" s="713" t="s">
        <v>17</v>
      </c>
      <c r="S36" s="714" t="e">
        <f t="shared" si="12"/>
        <v>#N/A</v>
      </c>
      <c r="T36" s="713" t="s">
        <v>17</v>
      </c>
      <c r="U36" s="714" t="e">
        <f t="shared" si="13"/>
        <v>#N/A</v>
      </c>
      <c r="V36" s="713" t="s">
        <v>17</v>
      </c>
      <c r="W36" s="714" t="e">
        <f t="shared" si="14"/>
        <v>#N/A</v>
      </c>
      <c r="X36" s="1489"/>
      <c r="Y36" s="3491"/>
      <c r="Z36" s="1490" t="str">
        <f t="shared" si="15"/>
        <v>成新度</v>
      </c>
      <c r="AA36" s="1487" t="e">
        <f t="shared" si="3"/>
        <v>#N/A</v>
      </c>
      <c r="AB36" s="1487" t="e">
        <f t="shared" si="4"/>
        <v>#N/A</v>
      </c>
      <c r="AC36" s="1487" t="e">
        <f t="shared" si="5"/>
        <v>#N/A</v>
      </c>
    </row>
    <row r="37" spans="1:29" s="112" customFormat="1" ht="15">
      <c r="A37" s="431"/>
      <c r="B37" s="380" t="s">
        <v>2243</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5"/>
      <c r="M37" s="2896"/>
      <c r="N37" s="2896"/>
      <c r="O37" s="2896"/>
      <c r="P37" s="3520"/>
      <c r="Q37" s="1477" t="str">
        <f t="shared" si="11"/>
        <v>市政基础设施</v>
      </c>
      <c r="R37" s="709" t="s">
        <v>17</v>
      </c>
      <c r="S37" s="710">
        <f t="shared" si="12"/>
        <v>100</v>
      </c>
      <c r="T37" s="709" t="s">
        <v>17</v>
      </c>
      <c r="U37" s="710">
        <f t="shared" si="13"/>
        <v>100</v>
      </c>
      <c r="V37" s="709" t="s">
        <v>17</v>
      </c>
      <c r="W37" s="710">
        <f t="shared" si="14"/>
        <v>100</v>
      </c>
      <c r="X37" s="711"/>
      <c r="Y37" s="3491"/>
      <c r="Z37" s="55" t="str">
        <f t="shared" si="15"/>
        <v>市政基础设施</v>
      </c>
      <c r="AA37" s="712">
        <f t="shared" si="3"/>
        <v>1</v>
      </c>
      <c r="AB37" s="712">
        <f t="shared" si="4"/>
        <v>1</v>
      </c>
      <c r="AC37" s="712">
        <f t="shared" si="5"/>
        <v>1</v>
      </c>
    </row>
    <row r="38" spans="1:29" ht="15">
      <c r="A38" s="430"/>
      <c r="B38" s="380" t="s">
        <v>2244</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900"/>
      <c r="M38" s="2894"/>
      <c r="N38" s="2894"/>
      <c r="O38" s="2894"/>
      <c r="P38" s="3520" t="s">
        <v>2145</v>
      </c>
      <c r="Q38" s="1486" t="str">
        <f t="shared" si="11"/>
        <v>业态</v>
      </c>
      <c r="R38" s="713" t="s">
        <v>17</v>
      </c>
      <c r="S38" s="714">
        <f t="shared" si="12"/>
        <v>100</v>
      </c>
      <c r="T38" s="713" t="s">
        <v>17</v>
      </c>
      <c r="U38" s="714">
        <f t="shared" si="13"/>
        <v>100</v>
      </c>
      <c r="V38" s="713" t="s">
        <v>17</v>
      </c>
      <c r="W38" s="714">
        <f t="shared" si="14"/>
        <v>100</v>
      </c>
      <c r="X38" s="1489"/>
      <c r="Y38" s="3491" t="s">
        <v>2145</v>
      </c>
      <c r="Z38" s="1490" t="str">
        <f t="shared" si="15"/>
        <v>业态</v>
      </c>
      <c r="AA38" s="1487">
        <f t="shared" si="3"/>
        <v>1</v>
      </c>
      <c r="AB38" s="1487">
        <f t="shared" si="4"/>
        <v>1</v>
      </c>
      <c r="AC38" s="1487">
        <f t="shared" si="5"/>
        <v>1</v>
      </c>
    </row>
    <row r="39" spans="1:29" ht="15">
      <c r="A39" s="430"/>
      <c r="B39" s="380" t="s">
        <v>2245</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900"/>
      <c r="M39" s="2894"/>
      <c r="N39" s="2894"/>
      <c r="O39" s="2894"/>
      <c r="P39" s="3520"/>
      <c r="Q39" s="1486" t="str">
        <f t="shared" si="11"/>
        <v>层高</v>
      </c>
      <c r="R39" s="713" t="s">
        <v>17</v>
      </c>
      <c r="S39" s="714">
        <f t="shared" si="12"/>
        <v>100</v>
      </c>
      <c r="T39" s="713" t="s">
        <v>17</v>
      </c>
      <c r="U39" s="714">
        <f t="shared" si="13"/>
        <v>100</v>
      </c>
      <c r="V39" s="713" t="s">
        <v>17</v>
      </c>
      <c r="W39" s="714">
        <f t="shared" si="14"/>
        <v>100</v>
      </c>
      <c r="X39" s="1489"/>
      <c r="Y39" s="3491"/>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0"/>
      <c r="M40" s="2894"/>
      <c r="N40" s="2894"/>
      <c r="O40" s="2894"/>
      <c r="P40" s="3520"/>
      <c r="Q40" s="1486" t="str">
        <f t="shared" si="11"/>
        <v>单套建筑面积</v>
      </c>
      <c r="R40" s="713" t="s">
        <v>17</v>
      </c>
      <c r="S40" s="714">
        <f t="shared" si="12"/>
        <v>100</v>
      </c>
      <c r="T40" s="713" t="s">
        <v>17</v>
      </c>
      <c r="U40" s="714">
        <f t="shared" si="13"/>
        <v>100</v>
      </c>
      <c r="V40" s="713" t="s">
        <v>17</v>
      </c>
      <c r="W40" s="714">
        <f t="shared" si="14"/>
        <v>100</v>
      </c>
      <c r="X40" s="1489"/>
      <c r="Y40" s="3491"/>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9"/>
      <c r="M41" s="2901"/>
      <c r="N41" s="2901"/>
      <c r="O41" s="2901"/>
      <c r="P41" s="3520"/>
      <c r="Q41" s="715" t="str">
        <f t="shared" si="11"/>
        <v>进深比</v>
      </c>
      <c r="R41" s="716" t="s">
        <v>17</v>
      </c>
      <c r="S41" s="717">
        <f t="shared" si="12"/>
        <v>100</v>
      </c>
      <c r="T41" s="716" t="s">
        <v>17</v>
      </c>
      <c r="U41" s="717">
        <f t="shared" si="13"/>
        <v>100</v>
      </c>
      <c r="V41" s="716" t="s">
        <v>17</v>
      </c>
      <c r="W41" s="717">
        <f t="shared" si="14"/>
        <v>100</v>
      </c>
      <c r="X41" s="718"/>
      <c r="Y41" s="3491"/>
      <c r="Z41" s="719" t="str">
        <f t="shared" si="15"/>
        <v>进深比</v>
      </c>
      <c r="AA41" s="1487">
        <f t="shared" si="3"/>
        <v>1</v>
      </c>
      <c r="AB41" s="1487">
        <f t="shared" si="4"/>
        <v>1</v>
      </c>
      <c r="AC41" s="1487">
        <f t="shared" si="5"/>
        <v>1</v>
      </c>
    </row>
    <row r="42" spans="1:29" ht="15">
      <c r="A42" s="430"/>
      <c r="B42" s="380" t="s">
        <v>2248</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900"/>
      <c r="M42" s="2894"/>
      <c r="N42" s="2894"/>
      <c r="O42" s="2894"/>
      <c r="P42" s="3520"/>
      <c r="Q42" s="1486" t="str">
        <f t="shared" si="11"/>
        <v>内部装修</v>
      </c>
      <c r="R42" s="713" t="s">
        <v>17</v>
      </c>
      <c r="S42" s="714">
        <f t="shared" si="12"/>
        <v>100</v>
      </c>
      <c r="T42" s="713" t="s">
        <v>17</v>
      </c>
      <c r="U42" s="714">
        <f t="shared" si="13"/>
        <v>100</v>
      </c>
      <c r="V42" s="713" t="s">
        <v>17</v>
      </c>
      <c r="W42" s="714">
        <f t="shared" si="14"/>
        <v>100</v>
      </c>
      <c r="X42" s="1489"/>
      <c r="Y42" s="3491"/>
      <c r="Z42" s="1490" t="str">
        <f t="shared" si="15"/>
        <v>内部装修</v>
      </c>
      <c r="AA42" s="1487">
        <f t="shared" si="3"/>
        <v>1</v>
      </c>
      <c r="AB42" s="1487">
        <f t="shared" si="4"/>
        <v>1</v>
      </c>
      <c r="AC42" s="1487">
        <f t="shared" si="5"/>
        <v>1</v>
      </c>
    </row>
    <row r="43" spans="1:29" ht="15">
      <c r="A43" s="430"/>
      <c r="B43" s="380" t="s">
        <v>2156</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900"/>
      <c r="M43" s="2894"/>
      <c r="N43" s="2894"/>
      <c r="O43" s="2894"/>
      <c r="P43" s="3520"/>
      <c r="Q43" s="1486" t="str">
        <f t="shared" si="11"/>
        <v>内部装修维护情况</v>
      </c>
      <c r="R43" s="713" t="s">
        <v>17</v>
      </c>
      <c r="S43" s="714">
        <f t="shared" si="12"/>
        <v>100</v>
      </c>
      <c r="T43" s="713" t="s">
        <v>17</v>
      </c>
      <c r="U43" s="714">
        <f t="shared" si="13"/>
        <v>100</v>
      </c>
      <c r="V43" s="713" t="s">
        <v>17</v>
      </c>
      <c r="W43" s="714">
        <f t="shared" si="14"/>
        <v>100</v>
      </c>
      <c r="X43" s="1489"/>
      <c r="Y43" s="3491"/>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5"/>
      <c r="M44" s="2896"/>
      <c r="N44" s="2896"/>
      <c r="O44" s="2896"/>
      <c r="P44" s="3520"/>
      <c r="Q44" s="1477">
        <f t="shared" si="11"/>
        <v>111</v>
      </c>
      <c r="R44" s="709" t="s">
        <v>17</v>
      </c>
      <c r="S44" s="710">
        <f t="shared" si="12"/>
        <v>100</v>
      </c>
      <c r="T44" s="709" t="s">
        <v>17</v>
      </c>
      <c r="U44" s="710">
        <f t="shared" si="13"/>
        <v>100</v>
      </c>
      <c r="V44" s="709" t="s">
        <v>17</v>
      </c>
      <c r="W44" s="710">
        <f t="shared" si="14"/>
        <v>100</v>
      </c>
      <c r="X44" s="711"/>
      <c r="Y44" s="3491"/>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0"/>
      <c r="M45" s="2894"/>
      <c r="N45" s="2894"/>
      <c r="O45" s="2894"/>
      <c r="P45" s="3520"/>
      <c r="Q45" s="1486">
        <f t="shared" si="11"/>
        <v>111</v>
      </c>
      <c r="R45" s="713" t="s">
        <v>17</v>
      </c>
      <c r="S45" s="714">
        <f t="shared" si="12"/>
        <v>100</v>
      </c>
      <c r="T45" s="713" t="s">
        <v>17</v>
      </c>
      <c r="U45" s="714">
        <f t="shared" si="13"/>
        <v>100</v>
      </c>
      <c r="V45" s="713" t="s">
        <v>17</v>
      </c>
      <c r="W45" s="714">
        <f t="shared" si="14"/>
        <v>100</v>
      </c>
      <c r="X45" s="1489"/>
      <c r="Y45" s="3491"/>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0"/>
      <c r="M46" s="2894"/>
      <c r="N46" s="2894"/>
      <c r="O46" s="2894"/>
      <c r="P46" s="3521"/>
      <c r="Q46" s="1486">
        <f t="shared" si="11"/>
        <v>111</v>
      </c>
      <c r="R46" s="713" t="s">
        <v>17</v>
      </c>
      <c r="S46" s="714">
        <f t="shared" si="12"/>
        <v>100</v>
      </c>
      <c r="T46" s="713" t="s">
        <v>17</v>
      </c>
      <c r="U46" s="714">
        <f t="shared" si="13"/>
        <v>100</v>
      </c>
      <c r="V46" s="713" t="s">
        <v>17</v>
      </c>
      <c r="W46" s="714">
        <f t="shared" si="14"/>
        <v>100</v>
      </c>
      <c r="X46" s="1489"/>
      <c r="Y46" s="3522"/>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902"/>
      <c r="M47" s="2903"/>
      <c r="N47" s="2894"/>
      <c r="O47" s="2903"/>
      <c r="P47" s="3473" t="str">
        <f>A47</f>
        <v>成交单价（元/平方米）</v>
      </c>
      <c r="Q47" s="3473"/>
      <c r="R47" s="3486">
        <f>E47</f>
        <v>0</v>
      </c>
      <c r="S47" s="3486"/>
      <c r="T47" s="3486">
        <f>G47</f>
        <v>0</v>
      </c>
      <c r="U47" s="3486"/>
      <c r="V47" s="3486">
        <f>I47</f>
        <v>0</v>
      </c>
      <c r="W47" s="3486"/>
      <c r="X47" s="698"/>
      <c r="Y47" s="720"/>
      <c r="Z47" s="698"/>
      <c r="AA47" s="698"/>
      <c r="AB47" s="698"/>
      <c r="AC47" s="698"/>
    </row>
    <row r="48" spans="1:29" ht="15.75" thickBot="1">
      <c r="A48" s="444" t="s">
        <v>2249</v>
      </c>
      <c r="B48" s="445"/>
      <c r="C48" s="1274" t="e">
        <f>R49</f>
        <v>#DIV/0!</v>
      </c>
      <c r="D48" s="2488" t="s">
        <v>2638</v>
      </c>
      <c r="E48" s="1275" t="e">
        <f>R48</f>
        <v>#DIV/0!</v>
      </c>
      <c r="F48" s="2489"/>
      <c r="G48" s="1274" t="e">
        <f>T48</f>
        <v>#DIV/0!</v>
      </c>
      <c r="H48" s="2489"/>
      <c r="I48" s="1275" t="e">
        <f>V48</f>
        <v>#DIV/0!</v>
      </c>
      <c r="J48" s="2489"/>
      <c r="K48" s="2491">
        <f>F48+H48+J48</f>
        <v>0</v>
      </c>
      <c r="L48" s="2902"/>
      <c r="M48" s="2903"/>
      <c r="N48" s="2894"/>
      <c r="O48" s="2903"/>
      <c r="P48" s="3473" t="str">
        <f>A48</f>
        <v>比较价值（元/平方米）</v>
      </c>
      <c r="Q48" s="3473"/>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902"/>
      <c r="M49" s="2903"/>
      <c r="N49" s="2894"/>
      <c r="O49" s="2903"/>
      <c r="P49" s="3493" t="str">
        <f>A49</f>
        <v>估价对象XX用房的比较价值（楼面单价，元/平方米）</v>
      </c>
      <c r="Q49" s="3494"/>
      <c r="R49" s="3518" t="e">
        <f>IF(F1="售价",ROUND(IF(D48="简单平均",AVERAGE(R48:V48),R48*F48+T48*H48+V48*J48),0),ROUND(IF(D48="简单平均",AVERAGE(R48:V48),R48*F48+T48*H48+V48*J48),1))</f>
        <v>#DIV/0!</v>
      </c>
      <c r="S49" s="3518"/>
      <c r="T49" s="3518"/>
      <c r="U49" s="3518"/>
      <c r="V49" s="3518"/>
      <c r="W49" s="3518"/>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8" customFormat="1" ht="13.5" customHeight="1">
      <c r="A54" s="2906"/>
      <c r="B54" s="2906"/>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8"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4" customFormat="1" ht="15">
      <c r="A58" s="461" t="s">
        <v>2128</v>
      </c>
      <c r="B58" s="462"/>
      <c r="C58" s="1298" t="str">
        <f>YEAR(C7)&amp;"-"&amp;MONTH(C7)</f>
        <v>2022-5</v>
      </c>
      <c r="D58" s="1299">
        <f>EDATE(C58,-1)</f>
        <v>44652</v>
      </c>
      <c r="E58" s="1299">
        <f t="shared" ref="E58:N58" si="16">EDATE(D58,-1)</f>
        <v>44621</v>
      </c>
      <c r="F58" s="1299">
        <f t="shared" si="16"/>
        <v>44593</v>
      </c>
      <c r="G58" s="1299">
        <f t="shared" si="16"/>
        <v>44562</v>
      </c>
      <c r="H58" s="1299">
        <f t="shared" si="16"/>
        <v>44531</v>
      </c>
      <c r="I58" s="1299">
        <f t="shared" si="16"/>
        <v>44501</v>
      </c>
      <c r="J58" s="1299">
        <f t="shared" si="16"/>
        <v>44470</v>
      </c>
      <c r="K58" s="1299">
        <f t="shared" si="16"/>
        <v>44440</v>
      </c>
      <c r="L58" s="1299">
        <f t="shared" si="16"/>
        <v>44409</v>
      </c>
      <c r="M58" s="1299">
        <f t="shared" si="16"/>
        <v>44378</v>
      </c>
      <c r="N58" s="1299">
        <f t="shared" si="16"/>
        <v>44348</v>
      </c>
      <c r="O58" s="1299">
        <f>EDATE(N58,-1)</f>
        <v>44317</v>
      </c>
      <c r="P58" s="2918"/>
      <c r="Q58" s="2919"/>
      <c r="R58" s="2919"/>
      <c r="S58" s="2919"/>
      <c r="T58" s="2919"/>
      <c r="U58" s="2919"/>
      <c r="V58" s="2919"/>
      <c r="W58" s="2919"/>
      <c r="X58" s="2919"/>
      <c r="Y58" s="2919"/>
      <c r="Z58" s="2919"/>
      <c r="AA58" s="2919"/>
      <c r="AB58" s="2919"/>
      <c r="AC58" s="2919"/>
    </row>
    <row r="59" spans="1:29" s="112" customFormat="1" ht="15">
      <c r="A59" s="465"/>
      <c r="B59" s="466"/>
      <c r="C59" s="1297">
        <v>100</v>
      </c>
      <c r="D59" s="468"/>
      <c r="E59" s="468"/>
      <c r="F59" s="468"/>
      <c r="G59" s="468"/>
      <c r="H59" s="468"/>
      <c r="I59" s="468"/>
      <c r="J59" s="468"/>
      <c r="K59" s="468"/>
      <c r="L59" s="468"/>
      <c r="M59" s="469"/>
      <c r="N59" s="468"/>
      <c r="O59" s="469"/>
      <c r="P59" s="2920"/>
      <c r="Q59" s="2837"/>
      <c r="R59" s="2837"/>
      <c r="S59" s="2837"/>
      <c r="T59" s="2837"/>
      <c r="U59" s="2837"/>
      <c r="V59" s="2837"/>
      <c r="W59" s="2837"/>
      <c r="X59" s="2837"/>
      <c r="Y59" s="2837"/>
      <c r="Z59" s="2837"/>
      <c r="AA59" s="2837"/>
      <c r="AB59" s="2837"/>
      <c r="AC59" s="2837"/>
    </row>
    <row r="60" spans="1:29" s="112" customFormat="1" ht="15.75" thickBot="1">
      <c r="A60" s="471" t="s">
        <v>2165</v>
      </c>
      <c r="B60" s="472"/>
      <c r="C60" s="473"/>
      <c r="D60" s="474"/>
      <c r="E60" s="474"/>
      <c r="F60" s="474"/>
      <c r="G60" s="474"/>
      <c r="H60" s="474"/>
      <c r="I60" s="474"/>
      <c r="J60" s="474"/>
      <c r="K60" s="474"/>
      <c r="L60" s="474"/>
      <c r="M60" s="475"/>
      <c r="N60" s="474"/>
      <c r="O60" s="475"/>
      <c r="P60" s="2920"/>
      <c r="Q60" s="2917"/>
      <c r="R60" s="2837"/>
      <c r="S60" s="2837"/>
      <c r="T60" s="2837"/>
      <c r="U60" s="2837"/>
      <c r="V60" s="2837"/>
      <c r="W60" s="2837"/>
      <c r="X60" s="2837"/>
      <c r="Y60" s="2837"/>
      <c r="Z60" s="2837"/>
      <c r="AA60" s="2837"/>
      <c r="AB60" s="2837"/>
      <c r="AC60" s="2837"/>
    </row>
    <row r="61" spans="1:29" s="112" customFormat="1" ht="15">
      <c r="A61" s="477" t="s">
        <v>2130</v>
      </c>
      <c r="B61" s="466"/>
      <c r="C61" s="478" t="s">
        <v>2232</v>
      </c>
      <c r="D61" s="479"/>
      <c r="E61" s="479"/>
      <c r="F61" s="479"/>
      <c r="G61" s="479"/>
      <c r="H61" s="479"/>
      <c r="I61" s="479"/>
      <c r="J61" s="479"/>
      <c r="K61" s="479"/>
      <c r="L61" s="480"/>
      <c r="M61" s="481"/>
      <c r="N61" s="2930"/>
      <c r="O61" s="2930"/>
      <c r="P61" s="2921"/>
      <c r="Q61" s="2917"/>
      <c r="R61" s="2837"/>
      <c r="S61" s="2837"/>
      <c r="T61" s="2837"/>
      <c r="U61" s="2837"/>
      <c r="V61" s="2837"/>
      <c r="W61" s="2837"/>
      <c r="X61" s="2837"/>
      <c r="Y61" s="2837"/>
      <c r="Z61" s="2837"/>
      <c r="AA61" s="2837"/>
      <c r="AB61" s="2837"/>
      <c r="AC61" s="2837"/>
    </row>
    <row r="62" spans="1:29" s="112" customFormat="1" ht="15.75" thickBot="1">
      <c r="A62" s="477"/>
      <c r="B62" s="466"/>
      <c r="C62" s="467">
        <v>100</v>
      </c>
      <c r="D62" s="468"/>
      <c r="E62" s="468"/>
      <c r="F62" s="468"/>
      <c r="G62" s="468"/>
      <c r="H62" s="468"/>
      <c r="I62" s="468"/>
      <c r="J62" s="468"/>
      <c r="K62" s="468"/>
      <c r="L62" s="468"/>
      <c r="M62" s="470"/>
      <c r="N62" s="2930"/>
      <c r="O62" s="2930"/>
      <c r="P62" s="2920"/>
      <c r="Q62" s="2917"/>
      <c r="R62" s="2837"/>
      <c r="S62" s="2837"/>
      <c r="T62" s="2837"/>
      <c r="U62" s="2837"/>
      <c r="V62" s="2837"/>
      <c r="W62" s="2837"/>
      <c r="X62" s="2837"/>
      <c r="Y62" s="2837"/>
      <c r="Z62" s="2837"/>
      <c r="AA62" s="2837"/>
      <c r="AB62" s="2837"/>
      <c r="AC62" s="2837"/>
    </row>
    <row r="63" spans="1:29">
      <c r="A63" s="483" t="s">
        <v>2168</v>
      </c>
      <c r="B63" s="484" t="s">
        <v>2134</v>
      </c>
      <c r="C63" s="485">
        <f>C9</f>
        <v>0</v>
      </c>
      <c r="D63" s="486"/>
      <c r="E63" s="486"/>
      <c r="F63" s="486"/>
      <c r="G63" s="486"/>
      <c r="H63" s="486"/>
      <c r="I63" s="486"/>
      <c r="J63" s="486"/>
      <c r="K63" s="487"/>
      <c r="L63" s="488"/>
      <c r="M63" s="489"/>
      <c r="N63" s="2931"/>
      <c r="O63" s="2931"/>
      <c r="P63" s="2922"/>
      <c r="Q63" s="2917"/>
      <c r="R63" s="2903"/>
      <c r="S63" s="2903"/>
      <c r="T63" s="2903"/>
      <c r="U63" s="2903"/>
      <c r="V63" s="2903"/>
      <c r="W63" s="2903"/>
      <c r="X63" s="2903"/>
      <c r="Y63" s="2903"/>
      <c r="Z63" s="2903"/>
      <c r="AA63" s="2903"/>
      <c r="AB63" s="2903"/>
      <c r="AC63" s="2903"/>
    </row>
    <row r="64" spans="1:29" ht="15.75" thickBot="1">
      <c r="A64" s="490"/>
      <c r="B64" s="491"/>
      <c r="C64" s="492">
        <v>100</v>
      </c>
      <c r="D64" s="492"/>
      <c r="E64" s="492"/>
      <c r="F64" s="492"/>
      <c r="G64" s="492"/>
      <c r="H64" s="492"/>
      <c r="I64" s="492"/>
      <c r="J64" s="492"/>
      <c r="K64" s="492"/>
      <c r="L64" s="492"/>
      <c r="M64" s="493"/>
      <c r="N64" s="2932"/>
      <c r="O64" s="2932"/>
      <c r="P64" s="2922"/>
      <c r="Q64" s="2917"/>
      <c r="R64" s="2903"/>
      <c r="S64" s="2903"/>
      <c r="T64" s="2903"/>
      <c r="U64" s="2903"/>
      <c r="V64" s="2903"/>
      <c r="W64" s="2903"/>
      <c r="X64" s="2903"/>
      <c r="Y64" s="2903"/>
      <c r="Z64" s="2903"/>
      <c r="AA64" s="2903"/>
      <c r="AB64" s="2903"/>
      <c r="AC64" s="2903"/>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31"/>
      <c r="O65" s="2931"/>
      <c r="P65" s="2922"/>
      <c r="Q65" s="2917"/>
      <c r="R65" s="2903"/>
      <c r="S65" s="2903"/>
      <c r="T65" s="2903"/>
      <c r="U65" s="2903"/>
      <c r="V65" s="2903"/>
      <c r="W65" s="2903"/>
      <c r="X65" s="2903"/>
      <c r="Y65" s="2903"/>
      <c r="Z65" s="2903"/>
      <c r="AA65" s="2903"/>
      <c r="AB65" s="2903"/>
      <c r="AC65" s="290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2"/>
      <c r="O66" s="2932"/>
      <c r="P66" s="2922"/>
      <c r="Q66" s="2917"/>
      <c r="R66" s="2903"/>
      <c r="S66" s="2903"/>
      <c r="T66" s="2903"/>
      <c r="U66" s="2903"/>
      <c r="V66" s="2903"/>
      <c r="W66" s="2903"/>
      <c r="X66" s="2903"/>
      <c r="Y66" s="2903"/>
      <c r="Z66" s="2903"/>
      <c r="AA66" s="2903"/>
      <c r="AB66" s="2903"/>
      <c r="AC66" s="2903"/>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0"/>
      <c r="B68" s="504"/>
      <c r="C68" s="505"/>
      <c r="D68" s="505"/>
      <c r="E68" s="505"/>
      <c r="F68" s="505"/>
      <c r="G68" s="505"/>
      <c r="H68" s="505"/>
      <c r="I68" s="505"/>
      <c r="J68" s="505"/>
      <c r="K68" s="506"/>
      <c r="L68" s="507"/>
      <c r="M68" s="508"/>
      <c r="N68" s="2931"/>
      <c r="O68" s="2931"/>
      <c r="P68" s="2922"/>
      <c r="Q68" s="2917"/>
      <c r="R68" s="2903"/>
      <c r="S68" s="2903"/>
      <c r="T68" s="2903"/>
      <c r="U68" s="2903"/>
      <c r="V68" s="2903"/>
      <c r="W68" s="2903"/>
      <c r="X68" s="2903"/>
      <c r="Y68" s="2903"/>
      <c r="Z68" s="2903"/>
      <c r="AA68" s="2903"/>
      <c r="AB68" s="2903"/>
      <c r="AC68" s="290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2"/>
      <c r="O69" s="2932"/>
      <c r="P69" s="2922"/>
      <c r="Q69" s="2917"/>
      <c r="R69" s="2903"/>
      <c r="S69" s="2903"/>
      <c r="T69" s="2903"/>
      <c r="U69" s="2903"/>
      <c r="V69" s="2903"/>
      <c r="W69" s="2903"/>
      <c r="X69" s="2903"/>
      <c r="Y69" s="2903"/>
      <c r="Z69" s="2903"/>
      <c r="AA69" s="2903"/>
      <c r="AB69" s="2903"/>
      <c r="AC69" s="2903"/>
    </row>
    <row r="70" spans="1:29" s="429" customFormat="1" ht="15.75" thickTop="1">
      <c r="A70" s="509"/>
      <c r="B70" s="494">
        <f>B12</f>
        <v>111</v>
      </c>
      <c r="C70" s="510"/>
      <c r="D70" s="510"/>
      <c r="E70" s="510"/>
      <c r="F70" s="510"/>
      <c r="G70" s="510"/>
      <c r="H70" s="511"/>
      <c r="I70" s="511"/>
      <c r="J70" s="511"/>
      <c r="K70" s="511"/>
      <c r="L70" s="512"/>
      <c r="M70" s="513"/>
      <c r="N70" s="2933"/>
      <c r="O70" s="2933"/>
      <c r="P70" s="2923"/>
      <c r="Q70" s="2924"/>
      <c r="R70" s="2925"/>
      <c r="S70" s="2925"/>
      <c r="T70" s="2925"/>
      <c r="U70" s="2925"/>
      <c r="V70" s="2925"/>
      <c r="W70" s="2925"/>
      <c r="X70" s="2925"/>
      <c r="Y70" s="2925"/>
      <c r="Z70" s="2925"/>
      <c r="AA70" s="2925"/>
      <c r="AB70" s="2925"/>
      <c r="AC70" s="2925"/>
    </row>
    <row r="71" spans="1:29" s="429" customFormat="1" ht="15.75" thickBot="1">
      <c r="A71" s="509"/>
      <c r="B71" s="499"/>
      <c r="C71" s="516"/>
      <c r="D71" s="492"/>
      <c r="E71" s="492"/>
      <c r="F71" s="492"/>
      <c r="G71" s="492"/>
      <c r="H71" s="492"/>
      <c r="I71" s="492"/>
      <c r="J71" s="492"/>
      <c r="K71" s="492"/>
      <c r="L71" s="492"/>
      <c r="M71" s="493"/>
      <c r="N71" s="2932"/>
      <c r="O71" s="2932"/>
      <c r="P71" s="2923"/>
      <c r="Q71" s="2924"/>
      <c r="R71" s="2925"/>
      <c r="S71" s="2925"/>
      <c r="T71" s="2925"/>
      <c r="U71" s="2925"/>
      <c r="V71" s="2925"/>
      <c r="W71" s="2925"/>
      <c r="X71" s="2925"/>
      <c r="Y71" s="2925"/>
      <c r="Z71" s="2925"/>
      <c r="AA71" s="2925"/>
      <c r="AB71" s="2925"/>
      <c r="AC71" s="2925"/>
    </row>
    <row r="72" spans="1:29" s="429" customFormat="1" ht="15.75" thickTop="1">
      <c r="A72" s="509"/>
      <c r="B72" s="494">
        <f>B13</f>
        <v>111</v>
      </c>
      <c r="C72" s="510"/>
      <c r="D72" s="510"/>
      <c r="E72" s="510"/>
      <c r="F72" s="510"/>
      <c r="G72" s="510"/>
      <c r="H72" s="511"/>
      <c r="I72" s="511"/>
      <c r="J72" s="511"/>
      <c r="K72" s="511"/>
      <c r="L72" s="512"/>
      <c r="M72" s="513"/>
      <c r="N72" s="2933"/>
      <c r="O72" s="2933"/>
      <c r="P72" s="2926"/>
      <c r="Q72" s="2927"/>
      <c r="R72" s="2925"/>
      <c r="S72" s="2925"/>
      <c r="T72" s="2925"/>
      <c r="U72" s="2925"/>
      <c r="V72" s="2925"/>
      <c r="W72" s="2925"/>
      <c r="X72" s="2925"/>
      <c r="Y72" s="2925"/>
      <c r="Z72" s="2925"/>
      <c r="AA72" s="2925"/>
      <c r="AB72" s="2925"/>
      <c r="AC72" s="2925"/>
    </row>
    <row r="73" spans="1:29" s="429" customFormat="1" ht="15.75" thickBot="1">
      <c r="A73" s="509"/>
      <c r="B73" s="499"/>
      <c r="C73" s="516"/>
      <c r="D73" s="492"/>
      <c r="E73" s="492"/>
      <c r="F73" s="492"/>
      <c r="G73" s="516"/>
      <c r="H73" s="518"/>
      <c r="I73" s="518"/>
      <c r="J73" s="518"/>
      <c r="K73" s="518"/>
      <c r="L73" s="518"/>
      <c r="M73" s="519"/>
      <c r="N73" s="2933"/>
      <c r="O73" s="2933"/>
      <c r="P73" s="2923"/>
      <c r="Q73" s="2924"/>
      <c r="R73" s="2925"/>
      <c r="S73" s="2925"/>
      <c r="T73" s="2925"/>
      <c r="U73" s="2925"/>
      <c r="V73" s="2925"/>
      <c r="W73" s="2925"/>
      <c r="X73" s="2925"/>
      <c r="Y73" s="2925"/>
      <c r="Z73" s="2925"/>
      <c r="AA73" s="2925"/>
      <c r="AB73" s="2925"/>
      <c r="AC73" s="2925"/>
    </row>
    <row r="74" spans="1:29" s="429" customFormat="1" ht="15.75" thickTop="1">
      <c r="A74" s="509"/>
      <c r="B74" s="502">
        <f>B14</f>
        <v>111</v>
      </c>
      <c r="C74" s="510"/>
      <c r="D74" s="510"/>
      <c r="E74" s="510"/>
      <c r="F74" s="510"/>
      <c r="G74" s="479"/>
      <c r="H74" s="520"/>
      <c r="I74" s="520"/>
      <c r="J74" s="520"/>
      <c r="K74" s="520"/>
      <c r="L74" s="521"/>
      <c r="M74" s="522"/>
      <c r="N74" s="2933"/>
      <c r="O74" s="2933"/>
      <c r="P74" s="2928"/>
      <c r="Q74" s="2924"/>
      <c r="R74" s="2925"/>
      <c r="S74" s="2925"/>
      <c r="T74" s="2925"/>
      <c r="U74" s="2925"/>
      <c r="V74" s="2925"/>
      <c r="W74" s="2925"/>
      <c r="X74" s="2925"/>
      <c r="Y74" s="2925"/>
      <c r="Z74" s="2925"/>
      <c r="AA74" s="2925"/>
      <c r="AB74" s="2925"/>
      <c r="AC74" s="2925"/>
    </row>
    <row r="75" spans="1:29" s="429" customFormat="1" ht="15.75" thickBot="1">
      <c r="A75" s="524"/>
      <c r="B75" s="525"/>
      <c r="C75" s="526"/>
      <c r="D75" s="526"/>
      <c r="E75" s="526"/>
      <c r="F75" s="526"/>
      <c r="G75" s="526"/>
      <c r="H75" s="527"/>
      <c r="I75" s="527"/>
      <c r="J75" s="527"/>
      <c r="K75" s="527"/>
      <c r="L75" s="527"/>
      <c r="M75" s="528"/>
      <c r="N75" s="2933"/>
      <c r="O75" s="2933"/>
      <c r="P75" s="2923"/>
      <c r="Q75" s="2924"/>
      <c r="R75" s="2925"/>
      <c r="S75" s="2925"/>
      <c r="T75" s="2925"/>
      <c r="U75" s="2925"/>
      <c r="V75" s="2925"/>
      <c r="W75" s="2925"/>
      <c r="X75" s="2925"/>
      <c r="Y75" s="2925"/>
      <c r="Z75" s="2925"/>
      <c r="AA75" s="2925"/>
      <c r="AB75" s="2925"/>
      <c r="AC75" s="2925"/>
    </row>
    <row r="76" spans="1:29">
      <c r="A76" s="483" t="s">
        <v>2139</v>
      </c>
      <c r="B76" s="484" t="s">
        <v>2176</v>
      </c>
      <c r="C76" s="529" t="s">
        <v>2177</v>
      </c>
      <c r="D76" s="529" t="s">
        <v>2178</v>
      </c>
      <c r="E76" s="529" t="s">
        <v>2179</v>
      </c>
      <c r="F76" s="529" t="s">
        <v>2180</v>
      </c>
      <c r="G76" s="529" t="s">
        <v>2181</v>
      </c>
      <c r="H76" s="485"/>
      <c r="I76" s="485"/>
      <c r="J76" s="485"/>
      <c r="K76" s="530"/>
      <c r="L76" s="531"/>
      <c r="M76" s="532"/>
      <c r="N76" s="2931"/>
      <c r="O76" s="2931"/>
      <c r="P76" s="2929"/>
      <c r="Q76" s="2917"/>
      <c r="R76" s="2903"/>
      <c r="S76" s="2903"/>
      <c r="T76" s="2903"/>
      <c r="U76" s="2903"/>
      <c r="V76" s="2903"/>
      <c r="W76" s="2903"/>
      <c r="X76" s="2903"/>
      <c r="Y76" s="2903"/>
      <c r="Z76" s="2903"/>
      <c r="AA76" s="2903"/>
      <c r="AB76" s="2903"/>
      <c r="AC76" s="290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2"/>
      <c r="O77" s="2932"/>
      <c r="P77" s="2922"/>
      <c r="Q77" s="2917"/>
      <c r="R77" s="2903"/>
      <c r="S77" s="2903"/>
      <c r="T77" s="2903"/>
      <c r="U77" s="2903"/>
      <c r="V77" s="2903"/>
      <c r="W77" s="2903"/>
      <c r="X77" s="2903"/>
      <c r="Y77" s="2903"/>
      <c r="Z77" s="2903"/>
      <c r="AA77" s="2903"/>
      <c r="AB77" s="2903"/>
      <c r="AC77" s="2903"/>
    </row>
    <row r="78" spans="1:29" ht="15.75" thickTop="1">
      <c r="A78" s="490"/>
      <c r="B78" s="494" t="s">
        <v>2182</v>
      </c>
      <c r="C78" s="534" t="s">
        <v>2177</v>
      </c>
      <c r="D78" s="534" t="s">
        <v>2178</v>
      </c>
      <c r="E78" s="534" t="s">
        <v>2179</v>
      </c>
      <c r="F78" s="534" t="s">
        <v>2180</v>
      </c>
      <c r="G78" s="534" t="s">
        <v>2181</v>
      </c>
      <c r="H78" s="495"/>
      <c r="I78" s="495"/>
      <c r="J78" s="495"/>
      <c r="K78" s="496"/>
      <c r="L78" s="497"/>
      <c r="M78" s="498"/>
      <c r="N78" s="2931"/>
      <c r="O78" s="2931"/>
      <c r="P78" s="2922"/>
      <c r="Q78" s="2917"/>
      <c r="R78" s="2903"/>
      <c r="S78" s="2903"/>
      <c r="T78" s="2903"/>
      <c r="U78" s="2903"/>
      <c r="V78" s="2903"/>
      <c r="W78" s="2903"/>
      <c r="X78" s="2903"/>
      <c r="Y78" s="2903"/>
      <c r="Z78" s="2903"/>
      <c r="AA78" s="2903"/>
      <c r="AB78" s="2903"/>
      <c r="AC78" s="290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2"/>
      <c r="O79" s="2932"/>
      <c r="P79" s="2922"/>
      <c r="Q79" s="2917"/>
      <c r="R79" s="2903"/>
      <c r="S79" s="2903"/>
      <c r="T79" s="2903"/>
      <c r="U79" s="2903"/>
      <c r="V79" s="2903"/>
      <c r="W79" s="2903"/>
      <c r="X79" s="2903"/>
      <c r="Y79" s="2903"/>
      <c r="Z79" s="2903"/>
      <c r="AA79" s="2903"/>
      <c r="AB79" s="2903"/>
      <c r="AC79" s="2903"/>
    </row>
    <row r="80" spans="1:29" ht="15.75" thickTop="1">
      <c r="A80" s="490"/>
      <c r="B80" s="494" t="s">
        <v>2183</v>
      </c>
      <c r="C80" s="534" t="s">
        <v>2177</v>
      </c>
      <c r="D80" s="534" t="s">
        <v>2178</v>
      </c>
      <c r="E80" s="534" t="s">
        <v>2179</v>
      </c>
      <c r="F80" s="534" t="s">
        <v>2180</v>
      </c>
      <c r="G80" s="534" t="s">
        <v>2181</v>
      </c>
      <c r="H80" s="495"/>
      <c r="I80" s="495"/>
      <c r="J80" s="495"/>
      <c r="K80" s="496"/>
      <c r="L80" s="497"/>
      <c r="M80" s="498"/>
      <c r="N80" s="2931"/>
      <c r="O80" s="2931"/>
      <c r="P80" s="2922"/>
      <c r="Q80" s="2917"/>
      <c r="R80" s="2903"/>
      <c r="S80" s="2903"/>
      <c r="T80" s="2903"/>
      <c r="U80" s="2903"/>
      <c r="V80" s="2903"/>
      <c r="W80" s="2903"/>
      <c r="X80" s="2903"/>
      <c r="Y80" s="2903"/>
      <c r="Z80" s="2903"/>
      <c r="AA80" s="2903"/>
      <c r="AB80" s="2903"/>
      <c r="AC80" s="290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2"/>
      <c r="O81" s="2932"/>
      <c r="P81" s="2922"/>
      <c r="Q81" s="2917"/>
      <c r="R81" s="2903"/>
      <c r="S81" s="2903"/>
      <c r="T81" s="2903"/>
      <c r="U81" s="2903"/>
      <c r="V81" s="2903"/>
      <c r="W81" s="2903"/>
      <c r="X81" s="2903"/>
      <c r="Y81" s="2903"/>
      <c r="Z81" s="2903"/>
      <c r="AA81" s="2903"/>
      <c r="AB81" s="2903"/>
      <c r="AC81" s="2903"/>
    </row>
    <row r="82" spans="1:29" ht="15.75" thickTop="1">
      <c r="A82" s="490"/>
      <c r="B82" s="502" t="s">
        <v>2235</v>
      </c>
      <c r="C82" s="615" t="s">
        <v>2255</v>
      </c>
      <c r="D82" s="615" t="s">
        <v>2256</v>
      </c>
      <c r="E82" s="615" t="s">
        <v>2257</v>
      </c>
      <c r="F82" s="615" t="s">
        <v>2258</v>
      </c>
      <c r="G82" s="615" t="s">
        <v>2259</v>
      </c>
      <c r="H82" s="495"/>
      <c r="I82" s="495"/>
      <c r="J82" s="495"/>
      <c r="K82" s="495"/>
      <c r="L82" s="495"/>
      <c r="M82" s="1243"/>
      <c r="N82" s="2932"/>
      <c r="O82" s="2932"/>
      <c r="P82" s="2922"/>
      <c r="Q82" s="2917"/>
      <c r="R82" s="2903"/>
      <c r="S82" s="2903"/>
      <c r="T82" s="2903"/>
      <c r="U82" s="2903"/>
      <c r="V82" s="2903"/>
      <c r="W82" s="2903"/>
      <c r="X82" s="2903"/>
      <c r="Y82" s="2903"/>
      <c r="Z82" s="2903"/>
      <c r="AA82" s="2903"/>
      <c r="AB82" s="2903"/>
      <c r="AC82" s="290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2"/>
      <c r="O83" s="2932"/>
      <c r="P83" s="2922"/>
      <c r="Q83" s="2917"/>
      <c r="R83" s="2903"/>
      <c r="S83" s="2903"/>
      <c r="T83" s="2903"/>
      <c r="U83" s="2903"/>
      <c r="V83" s="2903"/>
      <c r="W83" s="2903"/>
      <c r="X83" s="2903"/>
      <c r="Y83" s="2903"/>
      <c r="Z83" s="2903"/>
      <c r="AA83" s="2903"/>
      <c r="AB83" s="2903"/>
      <c r="AC83" s="2903"/>
    </row>
    <row r="84" spans="1:29" ht="15.75" thickTop="1">
      <c r="A84" s="490"/>
      <c r="B84" s="494" t="s">
        <v>2189</v>
      </c>
      <c r="C84" s="534" t="s">
        <v>2177</v>
      </c>
      <c r="D84" s="534" t="s">
        <v>2178</v>
      </c>
      <c r="E84" s="534" t="s">
        <v>2179</v>
      </c>
      <c r="F84" s="534" t="s">
        <v>2180</v>
      </c>
      <c r="G84" s="534" t="s">
        <v>2181</v>
      </c>
      <c r="H84" s="495"/>
      <c r="I84" s="495"/>
      <c r="J84" s="495"/>
      <c r="K84" s="496"/>
      <c r="L84" s="497"/>
      <c r="M84" s="498"/>
      <c r="N84" s="2931"/>
      <c r="O84" s="2931"/>
      <c r="P84" s="2922"/>
      <c r="Q84" s="2917"/>
      <c r="R84" s="2903"/>
      <c r="S84" s="2903"/>
      <c r="T84" s="2903"/>
      <c r="U84" s="2903"/>
      <c r="V84" s="2903"/>
      <c r="W84" s="2903"/>
      <c r="X84" s="2903"/>
      <c r="Y84" s="2903"/>
      <c r="Z84" s="2903"/>
      <c r="AA84" s="2903"/>
      <c r="AB84" s="2903"/>
      <c r="AC84" s="290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2"/>
      <c r="O85" s="2932"/>
      <c r="P85" s="2922"/>
      <c r="Q85" s="2917"/>
      <c r="R85" s="2903"/>
      <c r="S85" s="2903"/>
      <c r="T85" s="2903"/>
      <c r="U85" s="2903"/>
      <c r="V85" s="2903"/>
      <c r="W85" s="2903"/>
      <c r="X85" s="2903"/>
      <c r="Y85" s="2903"/>
      <c r="Z85" s="2903"/>
      <c r="AA85" s="2903"/>
      <c r="AB85" s="2903"/>
      <c r="AC85" s="2903"/>
    </row>
    <row r="86" spans="1:29" s="112" customFormat="1" ht="15.75" thickTop="1">
      <c r="A86" s="535"/>
      <c r="B86" s="494" t="s">
        <v>2260</v>
      </c>
      <c r="C86" s="510"/>
      <c r="D86" s="510"/>
      <c r="E86" s="510"/>
      <c r="F86" s="510"/>
      <c r="G86" s="510"/>
      <c r="H86" s="510"/>
      <c r="I86" s="510"/>
      <c r="J86" s="510"/>
      <c r="K86" s="510"/>
      <c r="L86" s="536"/>
      <c r="M86" s="537"/>
      <c r="N86" s="2930"/>
      <c r="O86" s="2930"/>
      <c r="P86" s="2922"/>
      <c r="Q86" s="2917"/>
      <c r="R86" s="2837"/>
      <c r="S86" s="2837"/>
      <c r="T86" s="2837"/>
      <c r="U86" s="2837"/>
      <c r="V86" s="2837"/>
      <c r="W86" s="2837"/>
      <c r="X86" s="2837"/>
      <c r="Y86" s="2837"/>
      <c r="Z86" s="2837"/>
      <c r="AA86" s="2837"/>
      <c r="AB86" s="2837"/>
      <c r="AC86" s="283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2"/>
      <c r="O87" s="2932"/>
      <c r="P87" s="2922"/>
      <c r="Q87" s="2917"/>
      <c r="R87" s="2837"/>
      <c r="S87" s="2837"/>
      <c r="T87" s="2837"/>
      <c r="U87" s="2837"/>
      <c r="V87" s="2837"/>
      <c r="W87" s="2837"/>
      <c r="X87" s="2837"/>
      <c r="Y87" s="2837"/>
      <c r="Z87" s="2837"/>
      <c r="AA87" s="2837"/>
      <c r="AB87" s="2837"/>
      <c r="AC87" s="2837"/>
    </row>
    <row r="88" spans="1:29" s="112" customFormat="1" ht="15.75" thickTop="1">
      <c r="A88" s="535"/>
      <c r="B88" s="494" t="str">
        <f>B26</f>
        <v>平面位置/可视性</v>
      </c>
      <c r="C88" s="510"/>
      <c r="D88" s="510"/>
      <c r="E88" s="510"/>
      <c r="F88" s="2063"/>
      <c r="G88" s="510"/>
      <c r="H88" s="510"/>
      <c r="I88" s="510"/>
      <c r="J88" s="510"/>
      <c r="K88" s="510"/>
      <c r="L88" s="510"/>
      <c r="M88" s="537"/>
      <c r="N88" s="2930"/>
      <c r="O88" s="2930"/>
      <c r="P88" s="2922"/>
      <c r="Q88" s="2917"/>
      <c r="R88" s="2837"/>
      <c r="S88" s="2837"/>
      <c r="T88" s="2837"/>
      <c r="U88" s="2837"/>
      <c r="V88" s="2837"/>
      <c r="W88" s="2837"/>
      <c r="X88" s="2837"/>
      <c r="Y88" s="2837"/>
      <c r="Z88" s="2837"/>
      <c r="AA88" s="2837"/>
      <c r="AB88" s="2837"/>
      <c r="AC88" s="2837"/>
    </row>
    <row r="89" spans="1:29" s="112" customFormat="1" ht="15.75" thickBot="1">
      <c r="A89" s="535"/>
      <c r="B89" s="499"/>
      <c r="C89" s="516"/>
      <c r="D89" s="492"/>
      <c r="E89" s="492"/>
      <c r="F89" s="492"/>
      <c r="G89" s="492"/>
      <c r="H89" s="492"/>
      <c r="I89" s="492"/>
      <c r="J89" s="492"/>
      <c r="K89" s="492"/>
      <c r="L89" s="492"/>
      <c r="M89" s="492"/>
      <c r="N89" s="2932"/>
      <c r="O89" s="2932"/>
      <c r="P89" s="2922"/>
      <c r="Q89" s="2917"/>
      <c r="R89" s="2837"/>
      <c r="S89" s="2837"/>
      <c r="T89" s="2837"/>
      <c r="U89" s="2837"/>
      <c r="V89" s="2837"/>
      <c r="W89" s="2837"/>
      <c r="X89" s="2837"/>
      <c r="Y89" s="2837"/>
      <c r="Z89" s="2837"/>
      <c r="AA89" s="2837"/>
      <c r="AB89" s="2837"/>
      <c r="AC89" s="2837"/>
    </row>
    <row r="90" spans="1:29" s="429" customFormat="1" ht="15.75" thickTop="1">
      <c r="A90" s="509"/>
      <c r="B90" s="494" t="str">
        <f>B27</f>
        <v>人流量</v>
      </c>
      <c r="C90" s="510"/>
      <c r="D90" s="510"/>
      <c r="E90" s="510"/>
      <c r="F90" s="510"/>
      <c r="G90" s="510"/>
      <c r="H90" s="511"/>
      <c r="I90" s="511"/>
      <c r="J90" s="511"/>
      <c r="K90" s="511"/>
      <c r="L90" s="512"/>
      <c r="M90" s="513"/>
      <c r="N90" s="2933"/>
      <c r="O90" s="2933"/>
      <c r="P90" s="2923"/>
      <c r="Q90" s="2924"/>
      <c r="R90" s="2925"/>
      <c r="S90" s="2925"/>
      <c r="T90" s="2925"/>
      <c r="U90" s="2925"/>
      <c r="V90" s="2925"/>
      <c r="W90" s="2925"/>
      <c r="X90" s="2925"/>
      <c r="Y90" s="2925"/>
      <c r="Z90" s="2925"/>
      <c r="AA90" s="2925"/>
      <c r="AB90" s="2925"/>
      <c r="AC90" s="292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0"/>
      <c r="B92" s="494" t="str">
        <f>B28</f>
        <v>楼层</v>
      </c>
      <c r="C92" s="510"/>
      <c r="D92" s="510"/>
      <c r="E92" s="510"/>
      <c r="F92" s="510"/>
      <c r="G92" s="510"/>
      <c r="H92" s="510"/>
      <c r="I92" s="510"/>
      <c r="J92" s="510"/>
      <c r="K92" s="510"/>
      <c r="L92" s="536"/>
      <c r="M92" s="537"/>
      <c r="N92" s="2931"/>
      <c r="O92" s="2931"/>
      <c r="P92" s="2922"/>
      <c r="Q92" s="2917"/>
      <c r="R92" s="2903"/>
      <c r="S92" s="2903"/>
      <c r="T92" s="2903"/>
      <c r="U92" s="2903"/>
      <c r="V92" s="2903"/>
      <c r="W92" s="2903"/>
      <c r="X92" s="2903"/>
      <c r="Y92" s="2903"/>
      <c r="Z92" s="2903"/>
      <c r="AA92" s="2903"/>
      <c r="AB92" s="2903"/>
      <c r="AC92" s="2903"/>
    </row>
    <row r="93" spans="1:29" ht="15.75" thickBot="1">
      <c r="A93" s="490"/>
      <c r="B93" s="499"/>
      <c r="C93" s="492"/>
      <c r="D93" s="492"/>
      <c r="E93" s="492"/>
      <c r="F93" s="492"/>
      <c r="G93" s="492"/>
      <c r="H93" s="492"/>
      <c r="I93" s="492"/>
      <c r="J93" s="492"/>
      <c r="K93" s="492"/>
      <c r="L93" s="492"/>
      <c r="M93" s="493"/>
      <c r="N93" s="2932"/>
      <c r="O93" s="2932"/>
      <c r="P93" s="2922"/>
      <c r="Q93" s="2917"/>
      <c r="R93" s="2903"/>
      <c r="S93" s="2903"/>
      <c r="T93" s="2903"/>
      <c r="U93" s="2903"/>
      <c r="V93" s="2903"/>
      <c r="W93" s="2903"/>
      <c r="X93" s="2903"/>
      <c r="Y93" s="2903"/>
      <c r="Z93" s="2903"/>
      <c r="AA93" s="2903"/>
      <c r="AB93" s="2903"/>
      <c r="AC93" s="2903"/>
    </row>
    <row r="94" spans="1:29" ht="15.75" thickTop="1">
      <c r="A94" s="490"/>
      <c r="B94" s="494">
        <f>B29</f>
        <v>111</v>
      </c>
      <c r="C94" s="510"/>
      <c r="D94" s="510"/>
      <c r="E94" s="510"/>
      <c r="F94" s="510"/>
      <c r="G94" s="539"/>
      <c r="H94" s="539"/>
      <c r="I94" s="539"/>
      <c r="J94" s="539"/>
      <c r="K94" s="540"/>
      <c r="L94" s="541"/>
      <c r="M94" s="542"/>
      <c r="N94" s="2931"/>
      <c r="O94" s="2931"/>
      <c r="P94" s="2922"/>
      <c r="Q94" s="2917"/>
      <c r="R94" s="2903"/>
      <c r="S94" s="2903"/>
      <c r="T94" s="2903"/>
      <c r="U94" s="2903"/>
      <c r="V94" s="2903"/>
      <c r="W94" s="2903"/>
      <c r="X94" s="2903"/>
      <c r="Y94" s="2903"/>
      <c r="Z94" s="2903"/>
      <c r="AA94" s="2903"/>
      <c r="AB94" s="2903"/>
      <c r="AC94" s="2903"/>
    </row>
    <row r="95" spans="1:29" ht="15.75" thickBot="1">
      <c r="A95" s="490"/>
      <c r="B95" s="499"/>
      <c r="C95" s="516"/>
      <c r="D95" s="492"/>
      <c r="E95" s="492"/>
      <c r="F95" s="492"/>
      <c r="G95" s="492"/>
      <c r="H95" s="492"/>
      <c r="I95" s="492"/>
      <c r="J95" s="492"/>
      <c r="K95" s="492"/>
      <c r="L95" s="492"/>
      <c r="M95" s="493"/>
      <c r="N95" s="2932"/>
      <c r="O95" s="2932"/>
      <c r="P95" s="2922"/>
      <c r="Q95" s="2917"/>
      <c r="R95" s="2903"/>
      <c r="S95" s="2903"/>
      <c r="T95" s="2903"/>
      <c r="U95" s="2903"/>
      <c r="V95" s="2903"/>
      <c r="W95" s="2903"/>
      <c r="X95" s="2903"/>
      <c r="Y95" s="2903"/>
      <c r="Z95" s="2903"/>
      <c r="AA95" s="2903"/>
      <c r="AB95" s="2903"/>
      <c r="AC95" s="2903"/>
    </row>
    <row r="96" spans="1:29" ht="15.75" thickTop="1">
      <c r="A96" s="490"/>
      <c r="B96" s="494">
        <f>B30</f>
        <v>111</v>
      </c>
      <c r="C96" s="510"/>
      <c r="D96" s="510"/>
      <c r="E96" s="510"/>
      <c r="F96" s="510"/>
      <c r="G96" s="539"/>
      <c r="H96" s="539"/>
      <c r="I96" s="539"/>
      <c r="J96" s="539"/>
      <c r="K96" s="540"/>
      <c r="L96" s="541"/>
      <c r="M96" s="542"/>
      <c r="N96" s="2931"/>
      <c r="O96" s="2931"/>
      <c r="P96" s="2922"/>
      <c r="Q96" s="2917"/>
      <c r="R96" s="2903"/>
      <c r="S96" s="2903"/>
      <c r="T96" s="2903"/>
      <c r="U96" s="2903"/>
      <c r="V96" s="2903"/>
      <c r="W96" s="2903"/>
      <c r="X96" s="2903"/>
      <c r="Y96" s="2903"/>
      <c r="Z96" s="2903"/>
      <c r="AA96" s="2903"/>
      <c r="AB96" s="2903"/>
      <c r="AC96" s="2903"/>
    </row>
    <row r="97" spans="1:29" ht="15.75" thickBot="1">
      <c r="A97" s="490"/>
      <c r="B97" s="499"/>
      <c r="C97" s="516"/>
      <c r="D97" s="492"/>
      <c r="E97" s="492"/>
      <c r="F97" s="492"/>
      <c r="G97" s="492"/>
      <c r="H97" s="492"/>
      <c r="I97" s="492"/>
      <c r="J97" s="492"/>
      <c r="K97" s="492"/>
      <c r="L97" s="492"/>
      <c r="M97" s="493"/>
      <c r="N97" s="2932"/>
      <c r="O97" s="2932"/>
      <c r="P97" s="2922"/>
      <c r="Q97" s="2917"/>
      <c r="R97" s="2903"/>
      <c r="S97" s="2903"/>
      <c r="T97" s="2903"/>
      <c r="U97" s="2903"/>
      <c r="V97" s="2903"/>
      <c r="W97" s="2903"/>
      <c r="X97" s="2903"/>
      <c r="Y97" s="2903"/>
      <c r="Z97" s="2903"/>
      <c r="AA97" s="2903"/>
      <c r="AB97" s="2903"/>
      <c r="AC97" s="2903"/>
    </row>
    <row r="98" spans="1:29" ht="15.75" thickTop="1">
      <c r="A98" s="490"/>
      <c r="B98" s="502">
        <f>B31</f>
        <v>111</v>
      </c>
      <c r="C98" s="510"/>
      <c r="D98" s="510"/>
      <c r="E98" s="510"/>
      <c r="F98" s="510"/>
      <c r="G98" s="543"/>
      <c r="H98" s="543"/>
      <c r="I98" s="543"/>
      <c r="J98" s="543"/>
      <c r="K98" s="544"/>
      <c r="L98" s="545"/>
      <c r="M98" s="546"/>
      <c r="N98" s="2931"/>
      <c r="O98" s="2931"/>
      <c r="P98" s="2922"/>
      <c r="Q98" s="2917"/>
      <c r="R98" s="2903"/>
      <c r="S98" s="2903"/>
      <c r="T98" s="2903"/>
      <c r="U98" s="2903"/>
      <c r="V98" s="2903"/>
      <c r="W98" s="2903"/>
      <c r="X98" s="2903"/>
      <c r="Y98" s="2903"/>
      <c r="Z98" s="2903"/>
      <c r="AA98" s="2903"/>
      <c r="AB98" s="2903"/>
      <c r="AC98" s="2903"/>
    </row>
    <row r="99" spans="1:29" ht="15.75" thickBot="1">
      <c r="A99" s="2064"/>
      <c r="B99" s="525"/>
      <c r="C99" s="526"/>
      <c r="D99" s="526"/>
      <c r="E99" s="526"/>
      <c r="F99" s="526"/>
      <c r="G99" s="547"/>
      <c r="H99" s="547"/>
      <c r="I99" s="547"/>
      <c r="J99" s="547"/>
      <c r="K99" s="547"/>
      <c r="L99" s="547"/>
      <c r="M99" s="548"/>
      <c r="N99" s="2932"/>
      <c r="O99" s="2932"/>
      <c r="P99" s="2922"/>
      <c r="Q99" s="2917"/>
      <c r="R99" s="2903"/>
      <c r="S99" s="2903"/>
      <c r="T99" s="2903"/>
      <c r="U99" s="2903"/>
      <c r="V99" s="2903"/>
      <c r="W99" s="2903"/>
      <c r="X99" s="2903"/>
      <c r="Y99" s="2903"/>
      <c r="Z99" s="2903"/>
      <c r="AA99" s="2903"/>
      <c r="AB99" s="2903"/>
      <c r="AC99" s="2903"/>
    </row>
    <row r="100" spans="1:29">
      <c r="A100" s="483" t="s">
        <v>2143</v>
      </c>
      <c r="B100" s="484" t="s">
        <v>2261</v>
      </c>
      <c r="C100" s="486"/>
      <c r="D100" s="486"/>
      <c r="E100" s="486"/>
      <c r="F100" s="486"/>
      <c r="G100" s="486"/>
      <c r="H100" s="486"/>
      <c r="I100" s="486"/>
      <c r="J100" s="486"/>
      <c r="K100" s="487"/>
      <c r="L100" s="488"/>
      <c r="M100" s="489"/>
      <c r="N100" s="2931"/>
      <c r="O100" s="2931"/>
      <c r="P100" s="2922"/>
      <c r="Q100" s="2917"/>
      <c r="R100" s="2903"/>
      <c r="S100" s="2903"/>
      <c r="T100" s="2903"/>
      <c r="U100" s="2903"/>
      <c r="V100" s="2903"/>
      <c r="W100" s="2903"/>
      <c r="X100" s="2903"/>
      <c r="Y100" s="2903"/>
      <c r="Z100" s="2903"/>
      <c r="AA100" s="2903"/>
      <c r="AB100" s="2903"/>
      <c r="AC100" s="290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29" customFormat="1">
      <c r="A103" s="549"/>
      <c r="B103" s="550"/>
      <c r="C103" s="551"/>
      <c r="D103" s="551"/>
      <c r="E103" s="551"/>
      <c r="F103" s="551"/>
      <c r="G103" s="551"/>
      <c r="H103" s="551"/>
      <c r="I103" s="551"/>
      <c r="J103" s="552"/>
      <c r="K103" s="552"/>
      <c r="L103" s="553"/>
      <c r="M103" s="554"/>
      <c r="N103" s="2933"/>
      <c r="O103" s="2933"/>
      <c r="P103" s="2923"/>
      <c r="Q103" s="2924"/>
      <c r="R103" s="2925"/>
      <c r="S103" s="2925"/>
      <c r="T103" s="2925"/>
      <c r="U103" s="2925"/>
      <c r="V103" s="2925"/>
      <c r="W103" s="2925"/>
      <c r="X103" s="2925"/>
      <c r="Y103" s="2925"/>
      <c r="Z103" s="2925"/>
      <c r="AA103" s="2925"/>
      <c r="AB103" s="2925"/>
      <c r="AC103" s="2925"/>
    </row>
    <row r="104" spans="1:29" s="429" customFormat="1" ht="15.75" thickBot="1">
      <c r="A104" s="509"/>
      <c r="B104" s="499"/>
      <c r="C104" s="516"/>
      <c r="D104" s="492"/>
      <c r="E104" s="492"/>
      <c r="F104" s="492"/>
      <c r="G104" s="492"/>
      <c r="H104" s="492"/>
      <c r="I104" s="492"/>
      <c r="J104" s="492"/>
      <c r="K104" s="492"/>
      <c r="L104" s="492"/>
      <c r="M104" s="493"/>
      <c r="N104" s="2932"/>
      <c r="O104" s="2932"/>
      <c r="P104" s="2923"/>
      <c r="Q104" s="2924"/>
      <c r="R104" s="2925"/>
      <c r="S104" s="2925"/>
      <c r="T104" s="2925"/>
      <c r="U104" s="2925"/>
      <c r="V104" s="2925"/>
      <c r="W104" s="2925"/>
      <c r="X104" s="2925"/>
      <c r="Y104" s="2925"/>
      <c r="Z104" s="2925"/>
      <c r="AA104" s="2925"/>
      <c r="AB104" s="2925"/>
      <c r="AC104" s="2925"/>
    </row>
    <row r="105" spans="1:29" ht="15" thickTop="1">
      <c r="A105" s="555"/>
      <c r="B105" s="494" t="s">
        <v>2194</v>
      </c>
      <c r="C105" s="510"/>
      <c r="D105" s="510"/>
      <c r="E105" s="539"/>
      <c r="F105" s="539"/>
      <c r="G105" s="539"/>
      <c r="H105" s="539"/>
      <c r="I105" s="539"/>
      <c r="J105" s="539"/>
      <c r="K105" s="540"/>
      <c r="L105" s="541"/>
      <c r="M105" s="542"/>
      <c r="N105" s="2931"/>
      <c r="O105" s="2931"/>
      <c r="P105" s="2922"/>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5"/>
      <c r="B107" s="494" t="s">
        <v>2196</v>
      </c>
      <c r="C107" s="510"/>
      <c r="D107" s="510"/>
      <c r="E107" s="510"/>
      <c r="F107" s="539"/>
      <c r="G107" s="539"/>
      <c r="H107" s="539"/>
      <c r="I107" s="539"/>
      <c r="J107" s="539"/>
      <c r="K107" s="540"/>
      <c r="L107" s="541"/>
      <c r="M107" s="542"/>
      <c r="N107" s="2931"/>
      <c r="O107" s="2931"/>
      <c r="P107" s="2922"/>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1"/>
      <c r="O109" s="2931"/>
      <c r="P109" s="2922"/>
      <c r="Q109" s="2917"/>
      <c r="R109" s="2903"/>
      <c r="S109" s="2903"/>
      <c r="T109" s="2903"/>
      <c r="U109" s="2903"/>
      <c r="V109" s="2903"/>
      <c r="W109" s="2903"/>
      <c r="X109" s="2903"/>
      <c r="Y109" s="2903"/>
      <c r="Z109" s="2903"/>
      <c r="AA109" s="2903"/>
      <c r="AB109" s="2903"/>
      <c r="AC109" s="2903"/>
    </row>
    <row r="110" spans="1:29">
      <c r="A110" s="555"/>
      <c r="B110" s="502"/>
      <c r="C110" s="559">
        <v>0.5</v>
      </c>
      <c r="D110" s="559">
        <v>0.6</v>
      </c>
      <c r="E110" s="559">
        <v>0.7</v>
      </c>
      <c r="F110" s="559">
        <v>0.8</v>
      </c>
      <c r="G110" s="559">
        <v>0.9</v>
      </c>
      <c r="H110" s="559">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2"/>
      <c r="O111" s="2932"/>
      <c r="P111" s="2922"/>
      <c r="Q111" s="2917"/>
      <c r="R111" s="2903"/>
      <c r="S111" s="2903"/>
      <c r="T111" s="2903"/>
      <c r="U111" s="2903"/>
      <c r="V111" s="2903"/>
      <c r="W111" s="2903"/>
      <c r="X111" s="2903"/>
      <c r="Y111" s="2903"/>
      <c r="Z111" s="2903"/>
      <c r="AA111" s="2903"/>
      <c r="AB111" s="2903"/>
      <c r="AC111" s="2903"/>
    </row>
    <row r="112" spans="1:29" s="429" customFormat="1" ht="15" thickTop="1">
      <c r="A112" s="549"/>
      <c r="B112" s="494" t="s">
        <v>2198</v>
      </c>
      <c r="C112" s="510"/>
      <c r="D112" s="510"/>
      <c r="E112" s="510"/>
      <c r="F112" s="510"/>
      <c r="G112" s="510"/>
      <c r="H112" s="539"/>
      <c r="I112" s="539"/>
      <c r="J112" s="539"/>
      <c r="K112" s="540"/>
      <c r="L112" s="541"/>
      <c r="M112" s="542"/>
      <c r="N112" s="2933"/>
      <c r="O112" s="2933"/>
      <c r="P112" s="2923"/>
      <c r="Q112" s="2924"/>
      <c r="R112" s="2925"/>
      <c r="S112" s="2925"/>
      <c r="T112" s="2925"/>
      <c r="U112" s="2925"/>
      <c r="V112" s="2925"/>
      <c r="W112" s="2925"/>
      <c r="X112" s="2925"/>
      <c r="Y112" s="2925"/>
      <c r="Z112" s="2925"/>
      <c r="AA112" s="2925"/>
      <c r="AB112" s="2925"/>
      <c r="AC112" s="292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5"/>
      <c r="B114" s="494" t="s">
        <v>2262</v>
      </c>
      <c r="C114" s="510"/>
      <c r="D114" s="510"/>
      <c r="E114" s="539"/>
      <c r="F114" s="539"/>
      <c r="G114" s="539"/>
      <c r="H114" s="539"/>
      <c r="I114" s="539"/>
      <c r="J114" s="539"/>
      <c r="K114" s="540"/>
      <c r="L114" s="541"/>
      <c r="M114" s="542"/>
      <c r="N114" s="2931"/>
      <c r="O114" s="2931"/>
      <c r="P114" s="2922"/>
      <c r="Q114" s="2917"/>
      <c r="R114" s="2903"/>
      <c r="S114" s="2903"/>
      <c r="T114" s="2903"/>
      <c r="U114" s="2903"/>
      <c r="V114" s="2903"/>
      <c r="W114" s="2903"/>
      <c r="X114" s="2903"/>
      <c r="Y114" s="2903"/>
      <c r="Z114" s="2903"/>
      <c r="AA114" s="2903"/>
      <c r="AB114" s="2903"/>
      <c r="AC114" s="290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5"/>
      <c r="B116" s="494" t="s">
        <v>2263</v>
      </c>
      <c r="C116" s="510"/>
      <c r="D116" s="510"/>
      <c r="E116" s="510"/>
      <c r="F116" s="510"/>
      <c r="G116" s="510"/>
      <c r="H116" s="539"/>
      <c r="I116" s="539"/>
      <c r="J116" s="539"/>
      <c r="K116" s="540"/>
      <c r="L116" s="541"/>
      <c r="M116" s="542"/>
      <c r="N116" s="2931"/>
      <c r="O116" s="2931"/>
      <c r="P116" s="2922"/>
      <c r="Q116" s="2917"/>
      <c r="R116" s="2903"/>
      <c r="S116" s="2903"/>
      <c r="T116" s="2903"/>
      <c r="U116" s="2903"/>
      <c r="V116" s="2903"/>
      <c r="W116" s="2903"/>
      <c r="X116" s="2903"/>
      <c r="Y116" s="2903"/>
      <c r="Z116" s="2903"/>
      <c r="AA116" s="2903"/>
      <c r="AB116" s="2903"/>
      <c r="AC116" s="290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2"/>
      <c r="O117" s="2932"/>
      <c r="P117" s="2922"/>
      <c r="Q117" s="2917"/>
      <c r="R117" s="2903"/>
      <c r="S117" s="2903"/>
      <c r="T117" s="2903"/>
      <c r="U117" s="2903"/>
      <c r="V117" s="2903"/>
      <c r="W117" s="2903"/>
      <c r="X117" s="2903"/>
      <c r="Y117" s="2903"/>
      <c r="Z117" s="2903"/>
      <c r="AA117" s="2903"/>
      <c r="AB117" s="2903"/>
      <c r="AC117" s="2903"/>
    </row>
    <row r="118" spans="1:29" ht="15" thickTop="1">
      <c r="A118" s="555"/>
      <c r="B118" s="494" t="s">
        <v>2264</v>
      </c>
      <c r="C118" s="582"/>
      <c r="D118" s="582"/>
      <c r="E118" s="582"/>
      <c r="F118" s="582"/>
      <c r="G118" s="582"/>
      <c r="H118" s="511"/>
      <c r="I118" s="511"/>
      <c r="J118" s="511"/>
      <c r="K118" s="511"/>
      <c r="L118" s="512"/>
      <c r="M118" s="513"/>
      <c r="N118" s="2931"/>
      <c r="O118" s="2931"/>
      <c r="P118" s="2922"/>
      <c r="Q118" s="2917"/>
      <c r="R118" s="2903"/>
      <c r="S118" s="2903"/>
      <c r="T118" s="2903"/>
      <c r="U118" s="2903"/>
      <c r="V118" s="2903"/>
      <c r="W118" s="2903"/>
      <c r="X118" s="2903"/>
      <c r="Y118" s="2903"/>
      <c r="Z118" s="2903"/>
      <c r="AA118" s="2903"/>
      <c r="AB118" s="2903"/>
      <c r="AC118" s="2903"/>
    </row>
    <row r="119" spans="1:29" ht="15.75" thickBot="1">
      <c r="A119" s="490"/>
      <c r="B119" s="499"/>
      <c r="C119" s="516"/>
      <c r="D119" s="492"/>
      <c r="E119" s="492"/>
      <c r="F119" s="492"/>
      <c r="G119" s="492"/>
      <c r="H119" s="492"/>
      <c r="I119" s="492"/>
      <c r="J119" s="492"/>
      <c r="K119" s="492"/>
      <c r="L119" s="492"/>
      <c r="M119" s="493"/>
      <c r="N119" s="2932"/>
      <c r="O119" s="2932"/>
      <c r="P119" s="2922"/>
      <c r="Q119" s="2917"/>
      <c r="R119" s="2903"/>
      <c r="S119" s="2903"/>
      <c r="T119" s="2903"/>
      <c r="U119" s="2903"/>
      <c r="V119" s="2903"/>
      <c r="W119" s="2903"/>
      <c r="X119" s="2903"/>
      <c r="Y119" s="2903"/>
      <c r="Z119" s="2903"/>
      <c r="AA119" s="2903"/>
      <c r="AB119" s="2903"/>
      <c r="AC119" s="2903"/>
    </row>
    <row r="120" spans="1:29" s="429" customFormat="1" ht="15" thickTop="1">
      <c r="A120" s="549"/>
      <c r="B120" s="494" t="s">
        <v>2265</v>
      </c>
      <c r="C120" s="539"/>
      <c r="D120" s="539"/>
      <c r="E120" s="539"/>
      <c r="F120" s="539"/>
      <c r="G120" s="511"/>
      <c r="H120" s="511"/>
      <c r="I120" s="511"/>
      <c r="J120" s="511"/>
      <c r="K120" s="511"/>
      <c r="L120" s="512"/>
      <c r="M120" s="513"/>
      <c r="N120" s="2933"/>
      <c r="O120" s="2933"/>
      <c r="P120" s="2923"/>
      <c r="Q120" s="2924"/>
      <c r="R120" s="2925"/>
      <c r="S120" s="2925"/>
      <c r="T120" s="2925"/>
      <c r="U120" s="2925"/>
      <c r="V120" s="2925"/>
      <c r="W120" s="2925"/>
      <c r="X120" s="2925"/>
      <c r="Y120" s="2925"/>
      <c r="Z120" s="2925"/>
      <c r="AA120" s="2925"/>
      <c r="AB120" s="2925"/>
      <c r="AC120" s="292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5"/>
      <c r="B122" s="494" t="s">
        <v>2200</v>
      </c>
      <c r="C122" s="510"/>
      <c r="D122" s="510"/>
      <c r="E122" s="510"/>
      <c r="F122" s="539"/>
      <c r="G122" s="539"/>
      <c r="H122" s="539"/>
      <c r="I122" s="539"/>
      <c r="J122" s="539"/>
      <c r="K122" s="540"/>
      <c r="L122" s="541"/>
      <c r="M122" s="542"/>
      <c r="N122" s="2931"/>
      <c r="O122" s="2931"/>
      <c r="P122" s="2922"/>
      <c r="Q122" s="2917"/>
      <c r="R122" s="2903"/>
      <c r="S122" s="2903"/>
      <c r="T122" s="2903"/>
      <c r="U122" s="2903"/>
      <c r="V122" s="2903"/>
      <c r="W122" s="2903"/>
      <c r="X122" s="2903"/>
      <c r="Y122" s="2903"/>
      <c r="Z122" s="2903"/>
      <c r="AA122" s="2903"/>
      <c r="AB122" s="2903"/>
      <c r="AC122" s="290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31"/>
      <c r="O124" s="2931"/>
      <c r="P124" s="2923"/>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2"/>
      <c r="O125" s="2932"/>
      <c r="P125" s="2922"/>
      <c r="Q125" s="2917"/>
      <c r="R125" s="2903"/>
      <c r="S125" s="2903"/>
      <c r="T125" s="2903"/>
      <c r="U125" s="2903"/>
      <c r="V125" s="2903"/>
      <c r="W125" s="2903"/>
      <c r="X125" s="2903"/>
      <c r="Y125" s="2903"/>
      <c r="Z125" s="2903"/>
      <c r="AA125" s="2903"/>
      <c r="AB125" s="2903"/>
      <c r="AC125" s="2903"/>
    </row>
    <row r="126" spans="1:29" s="429" customFormat="1" ht="15" thickTop="1">
      <c r="A126" s="549"/>
      <c r="B126" s="494">
        <f>B44</f>
        <v>111</v>
      </c>
      <c r="C126" s="510"/>
      <c r="D126" s="510"/>
      <c r="E126" s="510"/>
      <c r="F126" s="510"/>
      <c r="G126" s="510"/>
      <c r="H126" s="511"/>
      <c r="I126" s="511"/>
      <c r="J126" s="511"/>
      <c r="K126" s="511"/>
      <c r="L126" s="512"/>
      <c r="M126" s="513"/>
      <c r="N126" s="2933"/>
      <c r="O126" s="2933"/>
      <c r="P126" s="2923"/>
      <c r="Q126" s="2924"/>
      <c r="R126" s="2925"/>
      <c r="S126" s="2925"/>
      <c r="T126" s="2925"/>
      <c r="U126" s="2925"/>
      <c r="V126" s="2925"/>
      <c r="W126" s="2925"/>
      <c r="X126" s="2925"/>
      <c r="Y126" s="2925"/>
      <c r="Z126" s="2925"/>
      <c r="AA126" s="2925"/>
      <c r="AB126" s="2925"/>
      <c r="AC126" s="2925"/>
    </row>
    <row r="127" spans="1:29" s="429" customFormat="1" ht="15.75" thickBot="1">
      <c r="A127" s="509"/>
      <c r="B127" s="499"/>
      <c r="C127" s="516"/>
      <c r="D127" s="492"/>
      <c r="E127" s="492"/>
      <c r="F127" s="492"/>
      <c r="G127" s="516"/>
      <c r="H127" s="518"/>
      <c r="I127" s="518"/>
      <c r="J127" s="518"/>
      <c r="K127" s="518"/>
      <c r="L127" s="518"/>
      <c r="M127" s="519"/>
      <c r="N127" s="2933"/>
      <c r="O127" s="2933"/>
      <c r="P127" s="2923"/>
      <c r="Q127" s="2924"/>
      <c r="R127" s="2925"/>
      <c r="S127" s="2925"/>
      <c r="T127" s="2925"/>
      <c r="U127" s="2925"/>
      <c r="V127" s="2925"/>
      <c r="W127" s="2925"/>
      <c r="X127" s="2925"/>
      <c r="Y127" s="2925"/>
      <c r="Z127" s="2925"/>
      <c r="AA127" s="2925"/>
      <c r="AB127" s="2925"/>
      <c r="AC127" s="2925"/>
    </row>
    <row r="128" spans="1:29" ht="15" thickTop="1">
      <c r="A128" s="555"/>
      <c r="B128" s="494">
        <f>B45</f>
        <v>111</v>
      </c>
      <c r="C128" s="510"/>
      <c r="D128" s="510"/>
      <c r="E128" s="510"/>
      <c r="F128" s="510"/>
      <c r="G128" s="539"/>
      <c r="H128" s="539"/>
      <c r="I128" s="539"/>
      <c r="J128" s="539"/>
      <c r="K128" s="540"/>
      <c r="L128" s="541"/>
      <c r="M128" s="542"/>
      <c r="N128" s="2931"/>
      <c r="O128" s="2931"/>
      <c r="P128" s="2922"/>
      <c r="Q128" s="2917"/>
      <c r="R128" s="2903"/>
      <c r="S128" s="2903"/>
      <c r="T128" s="2903"/>
      <c r="U128" s="2903"/>
      <c r="V128" s="2903"/>
      <c r="W128" s="2903"/>
      <c r="X128" s="2903"/>
      <c r="Y128" s="2903"/>
      <c r="Z128" s="2903"/>
      <c r="AA128" s="2903"/>
      <c r="AB128" s="2903"/>
      <c r="AC128" s="2903"/>
    </row>
    <row r="129" spans="1:29" ht="15.75" thickBot="1">
      <c r="A129" s="490"/>
      <c r="B129" s="499"/>
      <c r="C129" s="516"/>
      <c r="D129" s="492"/>
      <c r="E129" s="492"/>
      <c r="F129" s="492"/>
      <c r="G129" s="492"/>
      <c r="H129" s="492"/>
      <c r="I129" s="492"/>
      <c r="J129" s="492"/>
      <c r="K129" s="492"/>
      <c r="L129" s="492"/>
      <c r="M129" s="493"/>
      <c r="N129" s="2932"/>
      <c r="O129" s="2932"/>
      <c r="P129" s="2922"/>
      <c r="Q129" s="2917"/>
      <c r="R129" s="2903"/>
      <c r="S129" s="2903"/>
      <c r="T129" s="2903"/>
      <c r="U129" s="2903"/>
      <c r="V129" s="2903"/>
      <c r="W129" s="2903"/>
      <c r="X129" s="2903"/>
      <c r="Y129" s="2903"/>
      <c r="Z129" s="2903"/>
      <c r="AA129" s="2903"/>
      <c r="AB129" s="2903"/>
      <c r="AC129" s="2903"/>
    </row>
    <row r="130" spans="1:29" ht="15" thickTop="1">
      <c r="A130" s="555"/>
      <c r="B130" s="502">
        <f>B46</f>
        <v>111</v>
      </c>
      <c r="C130" s="510"/>
      <c r="D130" s="510"/>
      <c r="E130" s="510"/>
      <c r="F130" s="510"/>
      <c r="G130" s="543"/>
      <c r="H130" s="543"/>
      <c r="I130" s="543"/>
      <c r="J130" s="543"/>
      <c r="K130" s="479"/>
      <c r="L130" s="480"/>
      <c r="M130" s="546"/>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5"/>
      <c r="C131" s="526"/>
      <c r="D131" s="526"/>
      <c r="E131" s="526"/>
      <c r="F131" s="526"/>
      <c r="G131" s="547"/>
      <c r="H131" s="547"/>
      <c r="I131" s="547"/>
      <c r="J131" s="547"/>
      <c r="K131" s="547"/>
      <c r="L131" s="547"/>
      <c r="M131" s="548"/>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估价对象为北京市房地产，为所有。根据《国有土地使用证》[]，估价对象（分摊）出让国有建设用地使用权面积为6976.24平方米，建筑面积为32206.8900000002平方米。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估价对象为北京市房地产,属开发建设的，该项目尚在开发建设中。根据《国有土地使用证》[]，估价对象（分摊）出让国有建设用地使用权面积为6976.24平方米，规划建筑面积为32206.8900000002平方米。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2022年5月17日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17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
      </c>
    </row>
    <row r="23" spans="1:1" ht="18.75">
      <c r="A23" s="1620" t="s">
        <v>1333</v>
      </c>
    </row>
    <row r="24" spans="1:1" ht="18">
      <c r="A24" s="1622" t="str">
        <f>"本次评估采用的主估价方法为"&amp;结果表!K4&amp;"和"&amp;结果表!L4&amp;"。"</f>
        <v>本次评估采用的主估价方法为基准地价系数修正法和基准地价系数修正法。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32206.890000000196</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2225</v>
      </c>
      <c r="B4" s="361"/>
      <c r="C4" s="3474" t="s">
        <v>2226</v>
      </c>
      <c r="D4" s="3475"/>
      <c r="E4" s="3476" t="s">
        <v>2227</v>
      </c>
      <c r="F4" s="3477"/>
      <c r="G4" s="3474" t="s">
        <v>2228</v>
      </c>
      <c r="H4" s="3475"/>
      <c r="I4" s="3474" t="s">
        <v>2229</v>
      </c>
      <c r="J4" s="3475"/>
      <c r="K4" s="566" t="s">
        <v>2230</v>
      </c>
      <c r="L4" s="2893"/>
      <c r="M4" s="2894"/>
      <c r="N4" s="2894"/>
      <c r="O4" s="2894"/>
      <c r="P4" s="3531" t="s">
        <v>2231</v>
      </c>
      <c r="Q4" s="3532"/>
      <c r="R4" s="3526" t="s">
        <v>2227</v>
      </c>
      <c r="S4" s="3527"/>
      <c r="T4" s="3526" t="s">
        <v>2228</v>
      </c>
      <c r="U4" s="3527"/>
      <c r="V4" s="3535" t="s">
        <v>2229</v>
      </c>
      <c r="W4" s="3535"/>
      <c r="X4" s="2094"/>
      <c r="Y4" s="3526" t="s">
        <v>2231</v>
      </c>
      <c r="Z4" s="3527"/>
      <c r="AA4" s="3525" t="s">
        <v>2227</v>
      </c>
      <c r="AB4" s="3525" t="s">
        <v>2228</v>
      </c>
      <c r="AC4" s="3528" t="s">
        <v>2229</v>
      </c>
    </row>
    <row r="5" spans="1:29" ht="15">
      <c r="A5" s="363"/>
      <c r="B5" s="364"/>
      <c r="C5" s="3467" t="s">
        <v>2122</v>
      </c>
      <c r="D5" s="3468"/>
      <c r="E5" s="3465" t="s">
        <v>2123</v>
      </c>
      <c r="F5" s="3466"/>
      <c r="G5" s="3467" t="s">
        <v>2124</v>
      </c>
      <c r="H5" s="3468"/>
      <c r="I5" s="3467" t="s">
        <v>2125</v>
      </c>
      <c r="J5" s="3468"/>
      <c r="K5" s="566"/>
      <c r="L5" s="2893"/>
      <c r="M5" s="2894"/>
      <c r="N5" s="2894"/>
      <c r="O5" s="2894"/>
      <c r="P5" s="3533"/>
      <c r="Q5" s="3481"/>
      <c r="R5" s="3463"/>
      <c r="S5" s="3464"/>
      <c r="T5" s="3463"/>
      <c r="U5" s="3464"/>
      <c r="V5" s="3486"/>
      <c r="W5" s="3486"/>
      <c r="X5" s="1489"/>
      <c r="Y5" s="3463"/>
      <c r="Z5" s="3464"/>
      <c r="AA5" s="3457"/>
      <c r="AB5" s="3457"/>
      <c r="AC5" s="3529"/>
    </row>
    <row r="6" spans="1:29" ht="15.75" thickBot="1">
      <c r="A6" s="365"/>
      <c r="B6" s="366"/>
      <c r="C6" s="3469" t="s">
        <v>2126</v>
      </c>
      <c r="D6" s="3470"/>
      <c r="E6" s="3471" t="s">
        <v>2126</v>
      </c>
      <c r="F6" s="3472"/>
      <c r="G6" s="3469" t="s">
        <v>2126</v>
      </c>
      <c r="H6" s="3470"/>
      <c r="I6" s="3469" t="s">
        <v>2126</v>
      </c>
      <c r="J6" s="3470"/>
      <c r="K6" s="566" t="s">
        <v>2127</v>
      </c>
      <c r="L6" s="2893"/>
      <c r="M6" s="2894"/>
      <c r="N6" s="2894"/>
      <c r="O6" s="2894"/>
      <c r="P6" s="3534"/>
      <c r="Q6" s="3483"/>
      <c r="R6" s="3463"/>
      <c r="S6" s="3464"/>
      <c r="T6" s="3484"/>
      <c r="U6" s="3485"/>
      <c r="V6" s="3486"/>
      <c r="W6" s="3486"/>
      <c r="X6" s="1489"/>
      <c r="Y6" s="3484"/>
      <c r="Z6" s="3485"/>
      <c r="AA6" s="3458"/>
      <c r="AB6" s="3458"/>
      <c r="AC6" s="3530"/>
    </row>
    <row r="7" spans="1:29" s="112" customFormat="1" ht="15.75" thickBot="1">
      <c r="A7" s="367" t="s">
        <v>2128</v>
      </c>
      <c r="B7" s="368"/>
      <c r="C7" s="369">
        <f>'数据-取费表'!B2</f>
        <v>44698</v>
      </c>
      <c r="D7" s="370">
        <v>100</v>
      </c>
      <c r="E7" s="371"/>
      <c r="F7" s="372">
        <f>SUMIF(59:59,YEAR(E7)&amp;"-"&amp;MONTH(E7),60:60)</f>
        <v>0</v>
      </c>
      <c r="G7" s="371"/>
      <c r="H7" s="370">
        <f>SUMIF(59:59,YEAR(G7)&amp;"-"&amp;MONTH(G7),60:60)</f>
        <v>0</v>
      </c>
      <c r="I7" s="371"/>
      <c r="J7" s="370">
        <f>SUMIF(59:59,YEAR(I7)&amp;"-"&amp;MONTH(I7),60:60)</f>
        <v>0</v>
      </c>
      <c r="K7" s="567"/>
      <c r="L7" s="2895"/>
      <c r="M7" s="2896"/>
      <c r="N7" s="2896"/>
      <c r="O7" s="2896"/>
      <c r="P7" s="3536" t="s">
        <v>2129</v>
      </c>
      <c r="Q7" s="3487"/>
      <c r="R7" s="709" t="s">
        <v>17</v>
      </c>
      <c r="S7" s="710">
        <f t="shared" ref="S7:S15" si="0">F7</f>
        <v>0</v>
      </c>
      <c r="T7" s="709" t="s">
        <v>17</v>
      </c>
      <c r="U7" s="710">
        <f t="shared" ref="U7:U15" si="1">H7</f>
        <v>0</v>
      </c>
      <c r="V7" s="709" t="s">
        <v>17</v>
      </c>
      <c r="W7" s="710">
        <f t="shared" ref="W7:W15" si="2">J7</f>
        <v>0</v>
      </c>
      <c r="X7" s="711"/>
      <c r="Y7" s="3459" t="s">
        <v>2129</v>
      </c>
      <c r="Z7" s="3460"/>
      <c r="AA7" s="712" t="e">
        <f>D7/F7</f>
        <v>#DIV/0!</v>
      </c>
      <c r="AB7" s="712" t="e">
        <f>D7/H7</f>
        <v>#DIV/0!</v>
      </c>
      <c r="AC7" s="2095"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95"/>
      <c r="M8" s="2896"/>
      <c r="N8" s="2896"/>
      <c r="O8" s="2896"/>
      <c r="P8" s="3536" t="s">
        <v>2132</v>
      </c>
      <c r="Q8" s="3460"/>
      <c r="R8" s="709" t="s">
        <v>17</v>
      </c>
      <c r="S8" s="710">
        <f t="shared" si="0"/>
        <v>0</v>
      </c>
      <c r="T8" s="709" t="s">
        <v>17</v>
      </c>
      <c r="U8" s="710">
        <f t="shared" si="1"/>
        <v>0</v>
      </c>
      <c r="V8" s="709" t="s">
        <v>17</v>
      </c>
      <c r="W8" s="710">
        <f t="shared" si="2"/>
        <v>0</v>
      </c>
      <c r="X8" s="711"/>
      <c r="Y8" s="3459" t="s">
        <v>2132</v>
      </c>
      <c r="Z8" s="3460"/>
      <c r="AA8" s="712" t="e">
        <f t="shared" ref="AA8:AA47" si="3">D8/F8</f>
        <v>#DIV/0!</v>
      </c>
      <c r="AB8" s="712" t="e">
        <f t="shared" ref="AB8:AB47" si="4">D8/H8</f>
        <v>#DIV/0!</v>
      </c>
      <c r="AC8" s="2095" t="e">
        <f t="shared" ref="AC8:AC47" si="5">D8/J8</f>
        <v>#DIV/0!</v>
      </c>
    </row>
    <row r="9" spans="1:29" s="112" customFormat="1">
      <c r="A9" s="374" t="s">
        <v>2133</v>
      </c>
      <c r="B9" s="66" t="s">
        <v>2134</v>
      </c>
      <c r="C9" s="375"/>
      <c r="D9" s="130">
        <v>100</v>
      </c>
      <c r="E9" s="378"/>
      <c r="F9" s="130">
        <f>SUMIF(64:64,E9,65:65)-SUMIF(64:64,C9,65:65)+100</f>
        <v>100</v>
      </c>
      <c r="G9" s="376"/>
      <c r="H9" s="130">
        <f>SUMIF(64:64,G9,65:65)-SUMIF(64:64,C9,65:65)+100</f>
        <v>100</v>
      </c>
      <c r="I9" s="376"/>
      <c r="J9" s="130">
        <f>SUMIF(64:64,I9,65:65)-SUMIF(64:64,C9,65:65)+100</f>
        <v>100</v>
      </c>
      <c r="K9" s="567"/>
      <c r="L9" s="2895"/>
      <c r="M9" s="2896"/>
      <c r="N9" s="2896"/>
      <c r="O9" s="2896"/>
      <c r="P9" s="3517" t="s">
        <v>2135</v>
      </c>
      <c r="Q9" s="1477" t="str">
        <f t="shared" ref="Q9:Q15" si="6">B9</f>
        <v>用途</v>
      </c>
      <c r="R9" s="709" t="s">
        <v>17</v>
      </c>
      <c r="S9" s="710">
        <f t="shared" si="0"/>
        <v>100</v>
      </c>
      <c r="T9" s="709" t="s">
        <v>17</v>
      </c>
      <c r="U9" s="710">
        <f t="shared" si="1"/>
        <v>100</v>
      </c>
      <c r="V9" s="709" t="s">
        <v>17</v>
      </c>
      <c r="W9" s="710">
        <f t="shared" si="2"/>
        <v>100</v>
      </c>
      <c r="X9" s="711"/>
      <c r="Y9" s="3424" t="s">
        <v>2136</v>
      </c>
      <c r="Z9" s="55" t="str">
        <f t="shared" ref="Z9:Z15" si="7">Q9</f>
        <v>用途</v>
      </c>
      <c r="AA9" s="712">
        <f t="shared" si="3"/>
        <v>1</v>
      </c>
      <c r="AB9" s="712">
        <f t="shared" si="4"/>
        <v>1</v>
      </c>
      <c r="AC9" s="2095">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517"/>
      <c r="Q10" s="1477" t="str">
        <f t="shared" si="6"/>
        <v>土地使用年限（年）</v>
      </c>
      <c r="R10" s="709" t="s">
        <v>17</v>
      </c>
      <c r="S10" s="710">
        <f t="shared" si="0"/>
        <v>100</v>
      </c>
      <c r="T10" s="709" t="s">
        <v>17</v>
      </c>
      <c r="U10" s="710">
        <f t="shared" si="1"/>
        <v>100</v>
      </c>
      <c r="V10" s="709" t="s">
        <v>17</v>
      </c>
      <c r="W10" s="710">
        <f t="shared" si="2"/>
        <v>100</v>
      </c>
      <c r="X10" s="711"/>
      <c r="Y10" s="3424"/>
      <c r="Z10" s="55" t="str">
        <f t="shared" si="7"/>
        <v>土地使用年限（年）</v>
      </c>
      <c r="AA10" s="712">
        <f t="shared" si="3"/>
        <v>1</v>
      </c>
      <c r="AB10" s="712">
        <f t="shared" si="4"/>
        <v>1</v>
      </c>
      <c r="AC10" s="2095">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9"/>
      <c r="M11" s="2894"/>
      <c r="N11" s="2894"/>
      <c r="O11" s="2894"/>
      <c r="P11" s="3517"/>
      <c r="Q11" s="1477" t="str">
        <f t="shared" si="6"/>
        <v>容积率</v>
      </c>
      <c r="R11" s="709" t="s">
        <v>17</v>
      </c>
      <c r="S11" s="710" t="e">
        <f t="shared" si="0"/>
        <v>#N/A</v>
      </c>
      <c r="T11" s="709" t="s">
        <v>17</v>
      </c>
      <c r="U11" s="710" t="e">
        <f t="shared" si="1"/>
        <v>#N/A</v>
      </c>
      <c r="V11" s="709" t="s">
        <v>17</v>
      </c>
      <c r="W11" s="710" t="e">
        <f t="shared" si="2"/>
        <v>#N/A</v>
      </c>
      <c r="X11" s="711"/>
      <c r="Y11" s="3424"/>
      <c r="Z11" s="55" t="str">
        <f t="shared" si="7"/>
        <v>容积率</v>
      </c>
      <c r="AA11" s="712" t="e">
        <f t="shared" si="3"/>
        <v>#N/A</v>
      </c>
      <c r="AB11" s="712" t="e">
        <f t="shared" si="4"/>
        <v>#N/A</v>
      </c>
      <c r="AC11" s="2095" t="e">
        <f t="shared" si="5"/>
        <v>#N/A</v>
      </c>
    </row>
    <row r="12" spans="1:29" s="112" customFormat="1" ht="15">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517"/>
      <c r="Q12" s="1477">
        <f t="shared" si="6"/>
        <v>111</v>
      </c>
      <c r="R12" s="709" t="s">
        <v>17</v>
      </c>
      <c r="S12" s="710">
        <f t="shared" si="0"/>
        <v>100</v>
      </c>
      <c r="T12" s="709" t="s">
        <v>17</v>
      </c>
      <c r="U12" s="710">
        <f t="shared" si="1"/>
        <v>100</v>
      </c>
      <c r="V12" s="709" t="s">
        <v>17</v>
      </c>
      <c r="W12" s="710">
        <f t="shared" si="2"/>
        <v>100</v>
      </c>
      <c r="X12" s="711"/>
      <c r="Y12" s="3424"/>
      <c r="Z12" s="55">
        <f t="shared" si="7"/>
        <v>111</v>
      </c>
      <c r="AA12" s="712">
        <f>D12/F12</f>
        <v>1</v>
      </c>
      <c r="AB12" s="712">
        <f>D12/H12</f>
        <v>1</v>
      </c>
      <c r="AC12" s="2095">
        <f>D12/J12</f>
        <v>1</v>
      </c>
    </row>
    <row r="13" spans="1:29" ht="15">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517"/>
      <c r="Q13" s="1477">
        <f t="shared" si="6"/>
        <v>111</v>
      </c>
      <c r="R13" s="709" t="s">
        <v>17</v>
      </c>
      <c r="S13" s="710">
        <f t="shared" si="0"/>
        <v>100</v>
      </c>
      <c r="T13" s="709" t="s">
        <v>17</v>
      </c>
      <c r="U13" s="710">
        <f t="shared" si="1"/>
        <v>100</v>
      </c>
      <c r="V13" s="709" t="s">
        <v>17</v>
      </c>
      <c r="W13" s="710">
        <f t="shared" si="2"/>
        <v>100</v>
      </c>
      <c r="X13" s="711"/>
      <c r="Y13" s="3424"/>
      <c r="Z13" s="55">
        <f t="shared" si="7"/>
        <v>111</v>
      </c>
      <c r="AA13" s="712">
        <f t="shared" si="3"/>
        <v>1</v>
      </c>
      <c r="AB13" s="712">
        <f t="shared" si="4"/>
        <v>1</v>
      </c>
      <c r="AC13" s="2095">
        <f t="shared" si="5"/>
        <v>1</v>
      </c>
    </row>
    <row r="14" spans="1:29" ht="15.75"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517"/>
      <c r="Q14" s="1477">
        <f t="shared" si="6"/>
        <v>111</v>
      </c>
      <c r="R14" s="709" t="s">
        <v>17</v>
      </c>
      <c r="S14" s="710">
        <f t="shared" si="0"/>
        <v>100</v>
      </c>
      <c r="T14" s="709" t="s">
        <v>17</v>
      </c>
      <c r="U14" s="710">
        <f t="shared" si="1"/>
        <v>100</v>
      </c>
      <c r="V14" s="709" t="s">
        <v>17</v>
      </c>
      <c r="W14" s="710">
        <f t="shared" si="2"/>
        <v>100</v>
      </c>
      <c r="X14" s="711"/>
      <c r="Y14" s="3424"/>
      <c r="Z14" s="55">
        <f t="shared" si="7"/>
        <v>111</v>
      </c>
      <c r="AA14" s="712">
        <f t="shared" si="3"/>
        <v>1</v>
      </c>
      <c r="AB14" s="712">
        <f t="shared" si="4"/>
        <v>1</v>
      </c>
      <c r="AC14" s="2095">
        <f t="shared" si="5"/>
        <v>1</v>
      </c>
    </row>
    <row r="15" spans="1:29" ht="71.25">
      <c r="A15" s="398" t="s">
        <v>2139</v>
      </c>
      <c r="B15" s="584" t="s">
        <v>2267</v>
      </c>
      <c r="C15" s="209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00"/>
      <c r="M15" s="2894"/>
      <c r="N15" s="2894"/>
      <c r="O15" s="2894"/>
      <c r="P15" s="3523" t="s">
        <v>2140</v>
      </c>
      <c r="Q15" s="1486" t="str">
        <f t="shared" si="6"/>
        <v>办公集聚程度</v>
      </c>
      <c r="R15" s="713" t="s">
        <v>17</v>
      </c>
      <c r="S15" s="714">
        <f t="shared" si="0"/>
        <v>100</v>
      </c>
      <c r="T15" s="713" t="s">
        <v>17</v>
      </c>
      <c r="U15" s="714">
        <f t="shared" si="1"/>
        <v>100</v>
      </c>
      <c r="V15" s="713" t="s">
        <v>17</v>
      </c>
      <c r="W15" s="714">
        <f t="shared" si="2"/>
        <v>100</v>
      </c>
      <c r="X15" s="1489"/>
      <c r="Y15" s="3488" t="s">
        <v>2140</v>
      </c>
      <c r="Z15" s="1490" t="str">
        <f t="shared" si="7"/>
        <v>办公集聚程度</v>
      </c>
      <c r="AA15" s="1487">
        <f t="shared" si="3"/>
        <v>1</v>
      </c>
      <c r="AB15" s="1487">
        <f t="shared" si="4"/>
        <v>1</v>
      </c>
      <c r="AC15" s="2098">
        <f t="shared" si="5"/>
        <v>1</v>
      </c>
    </row>
    <row r="16" spans="1:29" ht="15">
      <c r="A16" s="386"/>
      <c r="B16" s="585"/>
      <c r="C16" s="2040"/>
      <c r="D16" s="406"/>
      <c r="E16" s="405"/>
      <c r="F16" s="406"/>
      <c r="G16" s="2040"/>
      <c r="H16" s="408"/>
      <c r="I16" s="405"/>
      <c r="J16" s="406"/>
      <c r="K16" s="571"/>
      <c r="L16" s="2900"/>
      <c r="M16" s="2894"/>
      <c r="N16" s="2894"/>
      <c r="O16" s="2894"/>
      <c r="P16" s="3524"/>
      <c r="Q16" s="1486"/>
      <c r="R16" s="713"/>
      <c r="S16" s="714"/>
      <c r="T16" s="713"/>
      <c r="U16" s="714"/>
      <c r="V16" s="713"/>
      <c r="W16" s="714"/>
      <c r="X16" s="1489"/>
      <c r="Y16" s="3489"/>
      <c r="Z16" s="1490"/>
      <c r="AA16" s="1487">
        <v>1</v>
      </c>
      <c r="AB16" s="1487">
        <v>1</v>
      </c>
      <c r="AC16" s="2098">
        <v>1</v>
      </c>
    </row>
    <row r="17" spans="1:29" ht="71.25">
      <c r="A17" s="386"/>
      <c r="B17" s="586" t="s">
        <v>1704</v>
      </c>
      <c r="C17" s="209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00"/>
      <c r="M17" s="2894"/>
      <c r="N17" s="2894"/>
      <c r="O17" s="2894"/>
      <c r="P17" s="3524"/>
      <c r="Q17" s="1486" t="str">
        <f>B17</f>
        <v>交通便捷度</v>
      </c>
      <c r="R17" s="713" t="s">
        <v>17</v>
      </c>
      <c r="S17" s="714">
        <f>F17</f>
        <v>100</v>
      </c>
      <c r="T17" s="713" t="s">
        <v>17</v>
      </c>
      <c r="U17" s="714">
        <f>H17</f>
        <v>100</v>
      </c>
      <c r="V17" s="713" t="s">
        <v>17</v>
      </c>
      <c r="W17" s="714">
        <f>J17</f>
        <v>100</v>
      </c>
      <c r="X17" s="1489"/>
      <c r="Y17" s="3489"/>
      <c r="Z17" s="1490" t="str">
        <f>Q17</f>
        <v>交通便捷度</v>
      </c>
      <c r="AA17" s="1487">
        <f t="shared" si="3"/>
        <v>1</v>
      </c>
      <c r="AB17" s="1487">
        <f t="shared" si="4"/>
        <v>1</v>
      </c>
      <c r="AC17" s="2098">
        <f t="shared" si="5"/>
        <v>1</v>
      </c>
    </row>
    <row r="18" spans="1:29" ht="15">
      <c r="A18" s="386"/>
      <c r="B18" s="587"/>
      <c r="C18" s="2100"/>
      <c r="D18" s="408"/>
      <c r="E18" s="2038"/>
      <c r="F18" s="408"/>
      <c r="G18" s="2039"/>
      <c r="H18" s="406"/>
      <c r="I18" s="2039"/>
      <c r="J18" s="406"/>
      <c r="K18" s="571"/>
      <c r="L18" s="2900"/>
      <c r="M18" s="2894"/>
      <c r="N18" s="2894"/>
      <c r="O18" s="2894"/>
      <c r="P18" s="3524"/>
      <c r="Q18" s="1486"/>
      <c r="R18" s="713"/>
      <c r="S18" s="714"/>
      <c r="T18" s="713"/>
      <c r="U18" s="714"/>
      <c r="V18" s="713"/>
      <c r="W18" s="714"/>
      <c r="X18" s="1489"/>
      <c r="Y18" s="3489"/>
      <c r="Z18" s="1490"/>
      <c r="AA18" s="1487">
        <v>1</v>
      </c>
      <c r="AB18" s="1487">
        <v>1</v>
      </c>
      <c r="AC18" s="2098">
        <v>1</v>
      </c>
    </row>
    <row r="19" spans="1:29" ht="42.75">
      <c r="A19" s="386"/>
      <c r="B19" s="586" t="s">
        <v>2268</v>
      </c>
      <c r="C19" s="209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00"/>
      <c r="M19" s="2894"/>
      <c r="N19" s="2894"/>
      <c r="O19" s="2894"/>
      <c r="P19" s="3524"/>
      <c r="Q19" s="1486" t="str">
        <f>B19</f>
        <v>公共配套设施</v>
      </c>
      <c r="R19" s="713" t="s">
        <v>17</v>
      </c>
      <c r="S19" s="714">
        <f>F19</f>
        <v>100</v>
      </c>
      <c r="T19" s="713" t="s">
        <v>17</v>
      </c>
      <c r="U19" s="714">
        <f>H19</f>
        <v>100</v>
      </c>
      <c r="V19" s="713" t="s">
        <v>17</v>
      </c>
      <c r="W19" s="714">
        <f>J19</f>
        <v>100</v>
      </c>
      <c r="X19" s="1489"/>
      <c r="Y19" s="3489"/>
      <c r="Z19" s="1490" t="str">
        <f>Q19</f>
        <v>公共配套设施</v>
      </c>
      <c r="AA19" s="1487">
        <f t="shared" si="3"/>
        <v>1</v>
      </c>
      <c r="AB19" s="1487">
        <f t="shared" si="4"/>
        <v>1</v>
      </c>
      <c r="AC19" s="2098">
        <f t="shared" si="5"/>
        <v>1</v>
      </c>
    </row>
    <row r="20" spans="1:29" ht="15">
      <c r="A20" s="386"/>
      <c r="B20" s="587"/>
      <c r="C20" s="2040"/>
      <c r="D20" s="406"/>
      <c r="E20" s="2033"/>
      <c r="F20" s="406"/>
      <c r="G20" s="2034"/>
      <c r="H20" s="406"/>
      <c r="I20" s="2034"/>
      <c r="J20" s="406"/>
      <c r="K20" s="571"/>
      <c r="L20" s="2900"/>
      <c r="M20" s="2894"/>
      <c r="N20" s="2894"/>
      <c r="O20" s="2894"/>
      <c r="P20" s="3524"/>
      <c r="Q20" s="1486"/>
      <c r="R20" s="713"/>
      <c r="S20" s="714"/>
      <c r="T20" s="713"/>
      <c r="U20" s="714"/>
      <c r="V20" s="713"/>
      <c r="W20" s="714"/>
      <c r="X20" s="1489"/>
      <c r="Y20" s="3489"/>
      <c r="Z20" s="1490"/>
      <c r="AA20" s="1487">
        <v>1</v>
      </c>
      <c r="AB20" s="1487">
        <v>1</v>
      </c>
      <c r="AC20" s="2098">
        <v>1</v>
      </c>
    </row>
    <row r="21" spans="1:29" ht="28.5">
      <c r="A21" s="386"/>
      <c r="B21" s="588" t="s">
        <v>2269</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00"/>
      <c r="M21" s="2894"/>
      <c r="N21" s="2894"/>
      <c r="O21" s="2894"/>
      <c r="P21" s="3524"/>
      <c r="Q21" s="1486" t="str">
        <f>B21</f>
        <v>基础设施水平</v>
      </c>
      <c r="R21" s="713" t="s">
        <v>17</v>
      </c>
      <c r="S21" s="714">
        <f>F21</f>
        <v>100</v>
      </c>
      <c r="T21" s="713" t="s">
        <v>17</v>
      </c>
      <c r="U21" s="714">
        <f>H21</f>
        <v>100</v>
      </c>
      <c r="V21" s="713" t="s">
        <v>17</v>
      </c>
      <c r="W21" s="714">
        <f>J21</f>
        <v>100</v>
      </c>
      <c r="X21" s="1489"/>
      <c r="Y21" s="3489"/>
      <c r="Z21" s="1490" t="str">
        <f>Q21</f>
        <v>基础设施水平</v>
      </c>
      <c r="AA21" s="1487">
        <f t="shared" ref="AA21" si="8">D21/F21</f>
        <v>1</v>
      </c>
      <c r="AB21" s="1487">
        <f t="shared" ref="AB21" si="9">D21/H21</f>
        <v>1</v>
      </c>
      <c r="AC21" s="2098">
        <f t="shared" ref="AC21" si="10">D21/J21</f>
        <v>1</v>
      </c>
    </row>
    <row r="22" spans="1:29" ht="15">
      <c r="A22" s="386"/>
      <c r="B22" s="588"/>
      <c r="C22" s="2100"/>
      <c r="D22" s="406"/>
      <c r="E22" s="405"/>
      <c r="F22" s="406"/>
      <c r="G22" s="2040"/>
      <c r="H22" s="406"/>
      <c r="I22" s="2040"/>
      <c r="J22" s="406"/>
      <c r="K22" s="1244"/>
      <c r="L22" s="2900"/>
      <c r="M22" s="2894"/>
      <c r="N22" s="2894"/>
      <c r="O22" s="2894"/>
      <c r="P22" s="3524"/>
      <c r="Q22" s="1486"/>
      <c r="R22" s="713"/>
      <c r="S22" s="714"/>
      <c r="T22" s="713"/>
      <c r="U22" s="714"/>
      <c r="V22" s="713"/>
      <c r="W22" s="714"/>
      <c r="X22" s="1489"/>
      <c r="Y22" s="3489"/>
      <c r="Z22" s="1490"/>
      <c r="AA22" s="1487">
        <v>1</v>
      </c>
      <c r="AB22" s="1487">
        <v>1</v>
      </c>
      <c r="AC22" s="2098">
        <v>1</v>
      </c>
    </row>
    <row r="23" spans="1:29" ht="42.75">
      <c r="A23" s="386"/>
      <c r="B23" s="586" t="s">
        <v>2270</v>
      </c>
      <c r="C23" s="209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00"/>
      <c r="M23" s="2894"/>
      <c r="N23" s="2894"/>
      <c r="O23" s="2894"/>
      <c r="P23" s="3524"/>
      <c r="Q23" s="1486" t="str">
        <f>B23</f>
        <v>环境质量</v>
      </c>
      <c r="R23" s="713" t="s">
        <v>17</v>
      </c>
      <c r="S23" s="714">
        <f>F23</f>
        <v>100</v>
      </c>
      <c r="T23" s="713" t="s">
        <v>17</v>
      </c>
      <c r="U23" s="714">
        <f>H23</f>
        <v>100</v>
      </c>
      <c r="V23" s="713" t="s">
        <v>17</v>
      </c>
      <c r="W23" s="714">
        <f>J23</f>
        <v>100</v>
      </c>
      <c r="X23" s="1489"/>
      <c r="Y23" s="3489"/>
      <c r="Z23" s="1490" t="str">
        <f>Q23</f>
        <v>环境质量</v>
      </c>
      <c r="AA23" s="1487">
        <f t="shared" si="3"/>
        <v>1</v>
      </c>
      <c r="AB23" s="1487">
        <f t="shared" si="4"/>
        <v>1</v>
      </c>
      <c r="AC23" s="2098">
        <f t="shared" si="5"/>
        <v>1</v>
      </c>
    </row>
    <row r="24" spans="1:29" ht="15">
      <c r="A24" s="386"/>
      <c r="B24" s="588"/>
      <c r="C24" s="2040"/>
      <c r="D24" s="406"/>
      <c r="E24" s="2033"/>
      <c r="F24" s="406"/>
      <c r="G24" s="2034"/>
      <c r="H24" s="406"/>
      <c r="I24" s="2034"/>
      <c r="J24" s="406"/>
      <c r="K24" s="571"/>
      <c r="L24" s="2900"/>
      <c r="M24" s="2894"/>
      <c r="N24" s="2894"/>
      <c r="O24" s="2894"/>
      <c r="P24" s="3524"/>
      <c r="Q24" s="1486"/>
      <c r="R24" s="713"/>
      <c r="S24" s="714"/>
      <c r="T24" s="713"/>
      <c r="U24" s="714"/>
      <c r="V24" s="713"/>
      <c r="W24" s="714"/>
      <c r="X24" s="1489"/>
      <c r="Y24" s="3489"/>
      <c r="Z24" s="1490"/>
      <c r="AA24" s="1487">
        <v>1</v>
      </c>
      <c r="AB24" s="1487">
        <v>1</v>
      </c>
      <c r="AC24" s="2098">
        <v>1</v>
      </c>
    </row>
    <row r="25" spans="1:29" ht="27">
      <c r="A25" s="363"/>
      <c r="B25" s="586" t="s">
        <v>2271</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524"/>
      <c r="Q25" s="1486" t="str">
        <f>B25</f>
        <v>毗邻道路的类型与等级</v>
      </c>
      <c r="R25" s="713" t="s">
        <v>17</v>
      </c>
      <c r="S25" s="714">
        <f>F25</f>
        <v>100</v>
      </c>
      <c r="T25" s="713" t="s">
        <v>17</v>
      </c>
      <c r="U25" s="714">
        <f>H25</f>
        <v>100</v>
      </c>
      <c r="V25" s="713" t="s">
        <v>17</v>
      </c>
      <c r="W25" s="714">
        <f>J25</f>
        <v>100</v>
      </c>
      <c r="X25" s="1489"/>
      <c r="Y25" s="3489"/>
      <c r="Z25" s="1490" t="str">
        <f>Q25</f>
        <v>毗邻道路的类型与等级</v>
      </c>
      <c r="AA25" s="1487">
        <f t="shared" si="3"/>
        <v>1</v>
      </c>
      <c r="AB25" s="1487">
        <f t="shared" si="4"/>
        <v>1</v>
      </c>
      <c r="AC25" s="2098">
        <f t="shared" si="5"/>
        <v>1</v>
      </c>
    </row>
    <row r="26" spans="1:29" ht="15">
      <c r="A26" s="363"/>
      <c r="B26" s="587"/>
      <c r="C26" s="589"/>
      <c r="D26" s="393"/>
      <c r="E26" s="572"/>
      <c r="F26" s="393"/>
      <c r="G26" s="589"/>
      <c r="H26" s="393"/>
      <c r="I26" s="572"/>
      <c r="J26" s="393"/>
      <c r="K26" s="571"/>
      <c r="L26" s="2900"/>
      <c r="M26" s="2894"/>
      <c r="N26" s="2894"/>
      <c r="O26" s="2894"/>
      <c r="P26" s="3524"/>
      <c r="Q26" s="1486"/>
      <c r="R26" s="713"/>
      <c r="S26" s="714"/>
      <c r="T26" s="713"/>
      <c r="U26" s="714"/>
      <c r="V26" s="713"/>
      <c r="W26" s="714"/>
      <c r="X26" s="1489"/>
      <c r="Y26" s="3489"/>
      <c r="Z26" s="1490"/>
      <c r="AA26" s="1487">
        <v>1</v>
      </c>
      <c r="AB26" s="1487">
        <v>1</v>
      </c>
      <c r="AC26" s="2098">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524"/>
      <c r="Q27" s="1486" t="str">
        <f t="shared" ref="Q27:Q47" si="11">B27</f>
        <v>楼层</v>
      </c>
      <c r="R27" s="713" t="s">
        <v>17</v>
      </c>
      <c r="S27" s="714">
        <f>F27</f>
        <v>100</v>
      </c>
      <c r="T27" s="713" t="s">
        <v>17</v>
      </c>
      <c r="U27" s="714">
        <f>H27</f>
        <v>100</v>
      </c>
      <c r="V27" s="713" t="s">
        <v>17</v>
      </c>
      <c r="W27" s="714">
        <f>J27</f>
        <v>100</v>
      </c>
      <c r="X27" s="1489"/>
      <c r="Y27" s="3489"/>
      <c r="Z27" s="1490" t="str">
        <f>Q27</f>
        <v>楼层</v>
      </c>
      <c r="AA27" s="1487">
        <f t="shared" si="3"/>
        <v>1</v>
      </c>
      <c r="AB27" s="1487">
        <f t="shared" si="4"/>
        <v>1</v>
      </c>
      <c r="AC27" s="2098">
        <f t="shared" si="5"/>
        <v>1</v>
      </c>
    </row>
    <row r="28" spans="1:29" s="112" customFormat="1" ht="15">
      <c r="A28" s="389"/>
      <c r="B28" s="586" t="s">
        <v>2272</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524"/>
      <c r="Q28" s="1477" t="str">
        <f t="shared" si="11"/>
        <v>朝向</v>
      </c>
      <c r="R28" s="709" t="s">
        <v>17</v>
      </c>
      <c r="S28" s="710">
        <f>F28</f>
        <v>100</v>
      </c>
      <c r="T28" s="709" t="s">
        <v>17</v>
      </c>
      <c r="U28" s="710">
        <f>H28</f>
        <v>100</v>
      </c>
      <c r="V28" s="709" t="s">
        <v>17</v>
      </c>
      <c r="W28" s="710">
        <f>J28</f>
        <v>100</v>
      </c>
      <c r="X28" s="711"/>
      <c r="Y28" s="3489"/>
      <c r="Z28" s="55" t="str">
        <f>Q28</f>
        <v>朝向</v>
      </c>
      <c r="AA28" s="1487">
        <f>D28/F28</f>
        <v>1</v>
      </c>
      <c r="AB28" s="1487">
        <f>D28/H28</f>
        <v>1</v>
      </c>
      <c r="AC28" s="2098">
        <f>D28/J28</f>
        <v>1</v>
      </c>
    </row>
    <row r="29" spans="1:29" ht="15">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524"/>
      <c r="Q29" s="1486">
        <f t="shared" si="11"/>
        <v>111</v>
      </c>
      <c r="R29" s="713" t="s">
        <v>17</v>
      </c>
      <c r="S29" s="714">
        <f t="shared" ref="S29:S47" si="12">F29</f>
        <v>100</v>
      </c>
      <c r="T29" s="713" t="s">
        <v>17</v>
      </c>
      <c r="U29" s="714">
        <f t="shared" ref="U29:U47" si="13">H29</f>
        <v>100</v>
      </c>
      <c r="V29" s="713" t="s">
        <v>17</v>
      </c>
      <c r="W29" s="714">
        <f t="shared" ref="W29:W47" si="14">J29</f>
        <v>100</v>
      </c>
      <c r="X29" s="1489"/>
      <c r="Y29" s="3489"/>
      <c r="Z29" s="1490">
        <f t="shared" ref="Z29:Z47" si="15">Q29</f>
        <v>111</v>
      </c>
      <c r="AA29" s="1487">
        <f t="shared" si="3"/>
        <v>1</v>
      </c>
      <c r="AB29" s="1487">
        <f t="shared" si="4"/>
        <v>1</v>
      </c>
      <c r="AC29" s="2098">
        <f t="shared" si="5"/>
        <v>1</v>
      </c>
    </row>
    <row r="30" spans="1:29" ht="15">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524"/>
      <c r="Q30" s="1486">
        <f t="shared" si="11"/>
        <v>111</v>
      </c>
      <c r="R30" s="713" t="s">
        <v>17</v>
      </c>
      <c r="S30" s="714">
        <f t="shared" si="12"/>
        <v>100</v>
      </c>
      <c r="T30" s="713" t="s">
        <v>17</v>
      </c>
      <c r="U30" s="714">
        <f t="shared" si="13"/>
        <v>100</v>
      </c>
      <c r="V30" s="713" t="s">
        <v>17</v>
      </c>
      <c r="W30" s="714">
        <f t="shared" si="14"/>
        <v>100</v>
      </c>
      <c r="X30" s="1489"/>
      <c r="Y30" s="3489"/>
      <c r="Z30" s="1490">
        <f t="shared" si="15"/>
        <v>111</v>
      </c>
      <c r="AA30" s="1487">
        <f t="shared" si="3"/>
        <v>1</v>
      </c>
      <c r="AB30" s="1487">
        <f t="shared" si="4"/>
        <v>1</v>
      </c>
      <c r="AC30" s="2098">
        <f t="shared" si="5"/>
        <v>1</v>
      </c>
    </row>
    <row r="31" spans="1:29" ht="15">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524"/>
      <c r="Q31" s="1486">
        <f t="shared" si="11"/>
        <v>111</v>
      </c>
      <c r="R31" s="713" t="s">
        <v>17</v>
      </c>
      <c r="S31" s="714">
        <f t="shared" si="12"/>
        <v>100</v>
      </c>
      <c r="T31" s="713" t="s">
        <v>17</v>
      </c>
      <c r="U31" s="714">
        <f t="shared" si="13"/>
        <v>100</v>
      </c>
      <c r="V31" s="713" t="s">
        <v>17</v>
      </c>
      <c r="W31" s="714">
        <f t="shared" si="14"/>
        <v>100</v>
      </c>
      <c r="X31" s="1489"/>
      <c r="Y31" s="3489"/>
      <c r="Z31" s="1490">
        <f t="shared" si="15"/>
        <v>111</v>
      </c>
      <c r="AA31" s="1487">
        <f t="shared" si="3"/>
        <v>1</v>
      </c>
      <c r="AB31" s="1487">
        <f t="shared" si="4"/>
        <v>1</v>
      </c>
      <c r="AC31" s="2098">
        <f t="shared" si="5"/>
        <v>1</v>
      </c>
    </row>
    <row r="32" spans="1:29" ht="15.75"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524"/>
      <c r="Q32" s="1486">
        <f t="shared" si="11"/>
        <v>111</v>
      </c>
      <c r="R32" s="713" t="s">
        <v>17</v>
      </c>
      <c r="S32" s="714">
        <f t="shared" si="12"/>
        <v>100</v>
      </c>
      <c r="T32" s="713" t="s">
        <v>17</v>
      </c>
      <c r="U32" s="714">
        <f t="shared" si="13"/>
        <v>100</v>
      </c>
      <c r="V32" s="713" t="s">
        <v>17</v>
      </c>
      <c r="W32" s="714">
        <f t="shared" si="14"/>
        <v>100</v>
      </c>
      <c r="X32" s="1489"/>
      <c r="Y32" s="3489"/>
      <c r="Z32" s="1490">
        <f t="shared" si="15"/>
        <v>111</v>
      </c>
      <c r="AA32" s="1487">
        <f t="shared" si="3"/>
        <v>1</v>
      </c>
      <c r="AB32" s="1487">
        <f t="shared" si="4"/>
        <v>1</v>
      </c>
      <c r="AC32" s="2098">
        <f t="shared" si="5"/>
        <v>1</v>
      </c>
    </row>
    <row r="33" spans="1:29" ht="15">
      <c r="A33" s="398" t="s">
        <v>2143</v>
      </c>
      <c r="B33" s="66" t="s">
        <v>2273</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519" t="s">
        <v>2145</v>
      </c>
      <c r="Q33" s="1486" t="str">
        <f t="shared" si="11"/>
        <v>建筑类型</v>
      </c>
      <c r="R33" s="713" t="s">
        <v>17</v>
      </c>
      <c r="S33" s="714">
        <f t="shared" si="12"/>
        <v>100</v>
      </c>
      <c r="T33" s="713" t="s">
        <v>17</v>
      </c>
      <c r="U33" s="714">
        <f t="shared" si="13"/>
        <v>100</v>
      </c>
      <c r="V33" s="713" t="s">
        <v>17</v>
      </c>
      <c r="W33" s="714">
        <f t="shared" si="14"/>
        <v>100</v>
      </c>
      <c r="X33" s="1489"/>
      <c r="Y33" s="3491" t="s">
        <v>2145</v>
      </c>
      <c r="Z33" s="1490" t="str">
        <f t="shared" si="15"/>
        <v>建筑类型</v>
      </c>
      <c r="AA33" s="1487">
        <f t="shared" si="3"/>
        <v>1</v>
      </c>
      <c r="AB33" s="1487">
        <f t="shared" si="4"/>
        <v>1</v>
      </c>
      <c r="AC33" s="2098">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9"/>
      <c r="M34" s="2901"/>
      <c r="N34" s="2901"/>
      <c r="O34" s="2901"/>
      <c r="P34" s="3520"/>
      <c r="Q34" s="715" t="str">
        <f t="shared" si="11"/>
        <v>项目建筑规模</v>
      </c>
      <c r="R34" s="716" t="s">
        <v>17</v>
      </c>
      <c r="S34" s="717" t="e">
        <f t="shared" si="12"/>
        <v>#N/A</v>
      </c>
      <c r="T34" s="716" t="s">
        <v>17</v>
      </c>
      <c r="U34" s="717" t="e">
        <f t="shared" si="13"/>
        <v>#N/A</v>
      </c>
      <c r="V34" s="716" t="s">
        <v>17</v>
      </c>
      <c r="W34" s="717" t="e">
        <f t="shared" si="14"/>
        <v>#N/A</v>
      </c>
      <c r="X34" s="718"/>
      <c r="Y34" s="3491"/>
      <c r="Z34" s="719" t="str">
        <f t="shared" si="15"/>
        <v>项目建筑规模</v>
      </c>
      <c r="AA34" s="1487" t="e">
        <f t="shared" si="3"/>
        <v>#N/A</v>
      </c>
      <c r="AB34" s="1487" t="e">
        <f t="shared" si="4"/>
        <v>#N/A</v>
      </c>
      <c r="AC34" s="2098"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00"/>
      <c r="M35" s="2894"/>
      <c r="N35" s="2894"/>
      <c r="O35" s="2894"/>
      <c r="P35" s="3520"/>
      <c r="Q35" s="1486" t="str">
        <f t="shared" si="11"/>
        <v>建筑结构</v>
      </c>
      <c r="R35" s="713" t="s">
        <v>17</v>
      </c>
      <c r="S35" s="714">
        <f t="shared" si="12"/>
        <v>100</v>
      </c>
      <c r="T35" s="713" t="s">
        <v>17</v>
      </c>
      <c r="U35" s="714">
        <f t="shared" si="13"/>
        <v>100</v>
      </c>
      <c r="V35" s="713" t="s">
        <v>17</v>
      </c>
      <c r="W35" s="714">
        <f t="shared" si="14"/>
        <v>100</v>
      </c>
      <c r="X35" s="1489"/>
      <c r="Y35" s="3491"/>
      <c r="Z35" s="1490" t="str">
        <f t="shared" si="15"/>
        <v>建筑结构</v>
      </c>
      <c r="AA35" s="1487">
        <f t="shared" si="3"/>
        <v>1</v>
      </c>
      <c r="AB35" s="1487">
        <f t="shared" si="4"/>
        <v>1</v>
      </c>
      <c r="AC35" s="2098">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00"/>
      <c r="M36" s="2894"/>
      <c r="N36" s="2894"/>
      <c r="O36" s="2894"/>
      <c r="P36" s="3520"/>
      <c r="Q36" s="1486" t="str">
        <f t="shared" si="11"/>
        <v>公共部分装修</v>
      </c>
      <c r="R36" s="713" t="s">
        <v>17</v>
      </c>
      <c r="S36" s="714">
        <f t="shared" si="12"/>
        <v>100</v>
      </c>
      <c r="T36" s="713" t="s">
        <v>17</v>
      </c>
      <c r="U36" s="714">
        <f t="shared" si="13"/>
        <v>100</v>
      </c>
      <c r="V36" s="713" t="s">
        <v>17</v>
      </c>
      <c r="W36" s="714">
        <f t="shared" si="14"/>
        <v>100</v>
      </c>
      <c r="X36" s="1489"/>
      <c r="Y36" s="3491"/>
      <c r="Z36" s="1490" t="str">
        <f t="shared" si="15"/>
        <v>公共部分装修</v>
      </c>
      <c r="AA36" s="1487">
        <f t="shared" si="3"/>
        <v>1</v>
      </c>
      <c r="AB36" s="1487">
        <f t="shared" si="4"/>
        <v>1</v>
      </c>
      <c r="AC36" s="2098">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00"/>
      <c r="M37" s="2894"/>
      <c r="N37" s="2894"/>
      <c r="O37" s="2894"/>
      <c r="P37" s="3520"/>
      <c r="Q37" s="1486" t="str">
        <f t="shared" si="11"/>
        <v>成新度</v>
      </c>
      <c r="R37" s="713" t="s">
        <v>17</v>
      </c>
      <c r="S37" s="714" t="e">
        <f t="shared" si="12"/>
        <v>#N/A</v>
      </c>
      <c r="T37" s="713" t="s">
        <v>17</v>
      </c>
      <c r="U37" s="714" t="e">
        <f t="shared" si="13"/>
        <v>#N/A</v>
      </c>
      <c r="V37" s="713" t="s">
        <v>17</v>
      </c>
      <c r="W37" s="714" t="e">
        <f t="shared" si="14"/>
        <v>#N/A</v>
      </c>
      <c r="X37" s="1489"/>
      <c r="Y37" s="3491"/>
      <c r="Z37" s="1490" t="str">
        <f t="shared" si="15"/>
        <v>成新度</v>
      </c>
      <c r="AA37" s="1487" t="e">
        <f t="shared" si="3"/>
        <v>#N/A</v>
      </c>
      <c r="AB37" s="1487" t="e">
        <f t="shared" si="4"/>
        <v>#N/A</v>
      </c>
      <c r="AC37" s="2098"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5"/>
      <c r="M38" s="2896"/>
      <c r="N38" s="2896"/>
      <c r="O38" s="2896"/>
      <c r="P38" s="3520"/>
      <c r="Q38" s="1477" t="str">
        <f t="shared" si="11"/>
        <v>写字楼等级</v>
      </c>
      <c r="R38" s="709" t="s">
        <v>17</v>
      </c>
      <c r="S38" s="710">
        <f t="shared" si="12"/>
        <v>100</v>
      </c>
      <c r="T38" s="709" t="s">
        <v>17</v>
      </c>
      <c r="U38" s="710">
        <f t="shared" si="13"/>
        <v>100</v>
      </c>
      <c r="V38" s="709" t="s">
        <v>17</v>
      </c>
      <c r="W38" s="710">
        <f t="shared" si="14"/>
        <v>100</v>
      </c>
      <c r="X38" s="711"/>
      <c r="Y38" s="3491"/>
      <c r="Z38" s="55" t="str">
        <f t="shared" si="15"/>
        <v>写字楼等级</v>
      </c>
      <c r="AA38" s="712">
        <f t="shared" si="3"/>
        <v>1</v>
      </c>
      <c r="AB38" s="712">
        <f t="shared" si="4"/>
        <v>1</v>
      </c>
      <c r="AC38" s="2095">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00"/>
      <c r="M39" s="2894"/>
      <c r="N39" s="2894"/>
      <c r="O39" s="2894"/>
      <c r="P39" s="3520" t="s">
        <v>2145</v>
      </c>
      <c r="Q39" s="1486" t="str">
        <f t="shared" si="11"/>
        <v>物业管理</v>
      </c>
      <c r="R39" s="713" t="s">
        <v>17</v>
      </c>
      <c r="S39" s="714">
        <f t="shared" si="12"/>
        <v>100</v>
      </c>
      <c r="T39" s="713" t="s">
        <v>17</v>
      </c>
      <c r="U39" s="714">
        <f t="shared" si="13"/>
        <v>100</v>
      </c>
      <c r="V39" s="713" t="s">
        <v>17</v>
      </c>
      <c r="W39" s="714">
        <f t="shared" si="14"/>
        <v>100</v>
      </c>
      <c r="X39" s="1489"/>
      <c r="Y39" s="3491" t="s">
        <v>2145</v>
      </c>
      <c r="Z39" s="1490" t="str">
        <f t="shared" si="15"/>
        <v>物业管理</v>
      </c>
      <c r="AA39" s="1487">
        <f t="shared" si="3"/>
        <v>1</v>
      </c>
      <c r="AB39" s="1487">
        <f t="shared" si="4"/>
        <v>1</v>
      </c>
      <c r="AC39" s="2098">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00"/>
      <c r="M40" s="2894"/>
      <c r="N40" s="2894"/>
      <c r="O40" s="2894"/>
      <c r="P40" s="3520"/>
      <c r="Q40" s="1486" t="str">
        <f t="shared" si="11"/>
        <v>市政基础设施</v>
      </c>
      <c r="R40" s="713" t="s">
        <v>17</v>
      </c>
      <c r="S40" s="714">
        <f t="shared" si="12"/>
        <v>100</v>
      </c>
      <c r="T40" s="713" t="s">
        <v>17</v>
      </c>
      <c r="U40" s="714">
        <f t="shared" si="13"/>
        <v>100</v>
      </c>
      <c r="V40" s="713" t="s">
        <v>17</v>
      </c>
      <c r="W40" s="714">
        <f t="shared" si="14"/>
        <v>100</v>
      </c>
      <c r="X40" s="1489"/>
      <c r="Y40" s="3491"/>
      <c r="Z40" s="1490" t="str">
        <f t="shared" si="15"/>
        <v>市政基础设施</v>
      </c>
      <c r="AA40" s="1487">
        <f t="shared" si="3"/>
        <v>1</v>
      </c>
      <c r="AB40" s="1487">
        <f t="shared" si="4"/>
        <v>1</v>
      </c>
      <c r="AC40" s="2098">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520"/>
      <c r="Q41" s="1486" t="str">
        <f t="shared" si="11"/>
        <v>层高</v>
      </c>
      <c r="R41" s="713" t="s">
        <v>17</v>
      </c>
      <c r="S41" s="714">
        <f t="shared" si="12"/>
        <v>100</v>
      </c>
      <c r="T41" s="713" t="s">
        <v>17</v>
      </c>
      <c r="U41" s="714">
        <f t="shared" si="13"/>
        <v>100</v>
      </c>
      <c r="V41" s="713" t="s">
        <v>17</v>
      </c>
      <c r="W41" s="714">
        <f t="shared" si="14"/>
        <v>100</v>
      </c>
      <c r="X41" s="1489"/>
      <c r="Y41" s="3491"/>
      <c r="Z41" s="1490" t="str">
        <f t="shared" si="15"/>
        <v>层高</v>
      </c>
      <c r="AA41" s="1487">
        <f t="shared" si="3"/>
        <v>1</v>
      </c>
      <c r="AB41" s="1487">
        <f t="shared" si="4"/>
        <v>1</v>
      </c>
      <c r="AC41" s="2098">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520"/>
      <c r="Q42" s="715" t="str">
        <f t="shared" si="11"/>
        <v>单套建筑面积</v>
      </c>
      <c r="R42" s="716" t="s">
        <v>17</v>
      </c>
      <c r="S42" s="717">
        <f t="shared" si="12"/>
        <v>100</v>
      </c>
      <c r="T42" s="716" t="s">
        <v>17</v>
      </c>
      <c r="U42" s="717">
        <f t="shared" si="13"/>
        <v>100</v>
      </c>
      <c r="V42" s="716" t="s">
        <v>17</v>
      </c>
      <c r="W42" s="717">
        <f t="shared" si="14"/>
        <v>100</v>
      </c>
      <c r="X42" s="718"/>
      <c r="Y42" s="3491"/>
      <c r="Z42" s="719" t="str">
        <f t="shared" si="15"/>
        <v>单套建筑面积</v>
      </c>
      <c r="AA42" s="1487">
        <f t="shared" si="3"/>
        <v>1</v>
      </c>
      <c r="AB42" s="1487">
        <f t="shared" si="4"/>
        <v>1</v>
      </c>
      <c r="AC42" s="2098">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00"/>
      <c r="M43" s="2894"/>
      <c r="N43" s="2894"/>
      <c r="O43" s="2894"/>
      <c r="P43" s="3520"/>
      <c r="Q43" s="1486" t="str">
        <f t="shared" si="11"/>
        <v>内部装修</v>
      </c>
      <c r="R43" s="713" t="s">
        <v>17</v>
      </c>
      <c r="S43" s="714">
        <f t="shared" si="12"/>
        <v>100</v>
      </c>
      <c r="T43" s="713" t="s">
        <v>17</v>
      </c>
      <c r="U43" s="714">
        <f t="shared" si="13"/>
        <v>100</v>
      </c>
      <c r="V43" s="713" t="s">
        <v>17</v>
      </c>
      <c r="W43" s="714">
        <f t="shared" si="14"/>
        <v>100</v>
      </c>
      <c r="X43" s="1489"/>
      <c r="Y43" s="3491"/>
      <c r="Z43" s="1490" t="str">
        <f t="shared" si="15"/>
        <v>内部装修</v>
      </c>
      <c r="AA43" s="1487">
        <f t="shared" si="3"/>
        <v>1</v>
      </c>
      <c r="AB43" s="1487">
        <f t="shared" si="4"/>
        <v>1</v>
      </c>
      <c r="AC43" s="2098">
        <f t="shared" si="5"/>
        <v>1</v>
      </c>
    </row>
    <row r="44" spans="1:29" ht="15">
      <c r="A44" s="430"/>
      <c r="B44" s="380" t="s">
        <v>2156</v>
      </c>
      <c r="C44" s="418"/>
      <c r="D44" s="393">
        <v>100</v>
      </c>
      <c r="E44" s="2042"/>
      <c r="F44" s="419">
        <f>SUMIF(125:125,E44,126:126)-SUMIF(125:125,C44,126:126)+100</f>
        <v>100</v>
      </c>
      <c r="G44" s="2042"/>
      <c r="H44" s="393">
        <f>SUMIF(125:125,G44,126:126)-SUMIF(125:125,C44,126:126)+100</f>
        <v>100</v>
      </c>
      <c r="I44" s="2042"/>
      <c r="J44" s="393">
        <f>SUMIF(125:125,I44,126:126)-SUMIF(125:125,C44,126:126)+100</f>
        <v>100</v>
      </c>
      <c r="K44" s="568"/>
      <c r="L44" s="2900"/>
      <c r="M44" s="2894"/>
      <c r="N44" s="2894"/>
      <c r="O44" s="2894"/>
      <c r="P44" s="3520"/>
      <c r="Q44" s="1486" t="str">
        <f t="shared" si="11"/>
        <v>内部装修维护情况</v>
      </c>
      <c r="R44" s="713" t="s">
        <v>17</v>
      </c>
      <c r="S44" s="714">
        <f t="shared" si="12"/>
        <v>100</v>
      </c>
      <c r="T44" s="713" t="s">
        <v>17</v>
      </c>
      <c r="U44" s="714">
        <f t="shared" si="13"/>
        <v>100</v>
      </c>
      <c r="V44" s="713" t="s">
        <v>17</v>
      </c>
      <c r="W44" s="714">
        <f t="shared" si="14"/>
        <v>100</v>
      </c>
      <c r="X44" s="1489"/>
      <c r="Y44" s="3491"/>
      <c r="Z44" s="1490" t="str">
        <f t="shared" si="15"/>
        <v>内部装修维护情况</v>
      </c>
      <c r="AA44" s="1487">
        <f t="shared" si="3"/>
        <v>1</v>
      </c>
      <c r="AB44" s="1487">
        <f t="shared" si="4"/>
        <v>1</v>
      </c>
      <c r="AC44" s="2098">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5"/>
      <c r="M45" s="2896"/>
      <c r="N45" s="2896"/>
      <c r="O45" s="2896"/>
      <c r="P45" s="3520"/>
      <c r="Q45" s="1477">
        <f t="shared" si="11"/>
        <v>111</v>
      </c>
      <c r="R45" s="709" t="s">
        <v>17</v>
      </c>
      <c r="S45" s="710">
        <f t="shared" si="12"/>
        <v>100</v>
      </c>
      <c r="T45" s="709" t="s">
        <v>17</v>
      </c>
      <c r="U45" s="710">
        <f t="shared" si="13"/>
        <v>100</v>
      </c>
      <c r="V45" s="709" t="s">
        <v>17</v>
      </c>
      <c r="W45" s="710">
        <f t="shared" si="14"/>
        <v>100</v>
      </c>
      <c r="X45" s="711"/>
      <c r="Y45" s="3491"/>
      <c r="Z45" s="55">
        <f t="shared" si="15"/>
        <v>111</v>
      </c>
      <c r="AA45" s="712">
        <f t="shared" si="3"/>
        <v>1</v>
      </c>
      <c r="AB45" s="712">
        <f t="shared" si="4"/>
        <v>1</v>
      </c>
      <c r="AC45" s="2095">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520"/>
      <c r="Q46" s="1486">
        <f t="shared" si="11"/>
        <v>111</v>
      </c>
      <c r="R46" s="713" t="s">
        <v>17</v>
      </c>
      <c r="S46" s="714">
        <f t="shared" si="12"/>
        <v>100</v>
      </c>
      <c r="T46" s="713" t="s">
        <v>17</v>
      </c>
      <c r="U46" s="714">
        <f t="shared" si="13"/>
        <v>100</v>
      </c>
      <c r="V46" s="713" t="s">
        <v>17</v>
      </c>
      <c r="W46" s="714">
        <f t="shared" si="14"/>
        <v>100</v>
      </c>
      <c r="X46" s="1489"/>
      <c r="Y46" s="3491"/>
      <c r="Z46" s="1490">
        <f t="shared" si="15"/>
        <v>111</v>
      </c>
      <c r="AA46" s="1487">
        <f t="shared" si="3"/>
        <v>1</v>
      </c>
      <c r="AB46" s="1487">
        <f t="shared" si="4"/>
        <v>1</v>
      </c>
      <c r="AC46" s="2098">
        <f t="shared" si="5"/>
        <v>1</v>
      </c>
    </row>
    <row r="47" spans="1:29" ht="15.75" thickBot="1">
      <c r="A47" s="436"/>
      <c r="B47" s="203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00"/>
      <c r="M47" s="2894"/>
      <c r="N47" s="2894"/>
      <c r="O47" s="2894"/>
      <c r="P47" s="3521"/>
      <c r="Q47" s="1486">
        <f t="shared" si="11"/>
        <v>111</v>
      </c>
      <c r="R47" s="713" t="s">
        <v>17</v>
      </c>
      <c r="S47" s="714">
        <f t="shared" si="12"/>
        <v>100</v>
      </c>
      <c r="T47" s="713" t="s">
        <v>17</v>
      </c>
      <c r="U47" s="714">
        <f t="shared" si="13"/>
        <v>100</v>
      </c>
      <c r="V47" s="713" t="s">
        <v>17</v>
      </c>
      <c r="W47" s="714">
        <f t="shared" si="14"/>
        <v>100</v>
      </c>
      <c r="X47" s="1489"/>
      <c r="Y47" s="3522"/>
      <c r="Z47" s="1490">
        <f t="shared" si="15"/>
        <v>111</v>
      </c>
      <c r="AA47" s="1487">
        <f t="shared" si="3"/>
        <v>1</v>
      </c>
      <c r="AB47" s="1487">
        <f t="shared" si="4"/>
        <v>1</v>
      </c>
      <c r="AC47" s="2098">
        <f t="shared" si="5"/>
        <v>1</v>
      </c>
    </row>
    <row r="48" spans="1:29" ht="15">
      <c r="A48" s="437" t="s">
        <v>2157</v>
      </c>
      <c r="B48" s="438"/>
      <c r="C48" s="1268" t="s">
        <v>1</v>
      </c>
      <c r="D48" s="1269"/>
      <c r="E48" s="1270"/>
      <c r="F48" s="1271"/>
      <c r="G48" s="1272"/>
      <c r="H48" s="1273"/>
      <c r="I48" s="1270"/>
      <c r="J48" s="443"/>
      <c r="K48" s="722"/>
      <c r="L48" s="2902"/>
      <c r="M48" s="2894"/>
      <c r="N48" s="2894"/>
      <c r="O48" s="2894"/>
      <c r="P48" s="3517" t="str">
        <f>A48</f>
        <v>成交单价（元/平方米）</v>
      </c>
      <c r="Q48" s="3473"/>
      <c r="R48" s="3492">
        <f>E48</f>
        <v>0</v>
      </c>
      <c r="S48" s="3492"/>
      <c r="T48" s="3492">
        <f>G48</f>
        <v>0</v>
      </c>
      <c r="U48" s="3492"/>
      <c r="V48" s="3492">
        <f>I48</f>
        <v>0</v>
      </c>
      <c r="W48" s="3492"/>
      <c r="X48" s="404"/>
      <c r="Y48" s="720"/>
      <c r="Z48" s="404"/>
      <c r="AA48" s="404"/>
      <c r="AB48" s="404"/>
      <c r="AC48" s="585"/>
    </row>
    <row r="49" spans="1:29" ht="15.75" thickBot="1">
      <c r="A49" s="444" t="s">
        <v>2249</v>
      </c>
      <c r="B49" s="445"/>
      <c r="C49" s="1274" t="e">
        <f>R50</f>
        <v>#DIV/0!</v>
      </c>
      <c r="D49" s="2488" t="s">
        <v>2638</v>
      </c>
      <c r="E49" s="1275" t="e">
        <f>R49</f>
        <v>#DIV/0!</v>
      </c>
      <c r="F49" s="2489"/>
      <c r="G49" s="1274" t="e">
        <f>T49</f>
        <v>#DIV/0!</v>
      </c>
      <c r="H49" s="2489"/>
      <c r="I49" s="1275" t="e">
        <f>V49</f>
        <v>#DIV/0!</v>
      </c>
      <c r="J49" s="2489"/>
      <c r="K49" s="2491">
        <f>F49+H49+J49</f>
        <v>0</v>
      </c>
      <c r="L49" s="2902"/>
      <c r="M49" s="2894"/>
      <c r="N49" s="2894"/>
      <c r="O49" s="2894"/>
      <c r="P49" s="3517" t="str">
        <f>A49</f>
        <v>比较价值（元/平方米）</v>
      </c>
      <c r="Q49" s="3473"/>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902"/>
      <c r="M50" s="2894"/>
      <c r="N50" s="2894"/>
      <c r="O50" s="2894"/>
      <c r="P50" s="3537" t="str">
        <f>A50</f>
        <v>估价对象XX用房的比较价值（楼面单价，元/平方米）</v>
      </c>
      <c r="Q50" s="3538"/>
      <c r="R50" s="3539" t="e">
        <f>IF(F1="售价",ROUND(IF(D49="简单平均",AVERAGE(R49:V49),R49*F49+T49*H49+V49*J49),0),ROUND(IF(D49="简单平均",AVERAGE(R49:V49),R49*F49+T49*H49+V49*J49),1))</f>
        <v>#DIV/0!</v>
      </c>
      <c r="S50" s="3539"/>
      <c r="T50" s="3539"/>
      <c r="U50" s="3539"/>
      <c r="V50" s="3539"/>
      <c r="W50" s="3539"/>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2128</v>
      </c>
      <c r="B59" s="462"/>
      <c r="C59" s="1298" t="str">
        <f>YEAR(C7)&amp;"-"&amp;MONTH(C7)</f>
        <v>2022-5</v>
      </c>
      <c r="D59" s="1299">
        <f>EDATE(C59,-1)</f>
        <v>44652</v>
      </c>
      <c r="E59" s="1299">
        <f>EDATE(D59,-1)</f>
        <v>44621</v>
      </c>
      <c r="F59" s="1299">
        <f t="shared" ref="F59:O59" si="16">EDATE(E59,-1)</f>
        <v>44593</v>
      </c>
      <c r="G59" s="1299">
        <f t="shared" si="16"/>
        <v>44562</v>
      </c>
      <c r="H59" s="1299">
        <f t="shared" si="16"/>
        <v>44531</v>
      </c>
      <c r="I59" s="1299">
        <f t="shared" si="16"/>
        <v>44501</v>
      </c>
      <c r="J59" s="1299">
        <f t="shared" si="16"/>
        <v>44470</v>
      </c>
      <c r="K59" s="1299">
        <f t="shared" si="16"/>
        <v>44440</v>
      </c>
      <c r="L59" s="1299">
        <f t="shared" si="16"/>
        <v>44409</v>
      </c>
      <c r="M59" s="1299">
        <f t="shared" si="16"/>
        <v>44378</v>
      </c>
      <c r="N59" s="1299">
        <f t="shared" si="16"/>
        <v>44348</v>
      </c>
      <c r="O59" s="1299">
        <f t="shared" si="16"/>
        <v>44317</v>
      </c>
      <c r="P59" s="2937"/>
      <c r="Q59" s="2919"/>
      <c r="R59" s="2919"/>
      <c r="S59" s="2919"/>
      <c r="T59" s="2919"/>
      <c r="U59" s="2919"/>
      <c r="V59" s="2919"/>
      <c r="W59" s="2919"/>
      <c r="X59" s="2919"/>
      <c r="Y59" s="2919"/>
      <c r="Z59" s="2919"/>
      <c r="AA59" s="2919"/>
      <c r="AB59" s="2919"/>
      <c r="AC59" s="2919"/>
    </row>
    <row r="60" spans="1:29" s="112" customFormat="1" ht="15">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2" customFormat="1" ht="15.75" thickBot="1">
      <c r="A61" s="471" t="s">
        <v>2165</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2" customFormat="1" ht="15">
      <c r="A62" s="477" t="s">
        <v>2130</v>
      </c>
      <c r="B62" s="466"/>
      <c r="C62" s="478" t="s">
        <v>2232</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2"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2168</v>
      </c>
      <c r="B64" s="484" t="s">
        <v>2134</v>
      </c>
      <c r="C64" s="485">
        <f>C9</f>
        <v>0</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c r="D69" s="505"/>
      <c r="E69" s="505"/>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2139</v>
      </c>
      <c r="B77" s="484" t="s">
        <v>2277</v>
      </c>
      <c r="C77" s="529" t="s">
        <v>2177</v>
      </c>
      <c r="D77" s="529" t="s">
        <v>2178</v>
      </c>
      <c r="E77" s="529" t="s">
        <v>2179</v>
      </c>
      <c r="F77" s="529" t="s">
        <v>2180</v>
      </c>
      <c r="G77" s="529" t="s">
        <v>2181</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2182</v>
      </c>
      <c r="C79" s="534" t="s">
        <v>2177</v>
      </c>
      <c r="D79" s="534" t="s">
        <v>2178</v>
      </c>
      <c r="E79" s="534" t="s">
        <v>2179</v>
      </c>
      <c r="F79" s="534" t="s">
        <v>2180</v>
      </c>
      <c r="G79" s="534" t="s">
        <v>2181</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2183</v>
      </c>
      <c r="C81" s="534" t="s">
        <v>2177</v>
      </c>
      <c r="D81" s="534" t="s">
        <v>2178</v>
      </c>
      <c r="E81" s="534" t="s">
        <v>2179</v>
      </c>
      <c r="F81" s="534" t="s">
        <v>2180</v>
      </c>
      <c r="G81" s="534" t="s">
        <v>2181</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2269</v>
      </c>
      <c r="C83" s="615" t="s">
        <v>2255</v>
      </c>
      <c r="D83" s="615" t="s">
        <v>2256</v>
      </c>
      <c r="E83" s="615" t="s">
        <v>2257</v>
      </c>
      <c r="F83" s="615" t="s">
        <v>2258</v>
      </c>
      <c r="G83" s="615" t="s">
        <v>2259</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2278</v>
      </c>
      <c r="C85" s="534" t="s">
        <v>2177</v>
      </c>
      <c r="D85" s="534" t="s">
        <v>2178</v>
      </c>
      <c r="E85" s="534" t="s">
        <v>2179</v>
      </c>
      <c r="F85" s="534" t="s">
        <v>2180</v>
      </c>
      <c r="G85" s="534" t="s">
        <v>2181</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2" customFormat="1" ht="27.75" thickTop="1">
      <c r="A87" s="535"/>
      <c r="B87" s="494" t="s">
        <v>2279</v>
      </c>
      <c r="C87" s="510"/>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2"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2143</v>
      </c>
      <c r="B101" s="484" t="s">
        <v>2192</v>
      </c>
      <c r="C101" s="486"/>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c r="D104" s="551"/>
      <c r="E104" s="551"/>
      <c r="F104" s="551"/>
      <c r="G104" s="551"/>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c r="D105" s="492"/>
      <c r="E105" s="492"/>
      <c r="F105" s="492"/>
      <c r="G105" s="492"/>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2194</v>
      </c>
      <c r="C106" s="510"/>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2196</v>
      </c>
      <c r="C108" s="510"/>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2280</v>
      </c>
      <c r="C113" s="510"/>
      <c r="D113" s="510"/>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2197</v>
      </c>
      <c r="C115" s="510"/>
      <c r="D115" s="510"/>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2198</v>
      </c>
      <c r="C117" s="510"/>
      <c r="D117" s="510"/>
      <c r="E117" s="510"/>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2281</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2264</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15" thickTop="1">
      <c r="A123" s="555"/>
      <c r="B123" s="494" t="s">
        <v>2200</v>
      </c>
      <c r="C123" s="510"/>
      <c r="D123" s="510"/>
      <c r="E123" s="510"/>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f>B45</f>
        <v>111</v>
      </c>
      <c r="C127" s="510"/>
      <c r="D127" s="510"/>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c r="D128" s="492"/>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32206.890000000196</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474" t="s">
        <v>2226</v>
      </c>
      <c r="D4" s="3475"/>
      <c r="E4" s="3476" t="s">
        <v>2227</v>
      </c>
      <c r="F4" s="3477"/>
      <c r="G4" s="3474" t="s">
        <v>2228</v>
      </c>
      <c r="H4" s="3475"/>
      <c r="I4" s="3474" t="s">
        <v>2229</v>
      </c>
      <c r="J4" s="3475"/>
      <c r="K4" s="566" t="s">
        <v>2230</v>
      </c>
      <c r="L4" s="1024"/>
      <c r="M4" s="1025"/>
      <c r="N4" s="1025"/>
      <c r="O4" s="1025"/>
      <c r="P4" s="3478" t="s">
        <v>2231</v>
      </c>
      <c r="Q4" s="3479"/>
      <c r="R4" s="3461" t="s">
        <v>2227</v>
      </c>
      <c r="S4" s="3462"/>
      <c r="T4" s="3461" t="s">
        <v>2228</v>
      </c>
      <c r="U4" s="3462"/>
      <c r="V4" s="3486" t="s">
        <v>2229</v>
      </c>
      <c r="W4" s="3486"/>
      <c r="X4" s="1489"/>
      <c r="Y4" s="3461" t="s">
        <v>2231</v>
      </c>
      <c r="Z4" s="3462"/>
      <c r="AA4" s="3456" t="s">
        <v>2227</v>
      </c>
      <c r="AB4" s="3457" t="s">
        <v>2228</v>
      </c>
      <c r="AC4" s="3456" t="s">
        <v>2229</v>
      </c>
    </row>
    <row r="5" spans="1:29" ht="15">
      <c r="A5" s="363"/>
      <c r="B5" s="364"/>
      <c r="C5" s="3467" t="s">
        <v>2122</v>
      </c>
      <c r="D5" s="3468"/>
      <c r="E5" s="3465" t="s">
        <v>2123</v>
      </c>
      <c r="F5" s="3466"/>
      <c r="G5" s="3467" t="s">
        <v>2124</v>
      </c>
      <c r="H5" s="3468"/>
      <c r="I5" s="3467" t="s">
        <v>2125</v>
      </c>
      <c r="J5" s="3468"/>
      <c r="K5" s="566"/>
      <c r="L5" s="1024"/>
      <c r="M5" s="1025"/>
      <c r="N5" s="1025"/>
      <c r="O5" s="1025"/>
      <c r="P5" s="3480"/>
      <c r="Q5" s="3481"/>
      <c r="R5" s="3463"/>
      <c r="S5" s="3464"/>
      <c r="T5" s="3463"/>
      <c r="U5" s="3464"/>
      <c r="V5" s="3486"/>
      <c r="W5" s="3486"/>
      <c r="X5" s="1489"/>
      <c r="Y5" s="3463"/>
      <c r="Z5" s="3464"/>
      <c r="AA5" s="3457"/>
      <c r="AB5" s="3457"/>
      <c r="AC5" s="3457"/>
    </row>
    <row r="6" spans="1:29" ht="15.75" thickBot="1">
      <c r="A6" s="365"/>
      <c r="B6" s="366"/>
      <c r="C6" s="3469" t="s">
        <v>2126</v>
      </c>
      <c r="D6" s="3470"/>
      <c r="E6" s="3471" t="s">
        <v>2126</v>
      </c>
      <c r="F6" s="3472"/>
      <c r="G6" s="3469" t="s">
        <v>2126</v>
      </c>
      <c r="H6" s="3470"/>
      <c r="I6" s="3469" t="s">
        <v>2126</v>
      </c>
      <c r="J6" s="3470"/>
      <c r="K6" s="566" t="s">
        <v>2127</v>
      </c>
      <c r="L6" s="1024"/>
      <c r="M6" s="1025"/>
      <c r="N6" s="1025"/>
      <c r="O6" s="1025"/>
      <c r="P6" s="3482"/>
      <c r="Q6" s="3483"/>
      <c r="R6" s="3463"/>
      <c r="S6" s="3464"/>
      <c r="T6" s="3484"/>
      <c r="U6" s="3485"/>
      <c r="V6" s="3486"/>
      <c r="W6" s="3486"/>
      <c r="X6" s="1489"/>
      <c r="Y6" s="3484"/>
      <c r="Z6" s="3485"/>
      <c r="AA6" s="3458"/>
      <c r="AB6" s="3458"/>
      <c r="AC6" s="3458"/>
    </row>
    <row r="7" spans="1:29" s="112" customFormat="1" ht="15.75" thickBot="1">
      <c r="A7" s="367" t="s">
        <v>2128</v>
      </c>
      <c r="B7" s="368"/>
      <c r="C7" s="369">
        <f>'数据-取费表'!B2</f>
        <v>44698</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59" t="s">
        <v>2129</v>
      </c>
      <c r="Q7" s="3487"/>
      <c r="R7" s="709" t="s">
        <v>17</v>
      </c>
      <c r="S7" s="710">
        <f t="shared" ref="S7:S15" si="0">F7</f>
        <v>0</v>
      </c>
      <c r="T7" s="709" t="s">
        <v>17</v>
      </c>
      <c r="U7" s="710">
        <f t="shared" ref="U7:U15" si="1">H7</f>
        <v>0</v>
      </c>
      <c r="V7" s="709" t="s">
        <v>17</v>
      </c>
      <c r="W7" s="710">
        <f t="shared" ref="W7:W15" si="2">J7</f>
        <v>0</v>
      </c>
      <c r="X7" s="711"/>
      <c r="Y7" s="3459" t="s">
        <v>2129</v>
      </c>
      <c r="Z7" s="3460"/>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59" t="s">
        <v>2132</v>
      </c>
      <c r="Q8" s="3460"/>
      <c r="R8" s="709" t="s">
        <v>17</v>
      </c>
      <c r="S8" s="710">
        <f t="shared" si="0"/>
        <v>0</v>
      </c>
      <c r="T8" s="709" t="s">
        <v>17</v>
      </c>
      <c r="U8" s="710">
        <f t="shared" si="1"/>
        <v>0</v>
      </c>
      <c r="V8" s="709" t="s">
        <v>17</v>
      </c>
      <c r="W8" s="710">
        <f t="shared" si="2"/>
        <v>0</v>
      </c>
      <c r="X8" s="711"/>
      <c r="Y8" s="3459" t="s">
        <v>2132</v>
      </c>
      <c r="Z8" s="3460"/>
      <c r="AA8" s="712" t="e">
        <f t="shared" ref="AA8:AA40" si="3">D8/F8</f>
        <v>#DIV/0!</v>
      </c>
      <c r="AB8" s="712" t="e">
        <f t="shared" ref="AB8:AB40" si="4">D8/H8</f>
        <v>#DIV/0!</v>
      </c>
      <c r="AC8" s="712" t="e">
        <f t="shared" ref="AC8:AC40" si="5">D8/J8</f>
        <v>#DIV/0!</v>
      </c>
    </row>
    <row r="9" spans="1:29" s="112" customFormat="1">
      <c r="A9" s="374" t="s">
        <v>2133</v>
      </c>
      <c r="B9" s="66"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73" t="s">
        <v>2135</v>
      </c>
      <c r="Q9" s="1477" t="str">
        <f t="shared" ref="Q9:Q15" si="6">B9</f>
        <v>用途</v>
      </c>
      <c r="R9" s="709" t="s">
        <v>17</v>
      </c>
      <c r="S9" s="710">
        <f t="shared" si="0"/>
        <v>100</v>
      </c>
      <c r="T9" s="709" t="s">
        <v>17</v>
      </c>
      <c r="U9" s="710">
        <f t="shared" si="1"/>
        <v>100</v>
      </c>
      <c r="V9" s="709" t="s">
        <v>17</v>
      </c>
      <c r="W9" s="710">
        <f t="shared" si="2"/>
        <v>100</v>
      </c>
      <c r="X9" s="711"/>
      <c r="Y9" s="3424" t="s">
        <v>2136</v>
      </c>
      <c r="Z9" s="55"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73"/>
      <c r="Q10" s="1477" t="str">
        <f t="shared" si="6"/>
        <v>土地使用年限（年）</v>
      </c>
      <c r="R10" s="709" t="s">
        <v>17</v>
      </c>
      <c r="S10" s="710">
        <f t="shared" si="0"/>
        <v>100</v>
      </c>
      <c r="T10" s="709" t="s">
        <v>17</v>
      </c>
      <c r="U10" s="710">
        <f t="shared" si="1"/>
        <v>100</v>
      </c>
      <c r="V10" s="709" t="s">
        <v>17</v>
      </c>
      <c r="W10" s="710">
        <f t="shared" si="2"/>
        <v>100</v>
      </c>
      <c r="X10" s="711"/>
      <c r="Y10" s="3424"/>
      <c r="Z10" s="55"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73"/>
      <c r="Q11" s="1477" t="str">
        <f t="shared" si="6"/>
        <v>容积率</v>
      </c>
      <c r="R11" s="709" t="s">
        <v>17</v>
      </c>
      <c r="S11" s="710" t="e">
        <f t="shared" si="0"/>
        <v>#N/A</v>
      </c>
      <c r="T11" s="709" t="s">
        <v>17</v>
      </c>
      <c r="U11" s="710" t="e">
        <f t="shared" si="1"/>
        <v>#N/A</v>
      </c>
      <c r="V11" s="709" t="s">
        <v>17</v>
      </c>
      <c r="W11" s="710" t="e">
        <f t="shared" si="2"/>
        <v>#N/A</v>
      </c>
      <c r="X11" s="711"/>
      <c r="Y11" s="3424"/>
      <c r="Z11" s="55" t="str">
        <f t="shared" si="7"/>
        <v>容积率</v>
      </c>
      <c r="AA11" s="712" t="e">
        <f t="shared" si="3"/>
        <v>#N/A</v>
      </c>
      <c r="AB11" s="712" t="e">
        <f t="shared" si="4"/>
        <v>#N/A</v>
      </c>
      <c r="AC11" s="712" t="e">
        <f t="shared" si="5"/>
        <v>#N/A</v>
      </c>
    </row>
    <row r="12" spans="1:29" s="112" customFormat="1" ht="15">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473"/>
      <c r="Q12" s="1477">
        <f t="shared" si="6"/>
        <v>111</v>
      </c>
      <c r="R12" s="709" t="s">
        <v>17</v>
      </c>
      <c r="S12" s="710">
        <f t="shared" si="0"/>
        <v>100</v>
      </c>
      <c r="T12" s="709" t="s">
        <v>17</v>
      </c>
      <c r="U12" s="710">
        <f t="shared" si="1"/>
        <v>100</v>
      </c>
      <c r="V12" s="709" t="s">
        <v>17</v>
      </c>
      <c r="W12" s="710">
        <f t="shared" si="2"/>
        <v>100</v>
      </c>
      <c r="X12" s="711"/>
      <c r="Y12" s="3424"/>
      <c r="Z12" s="55">
        <f t="shared" si="7"/>
        <v>111</v>
      </c>
      <c r="AA12" s="712">
        <f>D12/F12</f>
        <v>1</v>
      </c>
      <c r="AB12" s="712">
        <f>D12/H12</f>
        <v>1</v>
      </c>
      <c r="AC12" s="712">
        <f>D12/J12</f>
        <v>1</v>
      </c>
    </row>
    <row r="13" spans="1:29" ht="15">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473"/>
      <c r="Q13" s="1477">
        <f t="shared" si="6"/>
        <v>111</v>
      </c>
      <c r="R13" s="709" t="s">
        <v>17</v>
      </c>
      <c r="S13" s="710">
        <f t="shared" si="0"/>
        <v>100</v>
      </c>
      <c r="T13" s="709" t="s">
        <v>17</v>
      </c>
      <c r="U13" s="710">
        <f t="shared" si="1"/>
        <v>100</v>
      </c>
      <c r="V13" s="709" t="s">
        <v>17</v>
      </c>
      <c r="W13" s="710">
        <f t="shared" si="2"/>
        <v>100</v>
      </c>
      <c r="X13" s="711"/>
      <c r="Y13" s="3424"/>
      <c r="Z13" s="55">
        <f t="shared" si="7"/>
        <v>111</v>
      </c>
      <c r="AA13" s="712">
        <f t="shared" si="3"/>
        <v>1</v>
      </c>
      <c r="AB13" s="712">
        <f t="shared" si="4"/>
        <v>1</v>
      </c>
      <c r="AC13" s="712">
        <f t="shared" si="5"/>
        <v>1</v>
      </c>
    </row>
    <row r="14" spans="1:29" ht="15.75"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473"/>
      <c r="Q14" s="1477">
        <f t="shared" si="6"/>
        <v>111</v>
      </c>
      <c r="R14" s="709" t="s">
        <v>17</v>
      </c>
      <c r="S14" s="710">
        <f t="shared" si="0"/>
        <v>100</v>
      </c>
      <c r="T14" s="709" t="s">
        <v>17</v>
      </c>
      <c r="U14" s="710">
        <f t="shared" si="1"/>
        <v>100</v>
      </c>
      <c r="V14" s="709" t="s">
        <v>17</v>
      </c>
      <c r="W14" s="710">
        <f t="shared" si="2"/>
        <v>100</v>
      </c>
      <c r="X14" s="711"/>
      <c r="Y14" s="3424"/>
      <c r="Z14" s="55">
        <f t="shared" si="7"/>
        <v>111</v>
      </c>
      <c r="AA14" s="712">
        <f t="shared" si="3"/>
        <v>1</v>
      </c>
      <c r="AB14" s="712">
        <f t="shared" si="4"/>
        <v>1</v>
      </c>
      <c r="AC14" s="712">
        <f t="shared" si="5"/>
        <v>1</v>
      </c>
    </row>
    <row r="15" spans="1:29" ht="57">
      <c r="A15" s="398" t="s">
        <v>2139</v>
      </c>
      <c r="B15" s="64" t="s">
        <v>2283</v>
      </c>
      <c r="C15" s="210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88" t="s">
        <v>2140</v>
      </c>
      <c r="Q15" s="1486" t="str">
        <f t="shared" si="6"/>
        <v>产业集聚程度</v>
      </c>
      <c r="R15" s="713" t="s">
        <v>17</v>
      </c>
      <c r="S15" s="714">
        <f t="shared" si="0"/>
        <v>100</v>
      </c>
      <c r="T15" s="713" t="s">
        <v>17</v>
      </c>
      <c r="U15" s="714">
        <f t="shared" si="1"/>
        <v>100</v>
      </c>
      <c r="V15" s="713" t="s">
        <v>17</v>
      </c>
      <c r="W15" s="714">
        <f t="shared" si="2"/>
        <v>100</v>
      </c>
      <c r="X15" s="1489"/>
      <c r="Y15" s="3488"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489"/>
      <c r="Q16" s="1486"/>
      <c r="R16" s="713"/>
      <c r="S16" s="714"/>
      <c r="T16" s="713"/>
      <c r="U16" s="714"/>
      <c r="V16" s="713"/>
      <c r="W16" s="714"/>
      <c r="X16" s="1489"/>
      <c r="Y16" s="3489"/>
      <c r="Z16" s="1490"/>
      <c r="AA16" s="1487">
        <v>1</v>
      </c>
      <c r="AB16" s="1487">
        <v>1</v>
      </c>
      <c r="AC16" s="1487">
        <v>1</v>
      </c>
    </row>
    <row r="17" spans="1:29" ht="85.5">
      <c r="A17" s="386"/>
      <c r="B17" s="409" t="s">
        <v>1704</v>
      </c>
      <c r="C17" s="203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89"/>
      <c r="Q17" s="1486" t="str">
        <f>B17</f>
        <v>交通便捷度</v>
      </c>
      <c r="R17" s="713" t="s">
        <v>17</v>
      </c>
      <c r="S17" s="714">
        <f>F17</f>
        <v>100</v>
      </c>
      <c r="T17" s="713" t="s">
        <v>17</v>
      </c>
      <c r="U17" s="714">
        <f>H17</f>
        <v>100</v>
      </c>
      <c r="V17" s="713" t="s">
        <v>17</v>
      </c>
      <c r="W17" s="714">
        <f>J17</f>
        <v>100</v>
      </c>
      <c r="X17" s="1489"/>
      <c r="Y17" s="3489"/>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489"/>
      <c r="Q18" s="1486"/>
      <c r="R18" s="713"/>
      <c r="S18" s="714"/>
      <c r="T18" s="713"/>
      <c r="U18" s="714"/>
      <c r="V18" s="713"/>
      <c r="W18" s="714"/>
      <c r="X18" s="1489"/>
      <c r="Y18" s="3489"/>
      <c r="Z18" s="1490"/>
      <c r="AA18" s="1487">
        <v>1</v>
      </c>
      <c r="AB18" s="1487">
        <v>1</v>
      </c>
      <c r="AC18" s="1487">
        <v>1</v>
      </c>
    </row>
    <row r="19" spans="1:29" ht="42.75">
      <c r="A19" s="386"/>
      <c r="B19" s="409" t="s">
        <v>2268</v>
      </c>
      <c r="C19" s="203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89"/>
      <c r="Q19" s="1486" t="str">
        <f>B19</f>
        <v>公共配套设施</v>
      </c>
      <c r="R19" s="713" t="s">
        <v>17</v>
      </c>
      <c r="S19" s="714">
        <f>F19</f>
        <v>100</v>
      </c>
      <c r="T19" s="713" t="s">
        <v>17</v>
      </c>
      <c r="U19" s="714">
        <f>H19</f>
        <v>100</v>
      </c>
      <c r="V19" s="713" t="s">
        <v>17</v>
      </c>
      <c r="W19" s="714">
        <f>J19</f>
        <v>100</v>
      </c>
      <c r="X19" s="1489"/>
      <c r="Y19" s="3489"/>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489"/>
      <c r="Q20" s="1486"/>
      <c r="R20" s="713"/>
      <c r="S20" s="714"/>
      <c r="T20" s="713"/>
      <c r="U20" s="714"/>
      <c r="V20" s="713"/>
      <c r="W20" s="714"/>
      <c r="X20" s="1489"/>
      <c r="Y20" s="3489"/>
      <c r="Z20" s="1490"/>
      <c r="AA20" s="1487">
        <v>1</v>
      </c>
      <c r="AB20" s="1487">
        <v>1</v>
      </c>
      <c r="AC20" s="1487">
        <v>1</v>
      </c>
    </row>
    <row r="21" spans="1:29" ht="28.5">
      <c r="A21" s="386"/>
      <c r="B21" s="1245" t="s">
        <v>2269</v>
      </c>
      <c r="C21" s="203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89"/>
      <c r="Q21" s="1486" t="str">
        <f>B21</f>
        <v>基础设施水平</v>
      </c>
      <c r="R21" s="713" t="s">
        <v>17</v>
      </c>
      <c r="S21" s="714">
        <f>F21</f>
        <v>100</v>
      </c>
      <c r="T21" s="713" t="s">
        <v>17</v>
      </c>
      <c r="U21" s="714">
        <f>H21</f>
        <v>100</v>
      </c>
      <c r="V21" s="713" t="s">
        <v>17</v>
      </c>
      <c r="W21" s="714">
        <f>J21</f>
        <v>100</v>
      </c>
      <c r="X21" s="1489"/>
      <c r="Y21" s="3489"/>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489"/>
      <c r="Q22" s="1486"/>
      <c r="R22" s="713"/>
      <c r="S22" s="714"/>
      <c r="T22" s="713"/>
      <c r="U22" s="714"/>
      <c r="V22" s="713"/>
      <c r="W22" s="714"/>
      <c r="X22" s="1489"/>
      <c r="Y22" s="3489"/>
      <c r="Z22" s="1490"/>
      <c r="AA22" s="1487">
        <v>1</v>
      </c>
      <c r="AB22" s="1487">
        <v>1</v>
      </c>
      <c r="AC22" s="1487">
        <v>1</v>
      </c>
    </row>
    <row r="23" spans="1:29" ht="71.25">
      <c r="A23" s="386"/>
      <c r="B23" s="409" t="s">
        <v>2270</v>
      </c>
      <c r="C23" s="203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89"/>
      <c r="Q23" s="1486" t="str">
        <f>B23</f>
        <v>环境质量</v>
      </c>
      <c r="R23" s="713" t="s">
        <v>17</v>
      </c>
      <c r="S23" s="714">
        <f>F23</f>
        <v>100</v>
      </c>
      <c r="T23" s="713" t="s">
        <v>17</v>
      </c>
      <c r="U23" s="714">
        <f>H23</f>
        <v>100</v>
      </c>
      <c r="V23" s="713" t="s">
        <v>17</v>
      </c>
      <c r="W23" s="714">
        <f>J23</f>
        <v>100</v>
      </c>
      <c r="X23" s="1489"/>
      <c r="Y23" s="3489"/>
      <c r="Z23" s="1490" t="str">
        <f>Q23</f>
        <v>环境质量</v>
      </c>
      <c r="AA23" s="1487">
        <f t="shared" si="3"/>
        <v>1</v>
      </c>
      <c r="AB23" s="1487">
        <f t="shared" si="4"/>
        <v>1</v>
      </c>
      <c r="AC23" s="1487">
        <f t="shared" si="5"/>
        <v>1</v>
      </c>
    </row>
    <row r="24" spans="1:29" ht="15">
      <c r="A24" s="386"/>
      <c r="B24" s="1245"/>
      <c r="C24" s="405"/>
      <c r="D24" s="406"/>
      <c r="E24" s="2034"/>
      <c r="F24" s="407"/>
      <c r="G24" s="2033"/>
      <c r="H24" s="406"/>
      <c r="I24" s="2034"/>
      <c r="J24" s="406"/>
      <c r="K24" s="571"/>
      <c r="L24" s="1034"/>
      <c r="M24" s="1025"/>
      <c r="N24" s="1025"/>
      <c r="O24" s="1033"/>
      <c r="P24" s="3489"/>
      <c r="Q24" s="1486"/>
      <c r="R24" s="713"/>
      <c r="S24" s="714"/>
      <c r="T24" s="713"/>
      <c r="U24" s="714"/>
      <c r="V24" s="713"/>
      <c r="W24" s="714"/>
      <c r="X24" s="1489"/>
      <c r="Y24" s="3489"/>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89"/>
      <c r="Q25" s="1486">
        <f>B25</f>
        <v>111</v>
      </c>
      <c r="R25" s="713" t="s">
        <v>17</v>
      </c>
      <c r="S25" s="714">
        <f>F25</f>
        <v>100</v>
      </c>
      <c r="T25" s="713" t="s">
        <v>17</v>
      </c>
      <c r="U25" s="714">
        <f>H25</f>
        <v>100</v>
      </c>
      <c r="V25" s="713" t="s">
        <v>17</v>
      </c>
      <c r="W25" s="714">
        <f>J25</f>
        <v>100</v>
      </c>
      <c r="X25" s="1489"/>
      <c r="Y25" s="3489"/>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89"/>
      <c r="Q26" s="1486">
        <f t="shared" ref="Q26:Q40" si="11">B26</f>
        <v>111</v>
      </c>
      <c r="R26" s="713" t="s">
        <v>17</v>
      </c>
      <c r="S26" s="714">
        <f>F26</f>
        <v>100</v>
      </c>
      <c r="T26" s="713" t="s">
        <v>17</v>
      </c>
      <c r="U26" s="714">
        <f>H26</f>
        <v>100</v>
      </c>
      <c r="V26" s="713" t="s">
        <v>17</v>
      </c>
      <c r="W26" s="714">
        <f>J26</f>
        <v>100</v>
      </c>
      <c r="X26" s="1489"/>
      <c r="Y26" s="3489"/>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89"/>
      <c r="Q27" s="1477">
        <f t="shared" si="11"/>
        <v>111</v>
      </c>
      <c r="R27" s="709" t="s">
        <v>17</v>
      </c>
      <c r="S27" s="710">
        <f>F27</f>
        <v>100</v>
      </c>
      <c r="T27" s="709" t="s">
        <v>17</v>
      </c>
      <c r="U27" s="710">
        <f>H27</f>
        <v>100</v>
      </c>
      <c r="V27" s="709" t="s">
        <v>17</v>
      </c>
      <c r="W27" s="710">
        <f>J27</f>
        <v>100</v>
      </c>
      <c r="X27" s="711"/>
      <c r="Y27" s="3489"/>
      <c r="Z27" s="55">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89"/>
      <c r="Q28" s="1486">
        <f t="shared" si="11"/>
        <v>111</v>
      </c>
      <c r="R28" s="713" t="s">
        <v>17</v>
      </c>
      <c r="S28" s="714">
        <f t="shared" ref="S28:S40" si="12">F28</f>
        <v>100</v>
      </c>
      <c r="T28" s="713" t="s">
        <v>17</v>
      </c>
      <c r="U28" s="714">
        <f t="shared" ref="U28:U40" si="13">H28</f>
        <v>100</v>
      </c>
      <c r="V28" s="713" t="s">
        <v>17</v>
      </c>
      <c r="W28" s="714">
        <f t="shared" ref="W28:W40" si="14">J28</f>
        <v>100</v>
      </c>
      <c r="X28" s="1489"/>
      <c r="Y28" s="3489"/>
      <c r="Z28" s="1490">
        <f t="shared" ref="Z28:Z40" si="15">Q28</f>
        <v>111</v>
      </c>
      <c r="AA28" s="1487">
        <f t="shared" si="3"/>
        <v>1</v>
      </c>
      <c r="AB28" s="1487">
        <f t="shared" si="4"/>
        <v>1</v>
      </c>
      <c r="AC28" s="1487">
        <f t="shared" si="5"/>
        <v>1</v>
      </c>
    </row>
    <row r="29" spans="1:29" ht="28.5">
      <c r="A29" s="424" t="s">
        <v>2143</v>
      </c>
      <c r="B29" s="66" t="s">
        <v>2273</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490" t="s">
        <v>2145</v>
      </c>
      <c r="Q29" s="1486" t="str">
        <f t="shared" si="11"/>
        <v>建筑类型</v>
      </c>
      <c r="R29" s="713" t="s">
        <v>17</v>
      </c>
      <c r="S29" s="714">
        <f t="shared" si="12"/>
        <v>100</v>
      </c>
      <c r="T29" s="713" t="s">
        <v>17</v>
      </c>
      <c r="U29" s="714">
        <f t="shared" si="13"/>
        <v>100</v>
      </c>
      <c r="V29" s="713" t="s">
        <v>17</v>
      </c>
      <c r="W29" s="714">
        <f t="shared" si="14"/>
        <v>100</v>
      </c>
      <c r="X29" s="1489"/>
      <c r="Y29" s="3491"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91"/>
      <c r="Q30" s="715" t="str">
        <f t="shared" si="11"/>
        <v>项目建筑规模</v>
      </c>
      <c r="R30" s="716" t="s">
        <v>17</v>
      </c>
      <c r="S30" s="717" t="e">
        <f t="shared" si="12"/>
        <v>#N/A</v>
      </c>
      <c r="T30" s="716" t="s">
        <v>17</v>
      </c>
      <c r="U30" s="717" t="e">
        <f t="shared" si="13"/>
        <v>#N/A</v>
      </c>
      <c r="V30" s="716" t="s">
        <v>17</v>
      </c>
      <c r="W30" s="717" t="e">
        <f t="shared" si="14"/>
        <v>#N/A</v>
      </c>
      <c r="X30" s="718"/>
      <c r="Y30" s="3491"/>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91"/>
      <c r="Q31" s="1486" t="str">
        <f t="shared" si="11"/>
        <v>建筑结构</v>
      </c>
      <c r="R31" s="713" t="s">
        <v>17</v>
      </c>
      <c r="S31" s="714">
        <f t="shared" si="12"/>
        <v>100</v>
      </c>
      <c r="T31" s="713" t="s">
        <v>17</v>
      </c>
      <c r="U31" s="714">
        <f t="shared" si="13"/>
        <v>100</v>
      </c>
      <c r="V31" s="713" t="s">
        <v>17</v>
      </c>
      <c r="W31" s="714">
        <f t="shared" si="14"/>
        <v>100</v>
      </c>
      <c r="X31" s="1489"/>
      <c r="Y31" s="3491"/>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91"/>
      <c r="Q32" s="1486" t="str">
        <f t="shared" si="11"/>
        <v>公共部分装修</v>
      </c>
      <c r="R32" s="713" t="s">
        <v>17</v>
      </c>
      <c r="S32" s="714">
        <f t="shared" si="12"/>
        <v>100</v>
      </c>
      <c r="T32" s="713" t="s">
        <v>17</v>
      </c>
      <c r="U32" s="714">
        <f t="shared" si="13"/>
        <v>100</v>
      </c>
      <c r="V32" s="713" t="s">
        <v>17</v>
      </c>
      <c r="W32" s="714">
        <f t="shared" si="14"/>
        <v>100</v>
      </c>
      <c r="X32" s="1489"/>
      <c r="Y32" s="3491"/>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91"/>
      <c r="Q33" s="1486" t="str">
        <f t="shared" si="11"/>
        <v>成新度</v>
      </c>
      <c r="R33" s="713" t="s">
        <v>17</v>
      </c>
      <c r="S33" s="714" t="e">
        <f t="shared" si="12"/>
        <v>#N/A</v>
      </c>
      <c r="T33" s="713" t="s">
        <v>17</v>
      </c>
      <c r="U33" s="714" t="e">
        <f t="shared" si="13"/>
        <v>#N/A</v>
      </c>
      <c r="V33" s="713" t="s">
        <v>17</v>
      </c>
      <c r="W33" s="714" t="e">
        <f t="shared" si="14"/>
        <v>#N/A</v>
      </c>
      <c r="X33" s="1489"/>
      <c r="Y33" s="3491"/>
      <c r="Z33" s="1490" t="str">
        <f t="shared" si="15"/>
        <v>成新度</v>
      </c>
      <c r="AA33" s="1487" t="e">
        <f t="shared" si="3"/>
        <v>#N/A</v>
      </c>
      <c r="AB33" s="1487" t="e">
        <f t="shared" si="4"/>
        <v>#N/A</v>
      </c>
      <c r="AC33" s="1487"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91"/>
      <c r="Q34" s="1477" t="str">
        <f t="shared" si="11"/>
        <v>物业管理</v>
      </c>
      <c r="R34" s="709" t="s">
        <v>17</v>
      </c>
      <c r="S34" s="710">
        <f t="shared" si="12"/>
        <v>100</v>
      </c>
      <c r="T34" s="709" t="s">
        <v>17</v>
      </c>
      <c r="U34" s="710">
        <f t="shared" si="13"/>
        <v>100</v>
      </c>
      <c r="V34" s="709" t="s">
        <v>17</v>
      </c>
      <c r="W34" s="710">
        <f t="shared" si="14"/>
        <v>100</v>
      </c>
      <c r="X34" s="711"/>
      <c r="Y34" s="3491"/>
      <c r="Z34" s="55"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91" t="s">
        <v>2145</v>
      </c>
      <c r="Q35" s="1486" t="str">
        <f t="shared" si="11"/>
        <v>市政基础设施</v>
      </c>
      <c r="R35" s="713" t="s">
        <v>17</v>
      </c>
      <c r="S35" s="714">
        <f t="shared" si="12"/>
        <v>100</v>
      </c>
      <c r="T35" s="713" t="s">
        <v>17</v>
      </c>
      <c r="U35" s="714">
        <f t="shared" si="13"/>
        <v>100</v>
      </c>
      <c r="V35" s="713" t="s">
        <v>17</v>
      </c>
      <c r="W35" s="714">
        <f t="shared" si="14"/>
        <v>100</v>
      </c>
      <c r="X35" s="1489"/>
      <c r="Y35" s="3491"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91"/>
      <c r="Q36" s="1486" t="str">
        <f t="shared" si="11"/>
        <v>内部装修</v>
      </c>
      <c r="R36" s="713" t="s">
        <v>17</v>
      </c>
      <c r="S36" s="714">
        <f t="shared" si="12"/>
        <v>100</v>
      </c>
      <c r="T36" s="713" t="s">
        <v>17</v>
      </c>
      <c r="U36" s="714">
        <f t="shared" si="13"/>
        <v>100</v>
      </c>
      <c r="V36" s="713" t="s">
        <v>17</v>
      </c>
      <c r="W36" s="714">
        <f t="shared" si="14"/>
        <v>100</v>
      </c>
      <c r="X36" s="1489"/>
      <c r="Y36" s="3491"/>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91"/>
      <c r="Q37" s="1486" t="str">
        <f t="shared" si="11"/>
        <v>内部装修状况</v>
      </c>
      <c r="R37" s="713" t="s">
        <v>17</v>
      </c>
      <c r="S37" s="714">
        <f t="shared" si="12"/>
        <v>100</v>
      </c>
      <c r="T37" s="713" t="s">
        <v>17</v>
      </c>
      <c r="U37" s="714">
        <f t="shared" si="13"/>
        <v>100</v>
      </c>
      <c r="V37" s="713" t="s">
        <v>17</v>
      </c>
      <c r="W37" s="714">
        <f t="shared" si="14"/>
        <v>100</v>
      </c>
      <c r="X37" s="1489"/>
      <c r="Y37" s="3491"/>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91"/>
      <c r="Q38" s="715">
        <f t="shared" si="11"/>
        <v>111</v>
      </c>
      <c r="R38" s="716" t="s">
        <v>17</v>
      </c>
      <c r="S38" s="717">
        <f t="shared" si="12"/>
        <v>100</v>
      </c>
      <c r="T38" s="716" t="s">
        <v>17</v>
      </c>
      <c r="U38" s="717">
        <f t="shared" si="13"/>
        <v>100</v>
      </c>
      <c r="V38" s="716" t="s">
        <v>17</v>
      </c>
      <c r="W38" s="717">
        <f t="shared" si="14"/>
        <v>100</v>
      </c>
      <c r="X38" s="718"/>
      <c r="Y38" s="3491"/>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91"/>
      <c r="Q39" s="1486">
        <f t="shared" si="11"/>
        <v>111</v>
      </c>
      <c r="R39" s="713" t="s">
        <v>17</v>
      </c>
      <c r="S39" s="714">
        <f t="shared" si="12"/>
        <v>100</v>
      </c>
      <c r="T39" s="713" t="s">
        <v>17</v>
      </c>
      <c r="U39" s="714">
        <f t="shared" si="13"/>
        <v>100</v>
      </c>
      <c r="V39" s="713" t="s">
        <v>17</v>
      </c>
      <c r="W39" s="714">
        <f t="shared" si="14"/>
        <v>100</v>
      </c>
      <c r="X39" s="1489"/>
      <c r="Y39" s="3491"/>
      <c r="Z39" s="1490">
        <f t="shared" si="15"/>
        <v>111</v>
      </c>
      <c r="AA39" s="1487">
        <f t="shared" si="3"/>
        <v>1</v>
      </c>
      <c r="AB39" s="1487">
        <f t="shared" si="4"/>
        <v>1</v>
      </c>
      <c r="AC39" s="1487">
        <f t="shared" si="5"/>
        <v>1</v>
      </c>
    </row>
    <row r="40" spans="1:29" ht="15.75"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522"/>
      <c r="Q40" s="1486">
        <f t="shared" si="11"/>
        <v>111</v>
      </c>
      <c r="R40" s="713" t="s">
        <v>17</v>
      </c>
      <c r="S40" s="714">
        <f t="shared" si="12"/>
        <v>100</v>
      </c>
      <c r="T40" s="713" t="s">
        <v>17</v>
      </c>
      <c r="U40" s="714">
        <f t="shared" si="13"/>
        <v>100</v>
      </c>
      <c r="V40" s="713" t="s">
        <v>17</v>
      </c>
      <c r="W40" s="714">
        <f t="shared" si="14"/>
        <v>100</v>
      </c>
      <c r="X40" s="1489"/>
      <c r="Y40" s="3522"/>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473" t="str">
        <f>A41</f>
        <v>成交单价（元/平方米）</v>
      </c>
      <c r="Q41" s="3473"/>
      <c r="R41" s="3492">
        <f>E41</f>
        <v>0</v>
      </c>
      <c r="S41" s="3492"/>
      <c r="T41" s="3492">
        <f>G41</f>
        <v>0</v>
      </c>
      <c r="U41" s="3492"/>
      <c r="V41" s="3492">
        <f>I41</f>
        <v>0</v>
      </c>
      <c r="W41" s="3492"/>
      <c r="X41" s="698"/>
      <c r="Y41" s="720"/>
      <c r="Z41" s="698"/>
      <c r="AA41" s="698"/>
      <c r="AB41" s="698"/>
      <c r="AC41" s="698"/>
    </row>
    <row r="42" spans="1:29" ht="15.75" thickBot="1">
      <c r="A42" s="444" t="s">
        <v>2249</v>
      </c>
      <c r="B42" s="445"/>
      <c r="C42" s="1274" t="e">
        <f>R43</f>
        <v>#DIV/0!</v>
      </c>
      <c r="D42" s="2488" t="s">
        <v>2638</v>
      </c>
      <c r="E42" s="1275" t="e">
        <f>R42</f>
        <v>#DIV/0!</v>
      </c>
      <c r="F42" s="2489"/>
      <c r="G42" s="1274" t="e">
        <f>T42</f>
        <v>#DIV/0!</v>
      </c>
      <c r="H42" s="2489"/>
      <c r="I42" s="1275" t="e">
        <f>V42</f>
        <v>#DIV/0!</v>
      </c>
      <c r="J42" s="2489"/>
      <c r="K42" s="2491">
        <f>F42+H42+J42</f>
        <v>0</v>
      </c>
      <c r="L42" s="1037"/>
      <c r="M42" s="1038"/>
      <c r="N42" s="1025"/>
      <c r="O42" s="1038"/>
      <c r="P42" s="3473" t="str">
        <f>A42</f>
        <v>比较价值（元/平方米）</v>
      </c>
      <c r="Q42" s="3473"/>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493" t="str">
        <f>A43</f>
        <v>估价对象XX用房的比较价值（楼面单价，元/平方米）</v>
      </c>
      <c r="Q43" s="3494"/>
      <c r="R43" s="3518" t="e">
        <f>IF(F1="售价",ROUND(IF(D42="简单平均",AVERAGE(R42:V42),R42*F42+T42*H42+V42*J42),0),ROUND(IF(D42="简单平均",AVERAGE(R42:V42),R42*F42+T42*H42+V42*J42),1))</f>
        <v>#DIV/0!</v>
      </c>
      <c r="S43" s="3518"/>
      <c r="T43" s="3518"/>
      <c r="U43" s="3518"/>
      <c r="V43" s="3518"/>
      <c r="W43" s="3518"/>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1000"/>
      <c r="M46" s="1038"/>
      <c r="N46" s="1038"/>
      <c r="O46" s="1038"/>
    </row>
    <row r="47" spans="1:29"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1000"/>
      <c r="M47" s="1038"/>
      <c r="N47" s="1038"/>
      <c r="O47" s="1038"/>
    </row>
    <row r="48" spans="1:29"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1041"/>
      <c r="M48" s="1039"/>
      <c r="N48" s="1039"/>
      <c r="O48" s="1039"/>
    </row>
    <row r="49" spans="1:17" s="458"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2022-5</v>
      </c>
      <c r="D52" s="1299">
        <f>EDATE(C52,-1)</f>
        <v>44652</v>
      </c>
      <c r="E52" s="1299">
        <f t="shared" ref="E52:O52" si="16">EDATE(D52,-1)</f>
        <v>44621</v>
      </c>
      <c r="F52" s="1299">
        <f t="shared" si="16"/>
        <v>44593</v>
      </c>
      <c r="G52" s="1299">
        <f t="shared" si="16"/>
        <v>44562</v>
      </c>
      <c r="H52" s="1299">
        <f t="shared" si="16"/>
        <v>44531</v>
      </c>
      <c r="I52" s="1299">
        <f t="shared" si="16"/>
        <v>44501</v>
      </c>
      <c r="J52" s="1299">
        <f t="shared" si="16"/>
        <v>44470</v>
      </c>
      <c r="K52" s="1299">
        <f t="shared" si="16"/>
        <v>44440</v>
      </c>
      <c r="L52" s="1299">
        <f t="shared" si="16"/>
        <v>44409</v>
      </c>
      <c r="M52" s="1299">
        <f t="shared" si="16"/>
        <v>44378</v>
      </c>
      <c r="N52" s="1299">
        <f t="shared" si="16"/>
        <v>44348</v>
      </c>
      <c r="O52" s="1299">
        <f t="shared" si="16"/>
        <v>44317</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8"/>
      <c r="O54" s="2949"/>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2" customFormat="1" ht="15.75" thickTop="1">
      <c r="A80" s="535"/>
      <c r="B80" s="494">
        <f>B25</f>
        <v>111</v>
      </c>
      <c r="C80" s="510"/>
      <c r="D80" s="510"/>
      <c r="E80" s="510"/>
      <c r="F80" s="510"/>
      <c r="G80" s="510"/>
      <c r="H80" s="510"/>
      <c r="I80" s="510"/>
      <c r="J80" s="510"/>
      <c r="K80" s="510"/>
      <c r="L80" s="536"/>
      <c r="M80" s="537"/>
      <c r="N80" s="1043"/>
      <c r="O80" s="1043"/>
      <c r="P80" s="45"/>
      <c r="Q80" s="460"/>
    </row>
    <row r="81" spans="1:17" s="112" customFormat="1" ht="15.75" thickBot="1">
      <c r="A81" s="535"/>
      <c r="B81" s="499"/>
      <c r="C81" s="516"/>
      <c r="D81" s="492"/>
      <c r="E81" s="492"/>
      <c r="F81" s="492"/>
      <c r="G81" s="492"/>
      <c r="H81" s="492"/>
      <c r="I81" s="492"/>
      <c r="J81" s="492"/>
      <c r="K81" s="492"/>
      <c r="L81" s="492"/>
      <c r="M81" s="493"/>
      <c r="N81" s="1045"/>
      <c r="O81" s="1045"/>
      <c r="P81" s="45"/>
      <c r="Q81" s="460"/>
    </row>
    <row r="82" spans="1:17" s="112" customFormat="1" ht="15.75" thickTop="1">
      <c r="A82" s="535"/>
      <c r="B82" s="494">
        <f>B26</f>
        <v>111</v>
      </c>
      <c r="C82" s="510"/>
      <c r="D82" s="510"/>
      <c r="E82" s="510"/>
      <c r="F82" s="510"/>
      <c r="G82" s="510"/>
      <c r="H82" s="510"/>
      <c r="I82" s="510"/>
      <c r="J82" s="510"/>
      <c r="K82" s="510"/>
      <c r="L82" s="536"/>
      <c r="M82" s="537"/>
      <c r="N82" s="1043"/>
      <c r="O82" s="1043"/>
      <c r="P82" s="45"/>
      <c r="Q82" s="460"/>
    </row>
    <row r="83" spans="1:17" s="112"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4"/>
      <c r="B87" s="525"/>
      <c r="C87" s="526"/>
      <c r="D87" s="526"/>
      <c r="E87" s="526"/>
      <c r="F87" s="526"/>
      <c r="G87" s="547"/>
      <c r="H87" s="547"/>
      <c r="I87" s="547"/>
      <c r="J87" s="547"/>
      <c r="K87" s="547"/>
      <c r="L87" s="547"/>
      <c r="M87" s="548"/>
      <c r="N87" s="1045"/>
      <c r="O87" s="1045"/>
      <c r="P87" s="45"/>
      <c r="Q87" s="460"/>
    </row>
    <row r="88" spans="1:17">
      <c r="A88" s="483" t="s">
        <v>2143</v>
      </c>
      <c r="B88" s="484" t="s">
        <v>2192</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2196</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2200</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4"/>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474" t="s">
        <v>2226</v>
      </c>
      <c r="D4" s="3475"/>
      <c r="E4" s="3476" t="s">
        <v>2227</v>
      </c>
      <c r="F4" s="3477"/>
      <c r="G4" s="3474" t="s">
        <v>2228</v>
      </c>
      <c r="H4" s="3475"/>
      <c r="I4" s="3474" t="s">
        <v>2229</v>
      </c>
      <c r="J4" s="3475"/>
      <c r="K4" s="566" t="s">
        <v>2230</v>
      </c>
      <c r="L4" s="2893"/>
      <c r="M4" s="2894"/>
      <c r="N4" s="2894"/>
      <c r="O4" s="2894"/>
      <c r="P4" s="3478" t="s">
        <v>2231</v>
      </c>
      <c r="Q4" s="3479"/>
      <c r="R4" s="3461" t="s">
        <v>2227</v>
      </c>
      <c r="S4" s="3462"/>
      <c r="T4" s="3461" t="s">
        <v>2228</v>
      </c>
      <c r="U4" s="3462"/>
      <c r="V4" s="3486" t="s">
        <v>2229</v>
      </c>
      <c r="W4" s="3486"/>
      <c r="X4" s="1489"/>
      <c r="Y4" s="3461" t="s">
        <v>2231</v>
      </c>
      <c r="Z4" s="3462"/>
      <c r="AA4" s="3456" t="s">
        <v>2227</v>
      </c>
      <c r="AB4" s="3457" t="s">
        <v>2228</v>
      </c>
      <c r="AC4" s="3456" t="s">
        <v>2229</v>
      </c>
    </row>
    <row r="5" spans="1:29" ht="15">
      <c r="A5" s="363"/>
      <c r="B5" s="364"/>
      <c r="C5" s="3467" t="s">
        <v>2122</v>
      </c>
      <c r="D5" s="3468"/>
      <c r="E5" s="3465" t="s">
        <v>2123</v>
      </c>
      <c r="F5" s="3466"/>
      <c r="G5" s="3467" t="s">
        <v>2124</v>
      </c>
      <c r="H5" s="3468"/>
      <c r="I5" s="3467" t="s">
        <v>2125</v>
      </c>
      <c r="J5" s="3468"/>
      <c r="K5" s="566"/>
      <c r="L5" s="2893"/>
      <c r="M5" s="2894"/>
      <c r="N5" s="2894"/>
      <c r="O5" s="2894"/>
      <c r="P5" s="3480"/>
      <c r="Q5" s="3481"/>
      <c r="R5" s="3463"/>
      <c r="S5" s="3464"/>
      <c r="T5" s="3463"/>
      <c r="U5" s="3464"/>
      <c r="V5" s="3486"/>
      <c r="W5" s="3486"/>
      <c r="X5" s="1489"/>
      <c r="Y5" s="3463"/>
      <c r="Z5" s="3464"/>
      <c r="AA5" s="3457"/>
      <c r="AB5" s="3457"/>
      <c r="AC5" s="3457"/>
    </row>
    <row r="6" spans="1:29" ht="15.75" thickBot="1">
      <c r="A6" s="365"/>
      <c r="B6" s="366"/>
      <c r="C6" s="3469" t="s">
        <v>2126</v>
      </c>
      <c r="D6" s="3470"/>
      <c r="E6" s="3471" t="s">
        <v>2126</v>
      </c>
      <c r="F6" s="3472"/>
      <c r="G6" s="3469" t="s">
        <v>2126</v>
      </c>
      <c r="H6" s="3470"/>
      <c r="I6" s="3469" t="s">
        <v>2126</v>
      </c>
      <c r="J6" s="3470"/>
      <c r="K6" s="566" t="s">
        <v>2127</v>
      </c>
      <c r="L6" s="2893"/>
      <c r="M6" s="2894"/>
      <c r="N6" s="2894"/>
      <c r="O6" s="2894"/>
      <c r="P6" s="3482"/>
      <c r="Q6" s="3483"/>
      <c r="R6" s="3463"/>
      <c r="S6" s="3464"/>
      <c r="T6" s="3484"/>
      <c r="U6" s="3485"/>
      <c r="V6" s="3486"/>
      <c r="W6" s="3486"/>
      <c r="X6" s="1489"/>
      <c r="Y6" s="3484"/>
      <c r="Z6" s="3485"/>
      <c r="AA6" s="3458"/>
      <c r="AB6" s="3458"/>
      <c r="AC6" s="3458"/>
    </row>
    <row r="7" spans="1:29" s="112" customFormat="1" ht="15.75" thickBot="1">
      <c r="A7" s="367" t="s">
        <v>2128</v>
      </c>
      <c r="B7" s="368"/>
      <c r="C7" s="369">
        <f>'数据-取费表'!B2</f>
        <v>44698</v>
      </c>
      <c r="D7" s="370">
        <v>100</v>
      </c>
      <c r="E7" s="371"/>
      <c r="F7" s="372">
        <f>SUMIF(46:46,YEAR(E7)&amp;"-"&amp;MONTH(E7),47:47)</f>
        <v>0</v>
      </c>
      <c r="G7" s="2110"/>
      <c r="H7" s="370">
        <f>SUMIF(46:46,YEAR(G7)&amp;"-"&amp;MONTH(G7),47:47)</f>
        <v>0</v>
      </c>
      <c r="I7" s="371"/>
      <c r="J7" s="370">
        <f>SUMIF(46:46,YEAR(I7)&amp;"-"&amp;MONTH(I7),47:47)</f>
        <v>0</v>
      </c>
      <c r="K7" s="567"/>
      <c r="L7" s="2895"/>
      <c r="M7" s="2896"/>
      <c r="N7" s="2896"/>
      <c r="O7" s="2896"/>
      <c r="P7" s="3459" t="s">
        <v>2129</v>
      </c>
      <c r="Q7" s="3487"/>
      <c r="R7" s="709" t="s">
        <v>17</v>
      </c>
      <c r="S7" s="710">
        <f t="shared" ref="S7:S14" si="0">F7</f>
        <v>0</v>
      </c>
      <c r="T7" s="709" t="s">
        <v>17</v>
      </c>
      <c r="U7" s="710">
        <f t="shared" ref="U7:U14" si="1">H7</f>
        <v>0</v>
      </c>
      <c r="V7" s="709" t="s">
        <v>17</v>
      </c>
      <c r="W7" s="710">
        <f t="shared" ref="W7:W14" si="2">J7</f>
        <v>0</v>
      </c>
      <c r="X7" s="711"/>
      <c r="Y7" s="3459" t="s">
        <v>2129</v>
      </c>
      <c r="Z7" s="3460"/>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5"/>
      <c r="M8" s="2896"/>
      <c r="N8" s="2896"/>
      <c r="O8" s="2896"/>
      <c r="P8" s="3459" t="s">
        <v>2132</v>
      </c>
      <c r="Q8" s="3460"/>
      <c r="R8" s="709" t="s">
        <v>17</v>
      </c>
      <c r="S8" s="710">
        <f t="shared" si="0"/>
        <v>0</v>
      </c>
      <c r="T8" s="709" t="s">
        <v>17</v>
      </c>
      <c r="U8" s="710">
        <f t="shared" si="1"/>
        <v>0</v>
      </c>
      <c r="V8" s="709" t="s">
        <v>17</v>
      </c>
      <c r="W8" s="710">
        <f t="shared" si="2"/>
        <v>0</v>
      </c>
      <c r="X8" s="711"/>
      <c r="Y8" s="3459" t="s">
        <v>2132</v>
      </c>
      <c r="Z8" s="3460"/>
      <c r="AA8" s="712" t="e">
        <f t="shared" ref="AA8:AA34" si="3">D8/F8</f>
        <v>#DIV/0!</v>
      </c>
      <c r="AB8" s="712" t="e">
        <f t="shared" ref="AB8:AB34" si="4">D8/H8</f>
        <v>#DIV/0!</v>
      </c>
      <c r="AC8" s="712" t="e">
        <f t="shared" ref="AC8:AC34" si="5">D8/J8</f>
        <v>#DIV/0!</v>
      </c>
    </row>
    <row r="9" spans="1:29" s="112" customFormat="1">
      <c r="A9" s="374" t="s">
        <v>2133</v>
      </c>
      <c r="B9" s="66" t="s">
        <v>2134</v>
      </c>
      <c r="C9" s="375"/>
      <c r="D9" s="130">
        <v>100</v>
      </c>
      <c r="E9" s="378"/>
      <c r="F9" s="377">
        <f>SUMIF(51:51,E9,52:52)-SUMIF(51:51,C9,52:52)+100</f>
        <v>100</v>
      </c>
      <c r="G9" s="378"/>
      <c r="H9" s="130">
        <f>SUMIF(51:51,G9,52:52)-SUMIF(51:51,C9,52:52)+100</f>
        <v>100</v>
      </c>
      <c r="I9" s="378"/>
      <c r="J9" s="130">
        <f>SUMIF(51:51,I9,52:52)-SUMIF(51:51,C9,52:52)+100</f>
        <v>100</v>
      </c>
      <c r="K9" s="567"/>
      <c r="L9" s="2895"/>
      <c r="M9" s="2896"/>
      <c r="N9" s="2896"/>
      <c r="O9" s="2950"/>
      <c r="P9" s="3473" t="s">
        <v>2135</v>
      </c>
      <c r="Q9" s="1477" t="str">
        <f t="shared" ref="Q9:Q14" si="6">B9</f>
        <v>用途</v>
      </c>
      <c r="R9" s="709" t="s">
        <v>17</v>
      </c>
      <c r="S9" s="710">
        <f t="shared" si="0"/>
        <v>100</v>
      </c>
      <c r="T9" s="709" t="s">
        <v>17</v>
      </c>
      <c r="U9" s="710">
        <f t="shared" si="1"/>
        <v>100</v>
      </c>
      <c r="V9" s="709" t="s">
        <v>17</v>
      </c>
      <c r="W9" s="710">
        <f t="shared" si="2"/>
        <v>100</v>
      </c>
      <c r="X9" s="711"/>
      <c r="Y9" s="3424" t="s">
        <v>2136</v>
      </c>
      <c r="Z9" s="55"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7"/>
      <c r="M10" s="2898"/>
      <c r="N10" s="2898"/>
      <c r="O10" s="2951"/>
      <c r="P10" s="3473"/>
      <c r="Q10" s="1477" t="str">
        <f t="shared" si="6"/>
        <v>土地使用年限（年）</v>
      </c>
      <c r="R10" s="709" t="s">
        <v>17</v>
      </c>
      <c r="S10" s="710">
        <f t="shared" si="0"/>
        <v>100</v>
      </c>
      <c r="T10" s="709" t="s">
        <v>17</v>
      </c>
      <c r="U10" s="710">
        <f t="shared" si="1"/>
        <v>100</v>
      </c>
      <c r="V10" s="709" t="s">
        <v>17</v>
      </c>
      <c r="W10" s="710">
        <f t="shared" si="2"/>
        <v>100</v>
      </c>
      <c r="X10" s="711"/>
      <c r="Y10" s="3424"/>
      <c r="Z10" s="55"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9"/>
      <c r="M11" s="2894"/>
      <c r="N11" s="2894"/>
      <c r="O11" s="2952"/>
      <c r="P11" s="3473"/>
      <c r="Q11" s="1477">
        <f t="shared" si="6"/>
        <v>111</v>
      </c>
      <c r="R11" s="709" t="s">
        <v>17</v>
      </c>
      <c r="S11" s="710">
        <f t="shared" si="0"/>
        <v>100</v>
      </c>
      <c r="T11" s="709" t="s">
        <v>17</v>
      </c>
      <c r="U11" s="710">
        <f t="shared" si="1"/>
        <v>100</v>
      </c>
      <c r="V11" s="709" t="s">
        <v>17</v>
      </c>
      <c r="W11" s="710">
        <f t="shared" si="2"/>
        <v>100</v>
      </c>
      <c r="X11" s="711"/>
      <c r="Y11" s="3424"/>
      <c r="Z11" s="55">
        <f t="shared" si="7"/>
        <v>111</v>
      </c>
      <c r="AA11" s="712">
        <f t="shared" si="3"/>
        <v>1</v>
      </c>
      <c r="AB11" s="712">
        <f t="shared" si="4"/>
        <v>1</v>
      </c>
      <c r="AC11" s="712">
        <f t="shared" si="5"/>
        <v>1</v>
      </c>
    </row>
    <row r="12" spans="1:29" s="112"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5"/>
      <c r="M12" s="2896"/>
      <c r="N12" s="2896"/>
      <c r="O12" s="2950"/>
      <c r="P12" s="3473"/>
      <c r="Q12" s="1477">
        <f t="shared" si="6"/>
        <v>111</v>
      </c>
      <c r="R12" s="709" t="s">
        <v>17</v>
      </c>
      <c r="S12" s="710">
        <f t="shared" si="0"/>
        <v>100</v>
      </c>
      <c r="T12" s="709" t="s">
        <v>17</v>
      </c>
      <c r="U12" s="710">
        <f t="shared" si="1"/>
        <v>100</v>
      </c>
      <c r="V12" s="709" t="s">
        <v>17</v>
      </c>
      <c r="W12" s="710">
        <f t="shared" si="2"/>
        <v>100</v>
      </c>
      <c r="X12" s="711"/>
      <c r="Y12" s="3424"/>
      <c r="Z12" s="55">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900"/>
      <c r="M13" s="2894"/>
      <c r="N13" s="2894"/>
      <c r="O13" s="2952"/>
      <c r="P13" s="3473"/>
      <c r="Q13" s="1477">
        <f t="shared" si="6"/>
        <v>111</v>
      </c>
      <c r="R13" s="709" t="s">
        <v>17</v>
      </c>
      <c r="S13" s="710">
        <f t="shared" si="0"/>
        <v>100</v>
      </c>
      <c r="T13" s="709" t="s">
        <v>17</v>
      </c>
      <c r="U13" s="710">
        <f t="shared" si="1"/>
        <v>100</v>
      </c>
      <c r="V13" s="709" t="s">
        <v>17</v>
      </c>
      <c r="W13" s="710">
        <f t="shared" si="2"/>
        <v>100</v>
      </c>
      <c r="X13" s="711"/>
      <c r="Y13" s="3424"/>
      <c r="Z13" s="55">
        <f t="shared" si="7"/>
        <v>111</v>
      </c>
      <c r="AA13" s="712">
        <f t="shared" si="3"/>
        <v>1</v>
      </c>
      <c r="AB13" s="712">
        <f t="shared" si="4"/>
        <v>1</v>
      </c>
      <c r="AC13" s="712">
        <f t="shared" si="5"/>
        <v>1</v>
      </c>
    </row>
    <row r="14" spans="1:29" ht="85.5">
      <c r="A14" s="398" t="s">
        <v>2139</v>
      </c>
      <c r="B14" s="64" t="s">
        <v>2289</v>
      </c>
      <c r="C14" s="210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00"/>
      <c r="M14" s="2894"/>
      <c r="N14" s="2894"/>
      <c r="O14" s="2952"/>
      <c r="P14" s="3488" t="s">
        <v>2140</v>
      </c>
      <c r="Q14" s="1486" t="str">
        <f t="shared" si="6"/>
        <v>交通便捷度</v>
      </c>
      <c r="R14" s="713" t="s">
        <v>17</v>
      </c>
      <c r="S14" s="714">
        <f t="shared" si="0"/>
        <v>100</v>
      </c>
      <c r="T14" s="713" t="s">
        <v>17</v>
      </c>
      <c r="U14" s="714">
        <f t="shared" si="1"/>
        <v>100</v>
      </c>
      <c r="V14" s="713" t="s">
        <v>17</v>
      </c>
      <c r="W14" s="714">
        <f t="shared" si="2"/>
        <v>100</v>
      </c>
      <c r="X14" s="1489"/>
      <c r="Y14" s="3488"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900"/>
      <c r="M15" s="2894"/>
      <c r="N15" s="2894"/>
      <c r="O15" s="2952"/>
      <c r="P15" s="3489"/>
      <c r="Q15" s="1486"/>
      <c r="R15" s="713"/>
      <c r="S15" s="714"/>
      <c r="T15" s="713"/>
      <c r="U15" s="714"/>
      <c r="V15" s="713"/>
      <c r="W15" s="714"/>
      <c r="X15" s="1489"/>
      <c r="Y15" s="3489"/>
      <c r="Z15" s="1490"/>
      <c r="AA15" s="1487">
        <v>1</v>
      </c>
      <c r="AB15" s="1487">
        <v>1</v>
      </c>
      <c r="AC15" s="1487">
        <v>1</v>
      </c>
    </row>
    <row r="16" spans="1:29" ht="42.75">
      <c r="A16" s="386"/>
      <c r="B16" s="409" t="s">
        <v>2268</v>
      </c>
      <c r="C16" s="203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00"/>
      <c r="M16" s="2894"/>
      <c r="N16" s="2894"/>
      <c r="O16" s="2952"/>
      <c r="P16" s="3489"/>
      <c r="Q16" s="1486" t="str">
        <f>B16</f>
        <v>公共配套设施</v>
      </c>
      <c r="R16" s="713" t="s">
        <v>17</v>
      </c>
      <c r="S16" s="714">
        <f>F16</f>
        <v>100</v>
      </c>
      <c r="T16" s="713" t="s">
        <v>17</v>
      </c>
      <c r="U16" s="714">
        <f>H16</f>
        <v>100</v>
      </c>
      <c r="V16" s="713" t="s">
        <v>17</v>
      </c>
      <c r="W16" s="714">
        <f>J16</f>
        <v>100</v>
      </c>
      <c r="X16" s="1489"/>
      <c r="Y16" s="3489"/>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900"/>
      <c r="M17" s="2894"/>
      <c r="N17" s="2894"/>
      <c r="O17" s="2952"/>
      <c r="P17" s="3489"/>
      <c r="Q17" s="1486"/>
      <c r="R17" s="713"/>
      <c r="S17" s="714"/>
      <c r="T17" s="713"/>
      <c r="U17" s="714"/>
      <c r="V17" s="713"/>
      <c r="W17" s="714"/>
      <c r="X17" s="1489"/>
      <c r="Y17" s="3489"/>
      <c r="Z17" s="1490"/>
      <c r="AA17" s="1487">
        <v>1</v>
      </c>
      <c r="AB17" s="1487">
        <v>1</v>
      </c>
      <c r="AC17" s="1487">
        <v>1</v>
      </c>
    </row>
    <row r="18" spans="1:29" ht="28.5">
      <c r="A18" s="386"/>
      <c r="B18" s="1245" t="s">
        <v>2269</v>
      </c>
      <c r="C18" s="203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00"/>
      <c r="M18" s="2894"/>
      <c r="N18" s="2894"/>
      <c r="O18" s="2952"/>
      <c r="P18" s="3489"/>
      <c r="Q18" s="1486" t="str">
        <f>B18</f>
        <v>基础设施水平</v>
      </c>
      <c r="R18" s="713" t="s">
        <v>17</v>
      </c>
      <c r="S18" s="714">
        <f>F18</f>
        <v>100</v>
      </c>
      <c r="T18" s="713" t="s">
        <v>17</v>
      </c>
      <c r="U18" s="714">
        <f>H18</f>
        <v>100</v>
      </c>
      <c r="V18" s="713" t="s">
        <v>17</v>
      </c>
      <c r="W18" s="714">
        <f>J18</f>
        <v>100</v>
      </c>
      <c r="X18" s="1489"/>
      <c r="Y18" s="3489"/>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900"/>
      <c r="M19" s="2894"/>
      <c r="N19" s="2894"/>
      <c r="O19" s="2952"/>
      <c r="P19" s="3489"/>
      <c r="Q19" s="1486"/>
      <c r="R19" s="713"/>
      <c r="S19" s="714"/>
      <c r="T19" s="713"/>
      <c r="U19" s="714"/>
      <c r="V19" s="713"/>
      <c r="W19" s="714"/>
      <c r="X19" s="1489"/>
      <c r="Y19" s="3489"/>
      <c r="Z19" s="1490"/>
      <c r="AA19" s="1487">
        <v>1</v>
      </c>
      <c r="AB19" s="1487">
        <v>1</v>
      </c>
      <c r="AC19" s="1487">
        <v>1</v>
      </c>
    </row>
    <row r="20" spans="1:29" ht="57">
      <c r="A20" s="386"/>
      <c r="B20" s="409" t="s">
        <v>2290</v>
      </c>
      <c r="C20" s="203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00"/>
      <c r="M20" s="2894"/>
      <c r="N20" s="2894"/>
      <c r="O20" s="2952"/>
      <c r="P20" s="3489"/>
      <c r="Q20" s="1486" t="str">
        <f>B20</f>
        <v>自然及人文环境</v>
      </c>
      <c r="R20" s="713" t="s">
        <v>17</v>
      </c>
      <c r="S20" s="714">
        <f>F20</f>
        <v>100</v>
      </c>
      <c r="T20" s="713" t="s">
        <v>17</v>
      </c>
      <c r="U20" s="714">
        <f>H20</f>
        <v>100</v>
      </c>
      <c r="V20" s="713" t="s">
        <v>17</v>
      </c>
      <c r="W20" s="714">
        <f>J20</f>
        <v>100</v>
      </c>
      <c r="X20" s="1489"/>
      <c r="Y20" s="3489"/>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900"/>
      <c r="M21" s="2894"/>
      <c r="N21" s="2894"/>
      <c r="O21" s="2952"/>
      <c r="P21" s="3489"/>
      <c r="Q21" s="1486"/>
      <c r="R21" s="713"/>
      <c r="S21" s="714"/>
      <c r="T21" s="713"/>
      <c r="U21" s="714"/>
      <c r="V21" s="713"/>
      <c r="W21" s="714"/>
      <c r="X21" s="1489"/>
      <c r="Y21" s="3489"/>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900"/>
      <c r="M22" s="2894"/>
      <c r="N22" s="2894"/>
      <c r="O22" s="2952"/>
      <c r="P22" s="3489"/>
      <c r="Q22" s="1486" t="str">
        <f>B22</f>
        <v>楼层</v>
      </c>
      <c r="R22" s="713" t="s">
        <v>17</v>
      </c>
      <c r="S22" s="714">
        <f>F22</f>
        <v>100</v>
      </c>
      <c r="T22" s="713" t="s">
        <v>17</v>
      </c>
      <c r="U22" s="714">
        <f>H22</f>
        <v>100</v>
      </c>
      <c r="V22" s="713" t="s">
        <v>17</v>
      </c>
      <c r="W22" s="714">
        <f>J22</f>
        <v>100</v>
      </c>
      <c r="X22" s="1489"/>
      <c r="Y22" s="3489"/>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900"/>
      <c r="M23" s="2894"/>
      <c r="N23" s="2894"/>
      <c r="O23" s="2952"/>
      <c r="P23" s="3489"/>
      <c r="Q23" s="1486">
        <f>B23</f>
        <v>111</v>
      </c>
      <c r="R23" s="713" t="s">
        <v>17</v>
      </c>
      <c r="S23" s="714">
        <f>F23</f>
        <v>100</v>
      </c>
      <c r="T23" s="713" t="s">
        <v>17</v>
      </c>
      <c r="U23" s="714">
        <f>H23</f>
        <v>100</v>
      </c>
      <c r="V23" s="713" t="s">
        <v>17</v>
      </c>
      <c r="W23" s="714">
        <f>J23</f>
        <v>100</v>
      </c>
      <c r="X23" s="1489"/>
      <c r="Y23" s="3489"/>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900"/>
      <c r="M24" s="2894"/>
      <c r="N24" s="2894"/>
      <c r="O24" s="2952"/>
      <c r="P24" s="3489"/>
      <c r="Q24" s="1486">
        <f t="shared" ref="Q24:Q34" si="11">B24</f>
        <v>111</v>
      </c>
      <c r="R24" s="713" t="s">
        <v>17</v>
      </c>
      <c r="S24" s="714">
        <f>F24</f>
        <v>100</v>
      </c>
      <c r="T24" s="713" t="s">
        <v>17</v>
      </c>
      <c r="U24" s="714">
        <f>H24</f>
        <v>100</v>
      </c>
      <c r="V24" s="713" t="s">
        <v>17</v>
      </c>
      <c r="W24" s="714">
        <f>J24</f>
        <v>100</v>
      </c>
      <c r="X24" s="1489"/>
      <c r="Y24" s="3489"/>
      <c r="Z24" s="1490">
        <f>Q24</f>
        <v>111</v>
      </c>
      <c r="AA24" s="1487">
        <f t="shared" si="3"/>
        <v>1</v>
      </c>
      <c r="AB24" s="1487">
        <f t="shared" si="4"/>
        <v>1</v>
      </c>
      <c r="AC24" s="1487">
        <f t="shared" si="5"/>
        <v>1</v>
      </c>
    </row>
    <row r="25" spans="1:29" s="112"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5"/>
      <c r="M25" s="2896"/>
      <c r="N25" s="2896"/>
      <c r="O25" s="2950"/>
      <c r="P25" s="3489"/>
      <c r="Q25" s="1477">
        <f t="shared" si="11"/>
        <v>111</v>
      </c>
      <c r="R25" s="709" t="s">
        <v>17</v>
      </c>
      <c r="S25" s="710">
        <f>F25</f>
        <v>100</v>
      </c>
      <c r="T25" s="709" t="s">
        <v>17</v>
      </c>
      <c r="U25" s="710">
        <f>H25</f>
        <v>100</v>
      </c>
      <c r="V25" s="709" t="s">
        <v>17</v>
      </c>
      <c r="W25" s="710">
        <f>J25</f>
        <v>100</v>
      </c>
      <c r="X25" s="711"/>
      <c r="Y25" s="3489"/>
      <c r="Z25" s="55">
        <f>Q25</f>
        <v>111</v>
      </c>
      <c r="AA25" s="1487">
        <f>D25/F25</f>
        <v>1</v>
      </c>
      <c r="AB25" s="1487">
        <f>D25/H25</f>
        <v>1</v>
      </c>
      <c r="AC25" s="1487">
        <f>D25/J25</f>
        <v>1</v>
      </c>
    </row>
    <row r="26" spans="1:29" ht="28.5">
      <c r="A26" s="424" t="s">
        <v>2143</v>
      </c>
      <c r="B26" s="66" t="s">
        <v>2294</v>
      </c>
      <c r="C26" s="2103"/>
      <c r="D26" s="425">
        <v>100</v>
      </c>
      <c r="E26" s="2103"/>
      <c r="F26" s="622">
        <f>SUMIF(77:77,E26,78:78)-SUMIF(77:77,C26,78:78)+100</f>
        <v>100</v>
      </c>
      <c r="G26" s="2103"/>
      <c r="H26" s="425">
        <f>SUMIF(77:77,G26,78:78)-SUMIF(77:77,C26,78:78)+100</f>
        <v>100</v>
      </c>
      <c r="I26" s="2103"/>
      <c r="J26" s="425">
        <f>SUMIF(77:77,I26,78:78)-SUMIF(77:77,C26,78:78)+100</f>
        <v>100</v>
      </c>
      <c r="K26" s="568"/>
      <c r="L26" s="2900"/>
      <c r="M26" s="2894"/>
      <c r="N26" s="2894"/>
      <c r="O26" s="2952"/>
      <c r="P26" s="3490"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91"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9"/>
      <c r="M27" s="2901"/>
      <c r="N27" s="2901"/>
      <c r="O27" s="2953"/>
      <c r="P27" s="3491"/>
      <c r="Q27" s="715" t="str">
        <f t="shared" si="11"/>
        <v>成新率</v>
      </c>
      <c r="R27" s="716" t="s">
        <v>17</v>
      </c>
      <c r="S27" s="717" t="e">
        <f t="shared" si="12"/>
        <v>#N/A</v>
      </c>
      <c r="T27" s="716" t="s">
        <v>17</v>
      </c>
      <c r="U27" s="717" t="e">
        <f t="shared" si="13"/>
        <v>#N/A</v>
      </c>
      <c r="V27" s="716" t="s">
        <v>17</v>
      </c>
      <c r="W27" s="717" t="e">
        <f t="shared" si="14"/>
        <v>#N/A</v>
      </c>
      <c r="X27" s="718"/>
      <c r="Y27" s="3491"/>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900"/>
      <c r="M28" s="2894"/>
      <c r="N28" s="2894"/>
      <c r="O28" s="2952"/>
      <c r="P28" s="3491"/>
      <c r="Q28" s="1486" t="str">
        <f t="shared" si="11"/>
        <v>物业等级</v>
      </c>
      <c r="R28" s="713" t="s">
        <v>17</v>
      </c>
      <c r="S28" s="714">
        <f t="shared" si="12"/>
        <v>100</v>
      </c>
      <c r="T28" s="713" t="s">
        <v>17</v>
      </c>
      <c r="U28" s="714">
        <f t="shared" si="13"/>
        <v>100</v>
      </c>
      <c r="V28" s="713" t="s">
        <v>17</v>
      </c>
      <c r="W28" s="714">
        <f t="shared" si="14"/>
        <v>100</v>
      </c>
      <c r="X28" s="1489"/>
      <c r="Y28" s="3491"/>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900"/>
      <c r="M29" s="2894"/>
      <c r="N29" s="2894"/>
      <c r="O29" s="2952"/>
      <c r="P29" s="3491"/>
      <c r="Q29" s="1486" t="str">
        <f t="shared" si="11"/>
        <v>有无电梯</v>
      </c>
      <c r="R29" s="713" t="s">
        <v>17</v>
      </c>
      <c r="S29" s="714">
        <f t="shared" si="12"/>
        <v>100</v>
      </c>
      <c r="T29" s="713" t="s">
        <v>17</v>
      </c>
      <c r="U29" s="714">
        <f t="shared" si="13"/>
        <v>100</v>
      </c>
      <c r="V29" s="713" t="s">
        <v>17</v>
      </c>
      <c r="W29" s="714">
        <f t="shared" si="14"/>
        <v>100</v>
      </c>
      <c r="X29" s="1489"/>
      <c r="Y29" s="3491"/>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0"/>
      <c r="M30" s="2894"/>
      <c r="N30" s="2894"/>
      <c r="O30" s="2952"/>
      <c r="P30" s="3491"/>
      <c r="Q30" s="1486" t="str">
        <f t="shared" si="11"/>
        <v>建筑面积</v>
      </c>
      <c r="R30" s="713" t="s">
        <v>17</v>
      </c>
      <c r="S30" s="714" t="e">
        <f t="shared" si="12"/>
        <v>#N/A</v>
      </c>
      <c r="T30" s="713" t="s">
        <v>17</v>
      </c>
      <c r="U30" s="714" t="e">
        <f t="shared" si="13"/>
        <v>#N/A</v>
      </c>
      <c r="V30" s="713" t="s">
        <v>17</v>
      </c>
      <c r="W30" s="714" t="e">
        <f t="shared" si="14"/>
        <v>#N/A</v>
      </c>
      <c r="X30" s="1489"/>
      <c r="Y30" s="3491"/>
      <c r="Z30" s="1490" t="str">
        <f t="shared" si="15"/>
        <v>建筑面积</v>
      </c>
      <c r="AA30" s="1487" t="e">
        <f t="shared" si="3"/>
        <v>#N/A</v>
      </c>
      <c r="AB30" s="1487" t="e">
        <f t="shared" si="4"/>
        <v>#N/A</v>
      </c>
      <c r="AC30" s="1487"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5"/>
      <c r="M31" s="2896"/>
      <c r="N31" s="2896"/>
      <c r="O31" s="2950"/>
      <c r="P31" s="3491"/>
      <c r="Q31" s="1477" t="str">
        <f t="shared" si="11"/>
        <v>是否封闭</v>
      </c>
      <c r="R31" s="709" t="s">
        <v>17</v>
      </c>
      <c r="S31" s="710">
        <f t="shared" si="12"/>
        <v>100</v>
      </c>
      <c r="T31" s="709" t="s">
        <v>17</v>
      </c>
      <c r="U31" s="710">
        <f t="shared" si="13"/>
        <v>100</v>
      </c>
      <c r="V31" s="709" t="s">
        <v>17</v>
      </c>
      <c r="W31" s="710">
        <f t="shared" si="14"/>
        <v>100</v>
      </c>
      <c r="X31" s="711"/>
      <c r="Y31" s="3491"/>
      <c r="Z31" s="55"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900"/>
      <c r="M32" s="2894"/>
      <c r="N32" s="2894"/>
      <c r="O32" s="2952"/>
      <c r="P32" s="3491" t="s">
        <v>2145</v>
      </c>
      <c r="Q32" s="1486">
        <f t="shared" si="11"/>
        <v>111</v>
      </c>
      <c r="R32" s="713" t="s">
        <v>17</v>
      </c>
      <c r="S32" s="714">
        <f t="shared" si="12"/>
        <v>100</v>
      </c>
      <c r="T32" s="713" t="s">
        <v>17</v>
      </c>
      <c r="U32" s="714">
        <f t="shared" si="13"/>
        <v>100</v>
      </c>
      <c r="V32" s="713" t="s">
        <v>17</v>
      </c>
      <c r="W32" s="714">
        <f t="shared" si="14"/>
        <v>100</v>
      </c>
      <c r="X32" s="1489"/>
      <c r="Y32" s="3491" t="s">
        <v>2145</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900"/>
      <c r="M33" s="2894"/>
      <c r="N33" s="2894"/>
      <c r="O33" s="2952"/>
      <c r="P33" s="3491"/>
      <c r="Q33" s="1486">
        <f t="shared" si="11"/>
        <v>111</v>
      </c>
      <c r="R33" s="713" t="s">
        <v>17</v>
      </c>
      <c r="S33" s="714">
        <f t="shared" si="12"/>
        <v>100</v>
      </c>
      <c r="T33" s="713" t="s">
        <v>17</v>
      </c>
      <c r="U33" s="714">
        <f t="shared" si="13"/>
        <v>100</v>
      </c>
      <c r="V33" s="713" t="s">
        <v>17</v>
      </c>
      <c r="W33" s="714">
        <f t="shared" si="14"/>
        <v>100</v>
      </c>
      <c r="X33" s="1489"/>
      <c r="Y33" s="3491"/>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900"/>
      <c r="M34" s="2894"/>
      <c r="N34" s="2894"/>
      <c r="O34" s="2952"/>
      <c r="P34" s="3491"/>
      <c r="Q34" s="1486">
        <f t="shared" si="11"/>
        <v>111</v>
      </c>
      <c r="R34" s="713" t="s">
        <v>17</v>
      </c>
      <c r="S34" s="714">
        <f t="shared" si="12"/>
        <v>100</v>
      </c>
      <c r="T34" s="713" t="s">
        <v>17</v>
      </c>
      <c r="U34" s="714">
        <f t="shared" si="13"/>
        <v>100</v>
      </c>
      <c r="V34" s="713" t="s">
        <v>17</v>
      </c>
      <c r="W34" s="714">
        <f t="shared" si="14"/>
        <v>100</v>
      </c>
      <c r="X34" s="1489"/>
      <c r="Y34" s="3491"/>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902"/>
      <c r="M35" s="2903"/>
      <c r="N35" s="2894"/>
      <c r="O35" s="2903"/>
      <c r="P35" s="3473" t="str">
        <f>A35</f>
        <v>成交单价（元/平方米）</v>
      </c>
      <c r="Q35" s="3473"/>
      <c r="R35" s="3492">
        <f>E35</f>
        <v>0</v>
      </c>
      <c r="S35" s="3492"/>
      <c r="T35" s="3492">
        <f>G35</f>
        <v>0</v>
      </c>
      <c r="U35" s="3492"/>
      <c r="V35" s="3492">
        <f>I35</f>
        <v>0</v>
      </c>
      <c r="W35" s="3492"/>
      <c r="X35" s="698"/>
      <c r="Y35" s="720"/>
      <c r="Z35" s="698"/>
      <c r="AA35" s="698"/>
      <c r="AB35" s="698"/>
      <c r="AC35" s="698"/>
    </row>
    <row r="36" spans="1:30" ht="15.75" thickBot="1">
      <c r="A36" s="444" t="s">
        <v>2249</v>
      </c>
      <c r="B36" s="445"/>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473" t="str">
        <f>A36</f>
        <v>比较价值（元/平方米）</v>
      </c>
      <c r="Q36" s="3473"/>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902"/>
      <c r="M37" s="2903"/>
      <c r="N37" s="2903"/>
      <c r="O37" s="2903"/>
      <c r="P37" s="3493" t="str">
        <f>A37</f>
        <v>估价对象XX用房的比较价值（楼面单价，元/平方米）</v>
      </c>
      <c r="Q37" s="3494"/>
      <c r="R37" s="3495" t="e">
        <f>IF(F1="售价",ROUND(IF(D36="简单平均",AVERAGE(R36:W36),R36*F36+T36*H36+V36*J36),0),ROUND(IF(D36="简单平均",AVERAGE(R36:V36),R36*F36+T36*H36+V36*J36),1))</f>
        <v>#DIV/0!</v>
      </c>
      <c r="S37" s="3495"/>
      <c r="T37" s="3495"/>
      <c r="U37" s="3495"/>
      <c r="V37" s="3495"/>
      <c r="W37" s="3495"/>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8" customFormat="1" ht="13.5" customHeight="1">
      <c r="A42" s="2906"/>
      <c r="B42" s="2906"/>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8"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4" customFormat="1" ht="15">
      <c r="A46" s="461" t="s">
        <v>2128</v>
      </c>
      <c r="B46" s="462"/>
      <c r="C46" s="1298" t="str">
        <f>YEAR(C7)&amp;"-"&amp;MONTH(C7)</f>
        <v>2022-5</v>
      </c>
      <c r="D46" s="1299">
        <f>EDATE(C46,-1)</f>
        <v>44652</v>
      </c>
      <c r="E46" s="1299">
        <f t="shared" ref="E46:O46" si="16">EDATE(D46,-1)</f>
        <v>44621</v>
      </c>
      <c r="F46" s="1299">
        <f t="shared" si="16"/>
        <v>44593</v>
      </c>
      <c r="G46" s="1299">
        <f t="shared" si="16"/>
        <v>44562</v>
      </c>
      <c r="H46" s="1299">
        <f t="shared" si="16"/>
        <v>44531</v>
      </c>
      <c r="I46" s="1299">
        <f t="shared" si="16"/>
        <v>44501</v>
      </c>
      <c r="J46" s="1299">
        <f t="shared" si="16"/>
        <v>44470</v>
      </c>
      <c r="K46" s="1299">
        <f t="shared" si="16"/>
        <v>44440</v>
      </c>
      <c r="L46" s="1299">
        <f t="shared" si="16"/>
        <v>44409</v>
      </c>
      <c r="M46" s="1299">
        <f t="shared" si="16"/>
        <v>44378</v>
      </c>
      <c r="N46" s="1299">
        <f t="shared" si="16"/>
        <v>44348</v>
      </c>
      <c r="O46" s="1299">
        <f t="shared" si="16"/>
        <v>44317</v>
      </c>
      <c r="P46" s="2954"/>
      <c r="Q46" s="2919"/>
      <c r="R46" s="2919"/>
      <c r="S46" s="2919"/>
      <c r="T46" s="2919"/>
      <c r="U46" s="2919"/>
      <c r="V46" s="2919"/>
      <c r="W46" s="2919"/>
      <c r="X46" s="2919"/>
      <c r="Y46" s="2919"/>
      <c r="Z46" s="2919"/>
      <c r="AA46" s="2919"/>
      <c r="AB46" s="2919"/>
      <c r="AC46" s="2919"/>
      <c r="AD46" s="2919"/>
    </row>
    <row r="47" spans="1:30" s="112" customFormat="1" ht="15">
      <c r="A47" s="465"/>
      <c r="B47" s="466"/>
      <c r="C47" s="1297">
        <v>100</v>
      </c>
      <c r="D47" s="468"/>
      <c r="E47" s="468"/>
      <c r="F47" s="468"/>
      <c r="G47" s="468"/>
      <c r="H47" s="468"/>
      <c r="I47" s="468"/>
      <c r="J47" s="468"/>
      <c r="K47" s="468"/>
      <c r="L47" s="468"/>
      <c r="M47" s="469"/>
      <c r="N47" s="468"/>
      <c r="O47" s="470"/>
      <c r="P47" s="2917"/>
      <c r="Q47" s="2837"/>
      <c r="R47" s="2837"/>
      <c r="S47" s="2837"/>
      <c r="T47" s="2837"/>
      <c r="U47" s="2837"/>
      <c r="V47" s="2837"/>
      <c r="W47" s="2837"/>
      <c r="X47" s="2837"/>
      <c r="Y47" s="2837"/>
      <c r="Z47" s="2837"/>
      <c r="AA47" s="2837"/>
      <c r="AB47" s="2837"/>
      <c r="AC47" s="2837"/>
      <c r="AD47" s="2837"/>
    </row>
    <row r="48" spans="1:30" s="112" customFormat="1" ht="15.75" thickBot="1">
      <c r="A48" s="471" t="s">
        <v>2165</v>
      </c>
      <c r="B48" s="472"/>
      <c r="C48" s="473"/>
      <c r="D48" s="474"/>
      <c r="E48" s="474"/>
      <c r="F48" s="474"/>
      <c r="G48" s="474"/>
      <c r="H48" s="474"/>
      <c r="I48" s="474"/>
      <c r="J48" s="474"/>
      <c r="K48" s="474"/>
      <c r="L48" s="474"/>
      <c r="M48" s="475"/>
      <c r="N48" s="474"/>
      <c r="O48" s="476"/>
      <c r="P48" s="2917"/>
      <c r="Q48" s="2917"/>
      <c r="R48" s="2837"/>
      <c r="S48" s="2837"/>
      <c r="T48" s="2837"/>
      <c r="U48" s="2837"/>
      <c r="V48" s="2837"/>
      <c r="W48" s="2837"/>
      <c r="X48" s="2837"/>
      <c r="Y48" s="2837"/>
      <c r="Z48" s="2837"/>
      <c r="AA48" s="2837"/>
      <c r="AB48" s="2837"/>
      <c r="AC48" s="2837"/>
      <c r="AD48" s="2837"/>
    </row>
    <row r="49" spans="1:30" s="112" customFormat="1" ht="15">
      <c r="A49" s="477" t="s">
        <v>2130</v>
      </c>
      <c r="B49" s="466"/>
      <c r="C49" s="478" t="s">
        <v>2232</v>
      </c>
      <c r="D49" s="479"/>
      <c r="E49" s="479"/>
      <c r="F49" s="479"/>
      <c r="G49" s="479"/>
      <c r="H49" s="479"/>
      <c r="I49" s="479"/>
      <c r="J49" s="479"/>
      <c r="K49" s="479"/>
      <c r="L49" s="480"/>
      <c r="M49" s="481"/>
      <c r="N49" s="2930"/>
      <c r="O49" s="2930"/>
      <c r="P49" s="2955"/>
      <c r="Q49" s="2917"/>
      <c r="R49" s="2837"/>
      <c r="S49" s="2837"/>
      <c r="T49" s="2837"/>
      <c r="U49" s="2837"/>
      <c r="V49" s="2837"/>
      <c r="W49" s="2837"/>
      <c r="X49" s="2837"/>
      <c r="Y49" s="2837"/>
      <c r="Z49" s="2837"/>
      <c r="AA49" s="2837"/>
      <c r="AB49" s="2837"/>
      <c r="AC49" s="2837"/>
      <c r="AD49" s="2837"/>
    </row>
    <row r="50" spans="1:30" s="112" customFormat="1" ht="15.75" thickBot="1">
      <c r="A50" s="477"/>
      <c r="B50" s="466"/>
      <c r="C50" s="594">
        <v>100</v>
      </c>
      <c r="D50" s="468"/>
      <c r="E50" s="468"/>
      <c r="F50" s="468"/>
      <c r="G50" s="468"/>
      <c r="H50" s="468"/>
      <c r="I50" s="468"/>
      <c r="J50" s="468"/>
      <c r="K50" s="468"/>
      <c r="L50" s="468"/>
      <c r="M50" s="470"/>
      <c r="N50" s="2930"/>
      <c r="O50" s="2930"/>
      <c r="P50" s="2917"/>
      <c r="Q50" s="2917"/>
      <c r="R50" s="2837"/>
      <c r="S50" s="2837"/>
      <c r="T50" s="2837"/>
      <c r="U50" s="2837"/>
      <c r="V50" s="2837"/>
      <c r="W50" s="2837"/>
      <c r="X50" s="2837"/>
      <c r="Y50" s="2837"/>
      <c r="Z50" s="2837"/>
      <c r="AA50" s="2837"/>
      <c r="AB50" s="2837"/>
      <c r="AC50" s="2837"/>
      <c r="AD50" s="2837"/>
    </row>
    <row r="51" spans="1:30">
      <c r="A51" s="483" t="s">
        <v>2168</v>
      </c>
      <c r="B51" s="484" t="s">
        <v>2134</v>
      </c>
      <c r="C51" s="485">
        <f>C9</f>
        <v>0</v>
      </c>
      <c r="D51" s="486"/>
      <c r="E51" s="486"/>
      <c r="F51" s="486"/>
      <c r="G51" s="486"/>
      <c r="H51" s="486"/>
      <c r="I51" s="486"/>
      <c r="J51" s="486"/>
      <c r="K51" s="487"/>
      <c r="L51" s="488"/>
      <c r="M51" s="489"/>
      <c r="N51" s="2931"/>
      <c r="O51" s="2931"/>
      <c r="P51" s="2956"/>
      <c r="Q51" s="2917"/>
      <c r="R51" s="2903"/>
      <c r="S51" s="2903"/>
      <c r="T51" s="2903"/>
      <c r="U51" s="2903"/>
      <c r="V51" s="2903"/>
      <c r="W51" s="2903"/>
      <c r="X51" s="2903"/>
      <c r="Y51" s="2903"/>
      <c r="Z51" s="2903"/>
      <c r="AA51" s="2903"/>
      <c r="AB51" s="2903"/>
      <c r="AC51" s="2903"/>
      <c r="AD51" s="2903"/>
    </row>
    <row r="52" spans="1:30" ht="15.75" thickBot="1">
      <c r="A52" s="490"/>
      <c r="B52" s="491"/>
      <c r="C52" s="492">
        <v>100</v>
      </c>
      <c r="D52" s="492"/>
      <c r="E52" s="492"/>
      <c r="F52" s="492"/>
      <c r="G52" s="492"/>
      <c r="H52" s="492"/>
      <c r="I52" s="492"/>
      <c r="J52" s="492"/>
      <c r="K52" s="492"/>
      <c r="L52" s="492"/>
      <c r="M52" s="493"/>
      <c r="N52" s="2932"/>
      <c r="O52" s="2932"/>
      <c r="P52" s="2956"/>
      <c r="Q52" s="2917"/>
      <c r="R52" s="2903"/>
      <c r="S52" s="2903"/>
      <c r="T52" s="2903"/>
      <c r="U52" s="2903"/>
      <c r="V52" s="2903"/>
      <c r="W52" s="2903"/>
      <c r="X52" s="2903"/>
      <c r="Y52" s="2903"/>
      <c r="Z52" s="2903"/>
      <c r="AA52" s="2903"/>
      <c r="AB52" s="2903"/>
      <c r="AC52" s="2903"/>
      <c r="AD52" s="2903"/>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31"/>
      <c r="O53" s="2931"/>
      <c r="P53" s="2956"/>
      <c r="Q53" s="2917"/>
      <c r="R53" s="2903"/>
      <c r="S53" s="2903"/>
      <c r="T53" s="2903"/>
      <c r="U53" s="2903"/>
      <c r="V53" s="2903"/>
      <c r="W53" s="2903"/>
      <c r="X53" s="2903"/>
      <c r="Y53" s="2903"/>
      <c r="Z53" s="2903"/>
      <c r="AA53" s="2903"/>
      <c r="AB53" s="2903"/>
      <c r="AC53" s="2903"/>
      <c r="AD53" s="290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2"/>
      <c r="O54" s="2932"/>
      <c r="P54" s="2956"/>
      <c r="Q54" s="2917"/>
      <c r="R54" s="2903"/>
      <c r="S54" s="2903"/>
      <c r="T54" s="2903"/>
      <c r="U54" s="2903"/>
      <c r="V54" s="2903"/>
      <c r="W54" s="2903"/>
      <c r="X54" s="2903"/>
      <c r="Y54" s="2903"/>
      <c r="Z54" s="2903"/>
      <c r="AA54" s="2903"/>
      <c r="AB54" s="2903"/>
      <c r="AC54" s="2903"/>
      <c r="AD54" s="2903"/>
    </row>
    <row r="55" spans="1:30" ht="15.75" thickTop="1">
      <c r="A55" s="490"/>
      <c r="B55" s="615">
        <f>B11</f>
        <v>111</v>
      </c>
      <c r="C55" s="505"/>
      <c r="D55" s="505"/>
      <c r="E55" s="505"/>
      <c r="F55" s="505"/>
      <c r="G55" s="505"/>
      <c r="H55" s="505"/>
      <c r="I55" s="505"/>
      <c r="J55" s="505"/>
      <c r="K55" s="506"/>
      <c r="L55" s="507"/>
      <c r="M55" s="508"/>
      <c r="N55" s="2931"/>
      <c r="O55" s="2931"/>
      <c r="P55" s="2956"/>
      <c r="Q55" s="2917"/>
      <c r="R55" s="2903"/>
      <c r="S55" s="2903"/>
      <c r="T55" s="2903"/>
      <c r="U55" s="2903"/>
      <c r="V55" s="2903"/>
      <c r="W55" s="2903"/>
      <c r="X55" s="2903"/>
      <c r="Y55" s="2903"/>
      <c r="Z55" s="2903"/>
      <c r="AA55" s="2903"/>
      <c r="AB55" s="2903"/>
      <c r="AC55" s="2903"/>
      <c r="AD55" s="2903"/>
    </row>
    <row r="56" spans="1:30" ht="15.75" thickBot="1">
      <c r="A56" s="490"/>
      <c r="B56" s="491"/>
      <c r="C56" s="516"/>
      <c r="D56" s="492"/>
      <c r="E56" s="492"/>
      <c r="F56" s="492"/>
      <c r="G56" s="492"/>
      <c r="H56" s="492"/>
      <c r="I56" s="492"/>
      <c r="J56" s="492"/>
      <c r="K56" s="492"/>
      <c r="L56" s="492"/>
      <c r="M56" s="493"/>
      <c r="N56" s="2932"/>
      <c r="O56" s="2932"/>
      <c r="P56" s="2956"/>
      <c r="Q56" s="2917"/>
      <c r="R56" s="2903"/>
      <c r="S56" s="2903"/>
      <c r="T56" s="2903"/>
      <c r="U56" s="2903"/>
      <c r="V56" s="2903"/>
      <c r="W56" s="2903"/>
      <c r="X56" s="2903"/>
      <c r="Y56" s="2903"/>
      <c r="Z56" s="2903"/>
      <c r="AA56" s="2903"/>
      <c r="AB56" s="2903"/>
      <c r="AC56" s="2903"/>
      <c r="AD56" s="2903"/>
    </row>
    <row r="57" spans="1:30" s="429" customFormat="1" ht="15.75" thickTop="1">
      <c r="A57" s="509"/>
      <c r="B57" s="494">
        <f>B12</f>
        <v>111</v>
      </c>
      <c r="C57" s="505"/>
      <c r="D57" s="505"/>
      <c r="E57" s="505"/>
      <c r="F57" s="505"/>
      <c r="G57" s="510"/>
      <c r="H57" s="511"/>
      <c r="I57" s="511"/>
      <c r="J57" s="511"/>
      <c r="K57" s="511"/>
      <c r="L57" s="512"/>
      <c r="M57" s="513"/>
      <c r="N57" s="2933"/>
      <c r="O57" s="2933"/>
      <c r="P57" s="2957"/>
      <c r="Q57" s="2924"/>
      <c r="R57" s="2925"/>
      <c r="S57" s="2925"/>
      <c r="T57" s="2925"/>
      <c r="U57" s="2925"/>
      <c r="V57" s="2925"/>
      <c r="W57" s="2925"/>
      <c r="X57" s="2925"/>
      <c r="Y57" s="2925"/>
      <c r="Z57" s="2925"/>
      <c r="AA57" s="2925"/>
      <c r="AB57" s="2925"/>
      <c r="AC57" s="2925"/>
      <c r="AD57" s="2925"/>
    </row>
    <row r="58" spans="1:30" s="429" customFormat="1" ht="15.75" thickBot="1">
      <c r="A58" s="509"/>
      <c r="B58" s="499"/>
      <c r="C58" s="516"/>
      <c r="D58" s="492"/>
      <c r="E58" s="492"/>
      <c r="F58" s="492"/>
      <c r="G58" s="492"/>
      <c r="H58" s="492"/>
      <c r="I58" s="492"/>
      <c r="J58" s="492"/>
      <c r="K58" s="492"/>
      <c r="L58" s="492"/>
      <c r="M58" s="493"/>
      <c r="N58" s="2932"/>
      <c r="O58" s="2932"/>
      <c r="P58" s="2957"/>
      <c r="Q58" s="2924"/>
      <c r="R58" s="2925"/>
      <c r="S58" s="2925"/>
      <c r="T58" s="2925"/>
      <c r="U58" s="2925"/>
      <c r="V58" s="2925"/>
      <c r="W58" s="2925"/>
      <c r="X58" s="2925"/>
      <c r="Y58" s="2925"/>
      <c r="Z58" s="2925"/>
      <c r="AA58" s="2925"/>
      <c r="AB58" s="2925"/>
      <c r="AC58" s="2925"/>
      <c r="AD58" s="2925"/>
    </row>
    <row r="59" spans="1:30" s="429" customFormat="1" ht="15.75" thickTop="1">
      <c r="A59" s="509"/>
      <c r="B59" s="494">
        <f>B13</f>
        <v>111</v>
      </c>
      <c r="C59" s="505"/>
      <c r="D59" s="505"/>
      <c r="E59" s="505"/>
      <c r="F59" s="505"/>
      <c r="G59" s="510"/>
      <c r="H59" s="511"/>
      <c r="I59" s="511"/>
      <c r="J59" s="511"/>
      <c r="K59" s="511"/>
      <c r="L59" s="512"/>
      <c r="M59" s="513"/>
      <c r="N59" s="2933"/>
      <c r="O59" s="2933"/>
      <c r="P59" s="2901"/>
      <c r="Q59" s="2927"/>
      <c r="R59" s="2925"/>
      <c r="S59" s="2925"/>
      <c r="T59" s="2925"/>
      <c r="U59" s="2925"/>
      <c r="V59" s="2925"/>
      <c r="W59" s="2925"/>
      <c r="X59" s="2925"/>
      <c r="Y59" s="2925"/>
      <c r="Z59" s="2925"/>
      <c r="AA59" s="2925"/>
      <c r="AB59" s="2925"/>
      <c r="AC59" s="2925"/>
      <c r="AD59" s="2925"/>
    </row>
    <row r="60" spans="1:30" s="429" customFormat="1" ht="15.75" thickBot="1">
      <c r="A60" s="509"/>
      <c r="B60" s="499"/>
      <c r="C60" s="516"/>
      <c r="D60" s="516"/>
      <c r="E60" s="516"/>
      <c r="F60" s="516"/>
      <c r="G60" s="516"/>
      <c r="H60" s="518"/>
      <c r="I60" s="518"/>
      <c r="J60" s="518"/>
      <c r="K60" s="518"/>
      <c r="L60" s="518"/>
      <c r="M60" s="519"/>
      <c r="N60" s="2933"/>
      <c r="O60" s="2933"/>
      <c r="P60" s="2957"/>
      <c r="Q60" s="2924"/>
      <c r="R60" s="2925"/>
      <c r="S60" s="2925"/>
      <c r="T60" s="2925"/>
      <c r="U60" s="2925"/>
      <c r="V60" s="2925"/>
      <c r="W60" s="2925"/>
      <c r="X60" s="2925"/>
      <c r="Y60" s="2925"/>
      <c r="Z60" s="2925"/>
      <c r="AA60" s="2925"/>
      <c r="AB60" s="2925"/>
      <c r="AC60" s="2925"/>
      <c r="AD60" s="2925"/>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31"/>
      <c r="O61" s="2931"/>
      <c r="P61" s="2958"/>
      <c r="Q61" s="2917"/>
      <c r="R61" s="2903"/>
      <c r="S61" s="2903"/>
      <c r="T61" s="2903"/>
      <c r="U61" s="2903"/>
      <c r="V61" s="2903"/>
      <c r="W61" s="2903"/>
      <c r="X61" s="2903"/>
      <c r="Y61" s="2903"/>
      <c r="Z61" s="2903"/>
      <c r="AA61" s="2903"/>
      <c r="AB61" s="2903"/>
      <c r="AC61" s="2903"/>
      <c r="AD61" s="290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2"/>
      <c r="O62" s="2932"/>
      <c r="P62" s="2956"/>
      <c r="Q62" s="2917"/>
      <c r="R62" s="2903"/>
      <c r="S62" s="2903"/>
      <c r="T62" s="2903"/>
      <c r="U62" s="2903"/>
      <c r="V62" s="2903"/>
      <c r="W62" s="2903"/>
      <c r="X62" s="2903"/>
      <c r="Y62" s="2903"/>
      <c r="Z62" s="2903"/>
      <c r="AA62" s="2903"/>
      <c r="AB62" s="2903"/>
      <c r="AC62" s="2903"/>
      <c r="AD62" s="2903"/>
    </row>
    <row r="63" spans="1:30" ht="27.75" thickTop="1">
      <c r="A63" s="490"/>
      <c r="B63" s="494" t="s">
        <v>2320</v>
      </c>
      <c r="C63" s="534" t="s">
        <v>2177</v>
      </c>
      <c r="D63" s="534" t="s">
        <v>2178</v>
      </c>
      <c r="E63" s="534" t="s">
        <v>2179</v>
      </c>
      <c r="F63" s="534" t="s">
        <v>2180</v>
      </c>
      <c r="G63" s="534" t="s">
        <v>2181</v>
      </c>
      <c r="H63" s="495"/>
      <c r="I63" s="495"/>
      <c r="J63" s="495"/>
      <c r="K63" s="496"/>
      <c r="L63" s="497"/>
      <c r="M63" s="498"/>
      <c r="N63" s="2931"/>
      <c r="O63" s="2931"/>
      <c r="P63" s="2956"/>
      <c r="Q63" s="2917"/>
      <c r="R63" s="2903"/>
      <c r="S63" s="2903"/>
      <c r="T63" s="2903"/>
      <c r="U63" s="2903"/>
      <c r="V63" s="2903"/>
      <c r="W63" s="2903"/>
      <c r="X63" s="2903"/>
      <c r="Y63" s="2903"/>
      <c r="Z63" s="2903"/>
      <c r="AA63" s="2903"/>
      <c r="AB63" s="2903"/>
      <c r="AC63" s="2903"/>
      <c r="AD63" s="290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2"/>
      <c r="O64" s="2932"/>
      <c r="P64" s="2956"/>
      <c r="Q64" s="2917"/>
      <c r="R64" s="2903"/>
      <c r="S64" s="2903"/>
      <c r="T64" s="2903"/>
      <c r="U64" s="2903"/>
      <c r="V64" s="2903"/>
      <c r="W64" s="2903"/>
      <c r="X64" s="2903"/>
      <c r="Y64" s="2903"/>
      <c r="Z64" s="2903"/>
      <c r="AA64" s="2903"/>
      <c r="AB64" s="2903"/>
      <c r="AC64" s="2903"/>
      <c r="AD64" s="2903"/>
    </row>
    <row r="65" spans="1:30" ht="15.75" thickTop="1">
      <c r="A65" s="490"/>
      <c r="B65" s="502" t="s">
        <v>2269</v>
      </c>
      <c r="C65" s="615" t="s">
        <v>2255</v>
      </c>
      <c r="D65" s="615" t="s">
        <v>2256</v>
      </c>
      <c r="E65" s="615" t="s">
        <v>2257</v>
      </c>
      <c r="F65" s="615" t="s">
        <v>2258</v>
      </c>
      <c r="G65" s="615" t="s">
        <v>2259</v>
      </c>
      <c r="H65" s="495"/>
      <c r="I65" s="495"/>
      <c r="J65" s="495"/>
      <c r="K65" s="495"/>
      <c r="L65" s="495"/>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2"/>
      <c r="O66" s="2932"/>
      <c r="P66" s="2956"/>
      <c r="Q66" s="2917"/>
      <c r="R66" s="2903"/>
      <c r="S66" s="2903"/>
      <c r="T66" s="2903"/>
      <c r="U66" s="2903"/>
      <c r="V66" s="2903"/>
      <c r="W66" s="2903"/>
      <c r="X66" s="2903"/>
      <c r="Y66" s="2903"/>
      <c r="Z66" s="2903"/>
      <c r="AA66" s="2903"/>
      <c r="AB66" s="2903"/>
      <c r="AC66" s="2903"/>
      <c r="AD66" s="2903"/>
    </row>
    <row r="67" spans="1:30" ht="15.75" thickTop="1">
      <c r="A67" s="490"/>
      <c r="B67" s="494" t="s">
        <v>2189</v>
      </c>
      <c r="C67" s="534" t="s">
        <v>2177</v>
      </c>
      <c r="D67" s="534" t="s">
        <v>2178</v>
      </c>
      <c r="E67" s="534" t="s">
        <v>2179</v>
      </c>
      <c r="F67" s="534" t="s">
        <v>2180</v>
      </c>
      <c r="G67" s="534" t="s">
        <v>2181</v>
      </c>
      <c r="H67" s="495"/>
      <c r="I67" s="495"/>
      <c r="J67" s="495"/>
      <c r="K67" s="496"/>
      <c r="L67" s="497"/>
      <c r="M67" s="498"/>
      <c r="N67" s="2931"/>
      <c r="O67" s="2931"/>
      <c r="P67" s="2956"/>
      <c r="Q67" s="2917"/>
      <c r="R67" s="2903"/>
      <c r="S67" s="2903"/>
      <c r="T67" s="2903"/>
      <c r="U67" s="2903"/>
      <c r="V67" s="2903"/>
      <c r="W67" s="2903"/>
      <c r="X67" s="2903"/>
      <c r="Y67" s="2903"/>
      <c r="Z67" s="2903"/>
      <c r="AA67" s="2903"/>
      <c r="AB67" s="2903"/>
      <c r="AC67" s="2903"/>
      <c r="AD67" s="290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2"/>
      <c r="O68" s="2932"/>
      <c r="P68" s="2956"/>
      <c r="Q68" s="2917"/>
      <c r="R68" s="2903"/>
      <c r="S68" s="2903"/>
      <c r="T68" s="2903"/>
      <c r="U68" s="2903"/>
      <c r="V68" s="2903"/>
      <c r="W68" s="2903"/>
      <c r="X68" s="2903"/>
      <c r="Y68" s="2903"/>
      <c r="Z68" s="2903"/>
      <c r="AA68" s="2903"/>
      <c r="AB68" s="2903"/>
      <c r="AC68" s="2903"/>
      <c r="AD68" s="2903"/>
    </row>
    <row r="69" spans="1:30" ht="15.75" thickTop="1">
      <c r="A69" s="490"/>
      <c r="B69" s="494" t="s">
        <v>2309</v>
      </c>
      <c r="C69" s="510"/>
      <c r="D69" s="510"/>
      <c r="E69" s="510"/>
      <c r="F69" s="510"/>
      <c r="G69" s="510"/>
      <c r="H69" s="539"/>
      <c r="I69" s="539"/>
      <c r="J69" s="539"/>
      <c r="K69" s="540"/>
      <c r="L69" s="541"/>
      <c r="M69" s="542"/>
      <c r="N69" s="2931"/>
      <c r="O69" s="2931"/>
      <c r="P69" s="2956"/>
      <c r="Q69" s="2917"/>
      <c r="R69" s="2903"/>
      <c r="S69" s="2903"/>
      <c r="T69" s="2903"/>
      <c r="U69" s="2903"/>
      <c r="V69" s="2903"/>
      <c r="W69" s="2903"/>
      <c r="X69" s="2903"/>
      <c r="Y69" s="2903"/>
      <c r="Z69" s="2903"/>
      <c r="AA69" s="2903"/>
      <c r="AB69" s="2903"/>
      <c r="AC69" s="2903"/>
      <c r="AD69" s="2903"/>
    </row>
    <row r="70" spans="1:30" ht="15.75" thickBot="1">
      <c r="A70" s="490"/>
      <c r="B70" s="499"/>
      <c r="C70" s="500">
        <v>100</v>
      </c>
      <c r="D70" s="500">
        <f>C70-$K22</f>
        <v>100</v>
      </c>
      <c r="E70" s="500"/>
      <c r="F70" s="500"/>
      <c r="G70" s="500"/>
      <c r="H70" s="500"/>
      <c r="I70" s="500"/>
      <c r="J70" s="500"/>
      <c r="K70" s="500"/>
      <c r="L70" s="500"/>
      <c r="M70" s="501"/>
      <c r="N70" s="2932"/>
      <c r="O70" s="2932"/>
      <c r="P70" s="2956"/>
      <c r="Q70" s="2917"/>
      <c r="R70" s="2903"/>
      <c r="S70" s="2903"/>
      <c r="T70" s="2903"/>
      <c r="U70" s="2903"/>
      <c r="V70" s="2903"/>
      <c r="W70" s="2903"/>
      <c r="X70" s="2903"/>
      <c r="Y70" s="2903"/>
      <c r="Z70" s="2903"/>
      <c r="AA70" s="2903"/>
      <c r="AB70" s="2903"/>
      <c r="AC70" s="2903"/>
      <c r="AD70" s="2903"/>
    </row>
    <row r="71" spans="1:30" s="112" customFormat="1" ht="15.75" thickTop="1">
      <c r="A71" s="535"/>
      <c r="B71" s="494">
        <f>B23</f>
        <v>111</v>
      </c>
      <c r="C71" s="505"/>
      <c r="D71" s="505"/>
      <c r="E71" s="505"/>
      <c r="F71" s="505"/>
      <c r="G71" s="510"/>
      <c r="H71" s="510"/>
      <c r="I71" s="510"/>
      <c r="J71" s="510"/>
      <c r="K71" s="510"/>
      <c r="L71" s="536"/>
      <c r="M71" s="537"/>
      <c r="N71" s="2930"/>
      <c r="O71" s="2930"/>
      <c r="P71" s="2956"/>
      <c r="Q71" s="2917"/>
      <c r="R71" s="2837"/>
      <c r="S71" s="2837"/>
      <c r="T71" s="2837"/>
      <c r="U71" s="2837"/>
      <c r="V71" s="2837"/>
      <c r="W71" s="2837"/>
      <c r="X71" s="2837"/>
      <c r="Y71" s="2837"/>
      <c r="Z71" s="2837"/>
      <c r="AA71" s="2837"/>
      <c r="AB71" s="2837"/>
      <c r="AC71" s="2837"/>
      <c r="AD71" s="2837"/>
    </row>
    <row r="72" spans="1:30" s="112" customFormat="1" ht="15.75" thickBot="1">
      <c r="A72" s="535"/>
      <c r="B72" s="499"/>
      <c r="C72" s="516"/>
      <c r="D72" s="492"/>
      <c r="E72" s="492"/>
      <c r="F72" s="492"/>
      <c r="G72" s="492"/>
      <c r="H72" s="492"/>
      <c r="I72" s="492"/>
      <c r="J72" s="492"/>
      <c r="K72" s="492"/>
      <c r="L72" s="492"/>
      <c r="M72" s="493"/>
      <c r="N72" s="2932"/>
      <c r="O72" s="2932"/>
      <c r="P72" s="2956"/>
      <c r="Q72" s="2917"/>
      <c r="R72" s="2837"/>
      <c r="S72" s="2837"/>
      <c r="T72" s="2837"/>
      <c r="U72" s="2837"/>
      <c r="V72" s="2837"/>
      <c r="W72" s="2837"/>
      <c r="X72" s="2837"/>
      <c r="Y72" s="2837"/>
      <c r="Z72" s="2837"/>
      <c r="AA72" s="2837"/>
      <c r="AB72" s="2837"/>
      <c r="AC72" s="2837"/>
      <c r="AD72" s="2837"/>
    </row>
    <row r="73" spans="1:30" s="112" customFormat="1" ht="15.75" thickTop="1">
      <c r="A73" s="535"/>
      <c r="B73" s="494">
        <f>B24</f>
        <v>111</v>
      </c>
      <c r="C73" s="505"/>
      <c r="D73" s="505"/>
      <c r="E73" s="505"/>
      <c r="F73" s="505"/>
      <c r="G73" s="510"/>
      <c r="H73" s="510"/>
      <c r="I73" s="510"/>
      <c r="J73" s="510"/>
      <c r="K73" s="510"/>
      <c r="L73" s="510"/>
      <c r="M73" s="537"/>
      <c r="N73" s="2930"/>
      <c r="O73" s="2930"/>
      <c r="P73" s="2956"/>
      <c r="Q73" s="2917"/>
      <c r="R73" s="2837"/>
      <c r="S73" s="2837"/>
      <c r="T73" s="2837"/>
      <c r="U73" s="2837"/>
      <c r="V73" s="2837"/>
      <c r="W73" s="2837"/>
      <c r="X73" s="2837"/>
      <c r="Y73" s="2837"/>
      <c r="Z73" s="2837"/>
      <c r="AA73" s="2837"/>
      <c r="AB73" s="2837"/>
      <c r="AC73" s="2837"/>
      <c r="AD73" s="2837"/>
    </row>
    <row r="74" spans="1:30" s="112" customFormat="1" ht="15.75" thickBot="1">
      <c r="A74" s="535"/>
      <c r="B74" s="499"/>
      <c r="C74" s="516"/>
      <c r="D74" s="492"/>
      <c r="E74" s="492"/>
      <c r="F74" s="492"/>
      <c r="G74" s="492"/>
      <c r="H74" s="492"/>
      <c r="I74" s="492"/>
      <c r="J74" s="492"/>
      <c r="K74" s="492"/>
      <c r="L74" s="492"/>
      <c r="M74" s="493"/>
      <c r="N74" s="2932"/>
      <c r="O74" s="2932"/>
      <c r="P74" s="2956"/>
      <c r="Q74" s="2917"/>
      <c r="R74" s="2837"/>
      <c r="S74" s="2837"/>
      <c r="T74" s="2837"/>
      <c r="U74" s="2837"/>
      <c r="V74" s="2837"/>
      <c r="W74" s="2837"/>
      <c r="X74" s="2837"/>
      <c r="Y74" s="2837"/>
      <c r="Z74" s="2837"/>
      <c r="AA74" s="2837"/>
      <c r="AB74" s="2837"/>
      <c r="AC74" s="2837"/>
      <c r="AD74" s="2837"/>
    </row>
    <row r="75" spans="1:30" s="429" customFormat="1" ht="15.75" thickTop="1">
      <c r="A75" s="509"/>
      <c r="B75" s="494">
        <f>B25</f>
        <v>111</v>
      </c>
      <c r="C75" s="505"/>
      <c r="D75" s="505"/>
      <c r="E75" s="505"/>
      <c r="F75" s="505"/>
      <c r="G75" s="510"/>
      <c r="H75" s="511"/>
      <c r="I75" s="511"/>
      <c r="J75" s="511"/>
      <c r="K75" s="511"/>
      <c r="L75" s="512"/>
      <c r="M75" s="513"/>
      <c r="N75" s="2933"/>
      <c r="O75" s="2933"/>
      <c r="P75" s="2957"/>
      <c r="Q75" s="2924"/>
      <c r="R75" s="2925"/>
      <c r="S75" s="2925"/>
      <c r="T75" s="2925"/>
      <c r="U75" s="2925"/>
      <c r="V75" s="2925"/>
      <c r="W75" s="2925"/>
      <c r="X75" s="2925"/>
      <c r="Y75" s="2925"/>
      <c r="Z75" s="2925"/>
      <c r="AA75" s="2925"/>
      <c r="AB75" s="2925"/>
      <c r="AC75" s="2925"/>
      <c r="AD75" s="2925"/>
    </row>
    <row r="76" spans="1:30" s="429" customFormat="1" ht="15.75" thickBot="1">
      <c r="A76" s="509"/>
      <c r="B76" s="499"/>
      <c r="C76" s="516"/>
      <c r="D76" s="516"/>
      <c r="E76" s="516"/>
      <c r="F76" s="516"/>
      <c r="G76" s="492"/>
      <c r="H76" s="492"/>
      <c r="I76" s="492"/>
      <c r="J76" s="492"/>
      <c r="K76" s="492"/>
      <c r="L76" s="492"/>
      <c r="M76" s="493"/>
      <c r="N76" s="2933"/>
      <c r="O76" s="2933"/>
      <c r="P76" s="2957"/>
      <c r="Q76" s="2924"/>
      <c r="R76" s="2925"/>
      <c r="S76" s="2925"/>
      <c r="T76" s="2925"/>
      <c r="U76" s="2925"/>
      <c r="V76" s="2925"/>
      <c r="W76" s="2925"/>
      <c r="X76" s="2925"/>
      <c r="Y76" s="2925"/>
      <c r="Z76" s="2925"/>
      <c r="AA76" s="2925"/>
      <c r="AB76" s="2925"/>
      <c r="AC76" s="2925"/>
      <c r="AD76" s="2925"/>
    </row>
    <row r="77" spans="1:30" ht="15" thickTop="1">
      <c r="A77" s="483" t="s">
        <v>2143</v>
      </c>
      <c r="B77" s="484" t="s">
        <v>2196</v>
      </c>
      <c r="C77" s="510"/>
      <c r="D77" s="510"/>
      <c r="E77" s="486"/>
      <c r="F77" s="486"/>
      <c r="G77" s="486"/>
      <c r="H77" s="486"/>
      <c r="I77" s="486"/>
      <c r="J77" s="486"/>
      <c r="K77" s="487"/>
      <c r="L77" s="488"/>
      <c r="M77" s="489"/>
      <c r="N77" s="2931"/>
      <c r="O77" s="2931"/>
      <c r="P77" s="2956"/>
      <c r="Q77" s="2917"/>
      <c r="R77" s="2903"/>
      <c r="S77" s="2903"/>
      <c r="T77" s="2903"/>
      <c r="U77" s="2903"/>
      <c r="V77" s="2903"/>
      <c r="W77" s="2903"/>
      <c r="X77" s="2903"/>
      <c r="Y77" s="2903"/>
      <c r="Z77" s="2903"/>
      <c r="AA77" s="2903"/>
      <c r="AB77" s="2903"/>
      <c r="AC77" s="2903"/>
      <c r="AD77" s="290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0"/>
      <c r="O79" s="2930"/>
      <c r="P79" s="2956"/>
      <c r="Q79" s="2917"/>
      <c r="R79" s="2903"/>
      <c r="S79" s="2903"/>
      <c r="T79" s="2903"/>
      <c r="U79" s="2903"/>
      <c r="V79" s="2903"/>
      <c r="W79" s="2903"/>
      <c r="X79" s="2903"/>
      <c r="Y79" s="2903"/>
      <c r="Z79" s="2903"/>
      <c r="AA79" s="2903"/>
      <c r="AB79" s="2903"/>
      <c r="AC79" s="2903"/>
      <c r="AD79" s="2903"/>
    </row>
    <row r="80" spans="1:30" ht="15">
      <c r="A80" s="490"/>
      <c r="B80" s="502"/>
      <c r="C80" s="559">
        <v>0.5</v>
      </c>
      <c r="D80" s="559">
        <v>0.6</v>
      </c>
      <c r="E80" s="559">
        <v>0.7</v>
      </c>
      <c r="F80" s="559">
        <v>0.8</v>
      </c>
      <c r="G80" s="559">
        <v>0.9</v>
      </c>
      <c r="H80" s="559">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5"/>
      <c r="B82" s="502" t="s">
        <v>2313</v>
      </c>
      <c r="C82" s="510"/>
      <c r="D82" s="510"/>
      <c r="E82" s="539"/>
      <c r="F82" s="539"/>
      <c r="G82" s="539"/>
      <c r="H82" s="539"/>
      <c r="I82" s="539"/>
      <c r="J82" s="539"/>
      <c r="K82" s="540"/>
      <c r="L82" s="541"/>
      <c r="M82" s="542"/>
      <c r="N82" s="2931"/>
      <c r="O82" s="2931"/>
      <c r="P82" s="2956"/>
      <c r="Q82" s="2917"/>
      <c r="R82" s="2903"/>
      <c r="S82" s="2903"/>
      <c r="T82" s="2903"/>
      <c r="U82" s="2903"/>
      <c r="V82" s="2903"/>
      <c r="W82" s="2903"/>
      <c r="X82" s="2903"/>
      <c r="Y82" s="2903"/>
      <c r="Z82" s="2903"/>
      <c r="AA82" s="2903"/>
      <c r="AB82" s="2903"/>
      <c r="AC82" s="2903"/>
      <c r="AD82" s="290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5"/>
      <c r="B84" s="494" t="s">
        <v>2321</v>
      </c>
      <c r="C84" s="510"/>
      <c r="D84" s="510"/>
      <c r="E84" s="510"/>
      <c r="F84" s="510"/>
      <c r="G84" s="510"/>
      <c r="H84" s="510"/>
      <c r="I84" s="539"/>
      <c r="J84" s="539"/>
      <c r="K84" s="540"/>
      <c r="L84" s="541"/>
      <c r="M84" s="542"/>
      <c r="N84" s="2931"/>
      <c r="O84" s="2931"/>
      <c r="P84" s="2956"/>
      <c r="Q84" s="2917"/>
      <c r="R84" s="2903"/>
      <c r="S84" s="2903"/>
      <c r="T84" s="2903"/>
      <c r="U84" s="2903"/>
      <c r="V84" s="2903"/>
      <c r="W84" s="2903"/>
      <c r="X84" s="2903"/>
      <c r="Y84" s="2903"/>
      <c r="Z84" s="2903"/>
      <c r="AA84" s="2903"/>
      <c r="AB84" s="2903"/>
      <c r="AC84" s="2903"/>
      <c r="AD84" s="290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5"/>
      <c r="B87" s="502"/>
      <c r="C87" s="551"/>
      <c r="D87" s="551"/>
      <c r="E87" s="551"/>
      <c r="F87" s="551"/>
      <c r="G87" s="551"/>
      <c r="H87" s="551"/>
      <c r="I87" s="551"/>
      <c r="J87" s="552"/>
      <c r="K87" s="552"/>
      <c r="L87" s="553"/>
      <c r="M87" s="554"/>
      <c r="N87" s="2931"/>
      <c r="O87" s="2931"/>
      <c r="P87" s="2956"/>
      <c r="Q87" s="2917"/>
      <c r="R87" s="2903"/>
      <c r="S87" s="2903"/>
      <c r="T87" s="2903"/>
      <c r="U87" s="2903"/>
      <c r="V87" s="2903"/>
      <c r="W87" s="2903"/>
      <c r="X87" s="2903"/>
      <c r="Y87" s="2903"/>
      <c r="Z87" s="2903"/>
      <c r="AA87" s="2903"/>
      <c r="AB87" s="2903"/>
      <c r="AC87" s="2903"/>
      <c r="AD87" s="2903"/>
    </row>
    <row r="88" spans="1:30" ht="15.75" thickBot="1">
      <c r="A88" s="490"/>
      <c r="B88" s="499"/>
      <c r="C88" s="516"/>
      <c r="D88" s="492"/>
      <c r="E88" s="492"/>
      <c r="F88" s="492"/>
      <c r="G88" s="492"/>
      <c r="H88" s="492"/>
      <c r="I88" s="492"/>
      <c r="J88" s="492"/>
      <c r="K88" s="492"/>
      <c r="L88" s="492"/>
      <c r="M88" s="492"/>
      <c r="N88" s="2932"/>
      <c r="O88" s="2932"/>
      <c r="P88" s="2956"/>
      <c r="Q88" s="2917"/>
      <c r="R88" s="2903"/>
      <c r="S88" s="2903"/>
      <c r="T88" s="2903"/>
      <c r="U88" s="2903"/>
      <c r="V88" s="2903"/>
      <c r="W88" s="2903"/>
      <c r="X88" s="2903"/>
      <c r="Y88" s="2903"/>
      <c r="Z88" s="2903"/>
      <c r="AA88" s="2903"/>
      <c r="AB88" s="2903"/>
      <c r="AC88" s="2903"/>
      <c r="AD88" s="2903"/>
    </row>
    <row r="89" spans="1:30" s="429" customFormat="1" ht="15" thickTop="1">
      <c r="A89" s="549"/>
      <c r="B89" s="494" t="s">
        <v>2323</v>
      </c>
      <c r="C89" s="510"/>
      <c r="D89" s="510"/>
      <c r="E89" s="510"/>
      <c r="F89" s="510"/>
      <c r="G89" s="510"/>
      <c r="H89" s="510"/>
      <c r="I89" s="510"/>
      <c r="J89" s="510"/>
      <c r="K89" s="510"/>
      <c r="L89" s="510"/>
      <c r="M89" s="537"/>
      <c r="N89" s="2933"/>
      <c r="O89" s="2933"/>
      <c r="P89" s="2957"/>
      <c r="Q89" s="2924"/>
      <c r="R89" s="2925"/>
      <c r="S89" s="2925"/>
      <c r="T89" s="2925"/>
      <c r="U89" s="2925"/>
      <c r="V89" s="2925"/>
      <c r="W89" s="2925"/>
      <c r="X89" s="2925"/>
      <c r="Y89" s="2925"/>
      <c r="Z89" s="2925"/>
      <c r="AA89" s="2925"/>
      <c r="AB89" s="2925"/>
      <c r="AC89" s="2925"/>
      <c r="AD89" s="2925"/>
    </row>
    <row r="90" spans="1:30" s="429" customFormat="1" ht="15.75" thickBot="1">
      <c r="A90" s="509"/>
      <c r="B90" s="499"/>
      <c r="C90" s="516"/>
      <c r="D90" s="492"/>
      <c r="E90" s="492"/>
      <c r="F90" s="492"/>
      <c r="G90" s="492"/>
      <c r="H90" s="492"/>
      <c r="I90" s="492"/>
      <c r="J90" s="492"/>
      <c r="K90" s="492"/>
      <c r="L90" s="492"/>
      <c r="M90" s="493"/>
      <c r="N90" s="2933"/>
      <c r="O90" s="2933"/>
      <c r="P90" s="2957"/>
      <c r="Q90" s="2924"/>
      <c r="R90" s="2925"/>
      <c r="S90" s="2925"/>
      <c r="T90" s="2925"/>
      <c r="U90" s="2925"/>
      <c r="V90" s="2925"/>
      <c r="W90" s="2925"/>
      <c r="X90" s="2925"/>
      <c r="Y90" s="2925"/>
      <c r="Z90" s="2925"/>
      <c r="AA90" s="2925"/>
      <c r="AB90" s="2925"/>
      <c r="AC90" s="2925"/>
      <c r="AD90" s="2925"/>
    </row>
    <row r="91" spans="1:30" ht="15" thickTop="1">
      <c r="A91" s="555"/>
      <c r="B91" s="494">
        <f>B32</f>
        <v>111</v>
      </c>
      <c r="C91" s="505"/>
      <c r="D91" s="505"/>
      <c r="E91" s="505"/>
      <c r="F91" s="505"/>
      <c r="G91" s="510"/>
      <c r="H91" s="511"/>
      <c r="I91" s="511"/>
      <c r="J91" s="511"/>
      <c r="K91" s="511"/>
      <c r="L91" s="512"/>
      <c r="M91" s="513"/>
      <c r="N91" s="2931"/>
      <c r="O91" s="2931"/>
      <c r="P91" s="2956"/>
      <c r="Q91" s="2917"/>
      <c r="R91" s="2903"/>
      <c r="S91" s="2903"/>
      <c r="T91" s="2903"/>
      <c r="U91" s="2903"/>
      <c r="V91" s="2903"/>
      <c r="W91" s="2903"/>
      <c r="X91" s="2903"/>
      <c r="Y91" s="2903"/>
      <c r="Z91" s="2903"/>
      <c r="AA91" s="2903"/>
      <c r="AB91" s="2903"/>
      <c r="AC91" s="2903"/>
      <c r="AD91" s="2903"/>
    </row>
    <row r="92" spans="1:30" ht="15.75" thickBot="1">
      <c r="A92" s="490"/>
      <c r="B92" s="499"/>
      <c r="C92" s="516"/>
      <c r="D92" s="492"/>
      <c r="E92" s="492"/>
      <c r="F92" s="492"/>
      <c r="G92" s="516"/>
      <c r="H92" s="518"/>
      <c r="I92" s="518"/>
      <c r="J92" s="518"/>
      <c r="K92" s="518"/>
      <c r="L92" s="518"/>
      <c r="M92" s="519"/>
      <c r="N92" s="2932"/>
      <c r="O92" s="2932"/>
      <c r="P92" s="2956"/>
      <c r="Q92" s="2917"/>
      <c r="R92" s="2903"/>
      <c r="S92" s="2903"/>
      <c r="T92" s="2903"/>
      <c r="U92" s="2903"/>
      <c r="V92" s="2903"/>
      <c r="W92" s="2903"/>
      <c r="X92" s="2903"/>
      <c r="Y92" s="2903"/>
      <c r="Z92" s="2903"/>
      <c r="AA92" s="2903"/>
      <c r="AB92" s="2903"/>
      <c r="AC92" s="2903"/>
      <c r="AD92" s="2903"/>
    </row>
    <row r="93" spans="1:30" ht="15" thickTop="1">
      <c r="A93" s="555"/>
      <c r="B93" s="494">
        <f>B33</f>
        <v>111</v>
      </c>
      <c r="C93" s="505"/>
      <c r="D93" s="505"/>
      <c r="E93" s="505"/>
      <c r="F93" s="505"/>
      <c r="G93" s="510"/>
      <c r="H93" s="511"/>
      <c r="I93" s="511"/>
      <c r="J93" s="511"/>
      <c r="K93" s="511"/>
      <c r="L93" s="512"/>
      <c r="M93" s="513"/>
      <c r="N93" s="2931"/>
      <c r="O93" s="2931"/>
      <c r="P93" s="2956"/>
      <c r="Q93" s="2917"/>
      <c r="R93" s="2903"/>
      <c r="S93" s="2903"/>
      <c r="T93" s="2903"/>
      <c r="U93" s="2903"/>
      <c r="V93" s="2903"/>
      <c r="W93" s="2903"/>
      <c r="X93" s="2903"/>
      <c r="Y93" s="2903"/>
      <c r="Z93" s="2903"/>
      <c r="AA93" s="2903"/>
      <c r="AB93" s="2903"/>
      <c r="AC93" s="2903"/>
      <c r="AD93" s="2903"/>
    </row>
    <row r="94" spans="1:30" ht="15.75" thickBot="1">
      <c r="A94" s="490"/>
      <c r="B94" s="499"/>
      <c r="C94" s="516"/>
      <c r="D94" s="492"/>
      <c r="E94" s="492"/>
      <c r="F94" s="492"/>
      <c r="G94" s="516"/>
      <c r="H94" s="518"/>
      <c r="I94" s="518"/>
      <c r="J94" s="518"/>
      <c r="K94" s="518"/>
      <c r="L94" s="518"/>
      <c r="M94" s="519"/>
      <c r="N94" s="2932"/>
      <c r="O94" s="2932"/>
      <c r="P94" s="2956"/>
      <c r="Q94" s="2917"/>
      <c r="R94" s="2903"/>
      <c r="S94" s="2903"/>
      <c r="T94" s="2903"/>
      <c r="U94" s="2903"/>
      <c r="V94" s="2903"/>
      <c r="W94" s="2903"/>
      <c r="X94" s="2903"/>
      <c r="Y94" s="2903"/>
      <c r="Z94" s="2903"/>
      <c r="AA94" s="2903"/>
      <c r="AB94" s="2903"/>
      <c r="AC94" s="2903"/>
      <c r="AD94" s="2903"/>
    </row>
    <row r="95" spans="1:30" ht="15" thickTop="1">
      <c r="A95" s="555"/>
      <c r="B95" s="591">
        <f>B34</f>
        <v>111</v>
      </c>
      <c r="C95" s="505"/>
      <c r="D95" s="505"/>
      <c r="E95" s="505"/>
      <c r="F95" s="505"/>
      <c r="G95" s="510"/>
      <c r="H95" s="511"/>
      <c r="I95" s="511"/>
      <c r="J95" s="511"/>
      <c r="K95" s="511"/>
      <c r="L95" s="512"/>
      <c r="M95" s="513"/>
      <c r="N95" s="2932"/>
      <c r="O95" s="2932"/>
      <c r="P95" s="2959"/>
      <c r="Q95" s="2946"/>
      <c r="R95" s="2903"/>
      <c r="S95" s="2903"/>
      <c r="T95" s="2903"/>
      <c r="U95" s="2903"/>
      <c r="V95" s="2903"/>
      <c r="W95" s="2903"/>
      <c r="X95" s="2903"/>
      <c r="Y95" s="2903"/>
      <c r="Z95" s="2903"/>
      <c r="AA95" s="2903"/>
      <c r="AB95" s="2903"/>
      <c r="AC95" s="2903"/>
      <c r="AD95" s="2903"/>
    </row>
    <row r="96" spans="1:30" ht="15.75" thickBot="1">
      <c r="A96" s="490"/>
      <c r="B96" s="499"/>
      <c r="C96" s="516"/>
      <c r="D96" s="516"/>
      <c r="E96" s="516"/>
      <c r="F96" s="516"/>
      <c r="G96" s="516"/>
      <c r="H96" s="518"/>
      <c r="I96" s="518"/>
      <c r="J96" s="518"/>
      <c r="K96" s="518"/>
      <c r="L96" s="518"/>
      <c r="M96" s="519"/>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0" t="s">
        <v>2225</v>
      </c>
      <c r="B4" s="361"/>
      <c r="C4" s="3474" t="s">
        <v>2226</v>
      </c>
      <c r="D4" s="3475"/>
      <c r="E4" s="3476" t="s">
        <v>2227</v>
      </c>
      <c r="F4" s="3477"/>
      <c r="G4" s="3474" t="s">
        <v>2228</v>
      </c>
      <c r="H4" s="3475"/>
      <c r="I4" s="3474" t="s">
        <v>2229</v>
      </c>
      <c r="J4" s="3475"/>
      <c r="K4" s="566" t="s">
        <v>2230</v>
      </c>
      <c r="L4" s="2893"/>
      <c r="M4" s="2894"/>
      <c r="N4" s="2894"/>
      <c r="O4" s="2894"/>
      <c r="P4" s="3478" t="s">
        <v>2231</v>
      </c>
      <c r="Q4" s="3479"/>
      <c r="R4" s="3461" t="s">
        <v>2227</v>
      </c>
      <c r="S4" s="3462"/>
      <c r="T4" s="3461" t="s">
        <v>2228</v>
      </c>
      <c r="U4" s="3462"/>
      <c r="V4" s="3486" t="s">
        <v>2229</v>
      </c>
      <c r="W4" s="3486"/>
      <c r="X4" s="1489"/>
      <c r="Y4" s="3461" t="s">
        <v>2231</v>
      </c>
      <c r="Z4" s="3462"/>
      <c r="AA4" s="3456" t="s">
        <v>2227</v>
      </c>
      <c r="AB4" s="3457" t="s">
        <v>2228</v>
      </c>
      <c r="AC4" s="3456" t="s">
        <v>2229</v>
      </c>
    </row>
    <row r="5" spans="1:30" ht="15">
      <c r="A5" s="363"/>
      <c r="B5" s="364"/>
      <c r="C5" s="3467" t="s">
        <v>2122</v>
      </c>
      <c r="D5" s="3468"/>
      <c r="E5" s="3465" t="s">
        <v>2123</v>
      </c>
      <c r="F5" s="3466"/>
      <c r="G5" s="3467" t="s">
        <v>2124</v>
      </c>
      <c r="H5" s="3468"/>
      <c r="I5" s="3467" t="s">
        <v>2125</v>
      </c>
      <c r="J5" s="3468"/>
      <c r="K5" s="566"/>
      <c r="L5" s="2893"/>
      <c r="M5" s="2894"/>
      <c r="N5" s="2894"/>
      <c r="O5" s="2894"/>
      <c r="P5" s="3480"/>
      <c r="Q5" s="3481"/>
      <c r="R5" s="3463"/>
      <c r="S5" s="3464"/>
      <c r="T5" s="3463"/>
      <c r="U5" s="3464"/>
      <c r="V5" s="3486"/>
      <c r="W5" s="3486"/>
      <c r="X5" s="1489"/>
      <c r="Y5" s="3463"/>
      <c r="Z5" s="3464"/>
      <c r="AA5" s="3457"/>
      <c r="AB5" s="3457"/>
      <c r="AC5" s="3457"/>
    </row>
    <row r="6" spans="1:30" ht="15.75" thickBot="1">
      <c r="A6" s="365"/>
      <c r="B6" s="366"/>
      <c r="C6" s="3469" t="s">
        <v>2126</v>
      </c>
      <c r="D6" s="3470"/>
      <c r="E6" s="3471" t="s">
        <v>2126</v>
      </c>
      <c r="F6" s="3472"/>
      <c r="G6" s="3469" t="s">
        <v>2126</v>
      </c>
      <c r="H6" s="3470"/>
      <c r="I6" s="3469" t="s">
        <v>2126</v>
      </c>
      <c r="J6" s="3470"/>
      <c r="K6" s="566" t="s">
        <v>2127</v>
      </c>
      <c r="L6" s="2893"/>
      <c r="M6" s="2894"/>
      <c r="N6" s="2894"/>
      <c r="O6" s="2894"/>
      <c r="P6" s="3482"/>
      <c r="Q6" s="3483"/>
      <c r="R6" s="3463"/>
      <c r="S6" s="3464"/>
      <c r="T6" s="3484"/>
      <c r="U6" s="3485"/>
      <c r="V6" s="3486"/>
      <c r="W6" s="3486"/>
      <c r="X6" s="1489"/>
      <c r="Y6" s="3484"/>
      <c r="Z6" s="3485"/>
      <c r="AA6" s="3458"/>
      <c r="AB6" s="3458"/>
      <c r="AC6" s="3458"/>
    </row>
    <row r="7" spans="1:30" s="112" customFormat="1" ht="15.75" thickBot="1">
      <c r="A7" s="367" t="s">
        <v>2128</v>
      </c>
      <c r="B7" s="368"/>
      <c r="C7" s="369">
        <f>'数据-取费表'!B2</f>
        <v>44698</v>
      </c>
      <c r="D7" s="370">
        <v>100</v>
      </c>
      <c r="E7" s="371"/>
      <c r="F7" s="372">
        <f>SUMIF(69:69,YEAR(E7)&amp;"-"&amp;INT((MONTH(E7)+2)/3),70:70)</f>
        <v>0</v>
      </c>
      <c r="G7" s="2110"/>
      <c r="H7" s="370">
        <f>SUMIF(69:69,YEAR(G7)&amp;"-"&amp;INT((MONTH(G7)+2)/3),70:70)</f>
        <v>0</v>
      </c>
      <c r="I7" s="2110"/>
      <c r="J7" s="370">
        <f>SUMIF(69:69,YEAR(I7)&amp;"-"&amp;INT((MONTH(I7)+2)/3),70:70)</f>
        <v>0</v>
      </c>
      <c r="K7" s="567"/>
      <c r="L7" s="2895"/>
      <c r="M7" s="2896"/>
      <c r="N7" s="2896"/>
      <c r="O7" s="2896"/>
      <c r="P7" s="3459" t="s">
        <v>2129</v>
      </c>
      <c r="Q7" s="3487"/>
      <c r="R7" s="709" t="s">
        <v>17</v>
      </c>
      <c r="S7" s="710">
        <f t="shared" ref="S7:S15" si="0">F7</f>
        <v>0</v>
      </c>
      <c r="T7" s="709" t="s">
        <v>17</v>
      </c>
      <c r="U7" s="710">
        <f t="shared" ref="U7:U15" si="1">H7</f>
        <v>0</v>
      </c>
      <c r="V7" s="709" t="s">
        <v>17</v>
      </c>
      <c r="W7" s="710">
        <f t="shared" ref="W7:W15" si="2">J7</f>
        <v>0</v>
      </c>
      <c r="X7" s="711"/>
      <c r="Y7" s="3459" t="s">
        <v>2129</v>
      </c>
      <c r="Z7" s="3460"/>
      <c r="AA7" s="712" t="e">
        <f>D7/F7</f>
        <v>#DIV/0!</v>
      </c>
      <c r="AB7" s="712" t="e">
        <f>D7/H7</f>
        <v>#DIV/0!</v>
      </c>
      <c r="AC7" s="712" t="e">
        <f>D7/J7</f>
        <v>#DIV/0!</v>
      </c>
    </row>
    <row r="8" spans="1:30" s="112" customFormat="1" ht="15.7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95"/>
      <c r="M8" s="2896"/>
      <c r="N8" s="2896"/>
      <c r="O8" s="2896"/>
      <c r="P8" s="3459" t="s">
        <v>2132</v>
      </c>
      <c r="Q8" s="3460"/>
      <c r="R8" s="709" t="s">
        <v>17</v>
      </c>
      <c r="S8" s="710">
        <f t="shared" si="0"/>
        <v>0</v>
      </c>
      <c r="T8" s="709" t="s">
        <v>17</v>
      </c>
      <c r="U8" s="710">
        <f t="shared" si="1"/>
        <v>0</v>
      </c>
      <c r="V8" s="709" t="s">
        <v>17</v>
      </c>
      <c r="W8" s="710">
        <f t="shared" si="2"/>
        <v>0</v>
      </c>
      <c r="X8" s="711"/>
      <c r="Y8" s="3459" t="s">
        <v>2132</v>
      </c>
      <c r="Z8" s="3460"/>
      <c r="AA8" s="712" t="e">
        <f t="shared" ref="AA8:AA45" si="3">D8/F8</f>
        <v>#DIV/0!</v>
      </c>
      <c r="AB8" s="712" t="e">
        <f t="shared" ref="AB8:AB45" si="4">D8/H8</f>
        <v>#DIV/0!</v>
      </c>
      <c r="AC8" s="712" t="e">
        <f t="shared" ref="AC8:AC45" si="5">D8/J8</f>
        <v>#DIV/0!</v>
      </c>
    </row>
    <row r="9" spans="1:30" s="112" customFormat="1">
      <c r="A9" s="374" t="s">
        <v>2133</v>
      </c>
      <c r="B9" s="66" t="s">
        <v>2134</v>
      </c>
      <c r="C9" s="2113"/>
      <c r="D9" s="130">
        <v>100</v>
      </c>
      <c r="E9" s="2113"/>
      <c r="F9" s="130">
        <f>SUMIF(74:74,E9,75:75)-SUMIF(74:74,C9,75:75)+100</f>
        <v>100</v>
      </c>
      <c r="G9" s="2113"/>
      <c r="H9" s="130">
        <f>SUMIF(74:74,G9,75:75)-SUMIF(74:74,C9,75:75)+100</f>
        <v>100</v>
      </c>
      <c r="I9" s="2113"/>
      <c r="J9" s="130">
        <f>SUMIF(74:74,I9,75:75)-SUMIF(74:74,C9,75:75)+100</f>
        <v>100</v>
      </c>
      <c r="K9" s="567"/>
      <c r="L9" s="2895"/>
      <c r="M9" s="2896"/>
      <c r="N9" s="2896"/>
      <c r="O9" s="2950"/>
      <c r="P9" s="3473" t="s">
        <v>2135</v>
      </c>
      <c r="Q9" s="1477" t="str">
        <f t="shared" ref="Q9:Q15" si="6">B9</f>
        <v>用途</v>
      </c>
      <c r="R9" s="709" t="s">
        <v>17</v>
      </c>
      <c r="S9" s="710">
        <f t="shared" si="0"/>
        <v>100</v>
      </c>
      <c r="T9" s="709" t="s">
        <v>17</v>
      </c>
      <c r="U9" s="710">
        <f t="shared" si="1"/>
        <v>100</v>
      </c>
      <c r="V9" s="709" t="s">
        <v>17</v>
      </c>
      <c r="W9" s="710">
        <f t="shared" si="2"/>
        <v>100</v>
      </c>
      <c r="X9" s="711"/>
      <c r="Y9" s="3424" t="s">
        <v>2136</v>
      </c>
      <c r="Z9" s="55" t="str">
        <f t="shared" ref="Z9:Z15" si="7">Q9</f>
        <v>用途</v>
      </c>
      <c r="AA9" s="712">
        <f t="shared" si="3"/>
        <v>1</v>
      </c>
      <c r="AB9" s="712">
        <f t="shared" si="4"/>
        <v>1</v>
      </c>
      <c r="AC9" s="712">
        <f t="shared" si="5"/>
        <v>1</v>
      </c>
    </row>
    <row r="10" spans="1:30" s="385" customFormat="1" ht="27">
      <c r="A10" s="379"/>
      <c r="B10" s="380" t="s">
        <v>2137</v>
      </c>
      <c r="C10" s="390"/>
      <c r="D10" s="131">
        <v>100</v>
      </c>
      <c r="E10" s="423"/>
      <c r="F10" s="131">
        <f>ROUND(100/'数据-取费表'!G16,0)</f>
        <v>118</v>
      </c>
      <c r="G10" s="421"/>
      <c r="H10" s="131">
        <f>ROUND(100/'数据-取费表'!G16,0)</f>
        <v>118</v>
      </c>
      <c r="I10" s="421"/>
      <c r="J10" s="131">
        <f>ROUND(100/'数据-取费表'!G16,0)</f>
        <v>118</v>
      </c>
      <c r="K10" s="627"/>
      <c r="L10" s="2897"/>
      <c r="M10" s="2898"/>
      <c r="N10" s="2898"/>
      <c r="O10" s="2951"/>
      <c r="P10" s="3473"/>
      <c r="Q10" s="1477" t="str">
        <f t="shared" si="6"/>
        <v>土地使用年限（年）</v>
      </c>
      <c r="R10" s="709" t="s">
        <v>17</v>
      </c>
      <c r="S10" s="710">
        <f t="shared" si="0"/>
        <v>118</v>
      </c>
      <c r="T10" s="709" t="s">
        <v>17</v>
      </c>
      <c r="U10" s="710">
        <f t="shared" si="1"/>
        <v>118</v>
      </c>
      <c r="V10" s="709" t="s">
        <v>17</v>
      </c>
      <c r="W10" s="710">
        <f t="shared" si="2"/>
        <v>118</v>
      </c>
      <c r="X10" s="711"/>
      <c r="Y10" s="3424"/>
      <c r="Z10" s="55" t="str">
        <f t="shared" si="7"/>
        <v>土地使用年限（年）</v>
      </c>
      <c r="AA10" s="712">
        <f t="shared" si="3"/>
        <v>0.84745762711864403</v>
      </c>
      <c r="AB10" s="712">
        <f t="shared" si="4"/>
        <v>0.84745762711864403</v>
      </c>
      <c r="AC10" s="712">
        <f t="shared" si="5"/>
        <v>0.84745762711864403</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9"/>
      <c r="M11" s="2894"/>
      <c r="N11" s="2894"/>
      <c r="O11" s="2952"/>
      <c r="P11" s="3473"/>
      <c r="Q11" s="1477" t="str">
        <f t="shared" si="6"/>
        <v>容积率</v>
      </c>
      <c r="R11" s="709" t="s">
        <v>17</v>
      </c>
      <c r="S11" s="710" t="e">
        <f t="shared" si="0"/>
        <v>#N/A</v>
      </c>
      <c r="T11" s="709" t="s">
        <v>17</v>
      </c>
      <c r="U11" s="710" t="e">
        <f t="shared" si="1"/>
        <v>#N/A</v>
      </c>
      <c r="V11" s="709" t="s">
        <v>17</v>
      </c>
      <c r="W11" s="710" t="e">
        <f t="shared" si="2"/>
        <v>#N/A</v>
      </c>
      <c r="X11" s="711"/>
      <c r="Y11" s="3424"/>
      <c r="Z11" s="55" t="str">
        <f t="shared" si="7"/>
        <v>容积率</v>
      </c>
      <c r="AA11" s="712" t="e">
        <f t="shared" si="3"/>
        <v>#N/A</v>
      </c>
      <c r="AB11" s="712" t="e">
        <f t="shared" si="4"/>
        <v>#N/A</v>
      </c>
      <c r="AC11" s="712" t="e">
        <f t="shared" si="5"/>
        <v>#N/A</v>
      </c>
    </row>
    <row r="12" spans="1:30" s="112" customFormat="1" ht="15">
      <c r="A12" s="389"/>
      <c r="B12" s="2029" t="s">
        <v>2327</v>
      </c>
      <c r="C12" s="390"/>
      <c r="D12" s="391">
        <v>100</v>
      </c>
      <c r="E12" s="423"/>
      <c r="F12" s="131">
        <f>SUMIF(81:81,E12,82:82)-SUMIF(81:81,C12,82:82)+100</f>
        <v>100</v>
      </c>
      <c r="G12" s="421"/>
      <c r="H12" s="131">
        <f>SUMIF(81:81,G12,82:82)-SUMIF(81:81,C12,82:82)+100</f>
        <v>100</v>
      </c>
      <c r="I12" s="423"/>
      <c r="J12" s="131">
        <f>SUMIF(81:81,I12,82:82)-SUMIF(81:81,C12,82:82)+100</f>
        <v>100</v>
      </c>
      <c r="K12" s="627"/>
      <c r="L12" s="2895"/>
      <c r="M12" s="2896"/>
      <c r="N12" s="2896"/>
      <c r="O12" s="2950"/>
      <c r="P12" s="3473"/>
      <c r="Q12" s="1477" t="str">
        <f t="shared" si="6"/>
        <v>配建</v>
      </c>
      <c r="R12" s="709" t="s">
        <v>17</v>
      </c>
      <c r="S12" s="710">
        <f t="shared" si="0"/>
        <v>100</v>
      </c>
      <c r="T12" s="709" t="s">
        <v>17</v>
      </c>
      <c r="U12" s="710">
        <f t="shared" si="1"/>
        <v>100</v>
      </c>
      <c r="V12" s="709" t="s">
        <v>17</v>
      </c>
      <c r="W12" s="710">
        <f t="shared" si="2"/>
        <v>100</v>
      </c>
      <c r="X12" s="711"/>
      <c r="Y12" s="3424"/>
      <c r="Z12" s="55"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900"/>
      <c r="M13" s="2894"/>
      <c r="N13" s="2894"/>
      <c r="O13" s="2952"/>
      <c r="P13" s="3473"/>
      <c r="Q13" s="1477">
        <f t="shared" si="6"/>
        <v>111</v>
      </c>
      <c r="R13" s="709" t="s">
        <v>17</v>
      </c>
      <c r="S13" s="710">
        <f t="shared" si="0"/>
        <v>100</v>
      </c>
      <c r="T13" s="709" t="s">
        <v>17</v>
      </c>
      <c r="U13" s="710">
        <f t="shared" si="1"/>
        <v>100</v>
      </c>
      <c r="V13" s="709" t="s">
        <v>17</v>
      </c>
      <c r="W13" s="710">
        <f t="shared" si="2"/>
        <v>100</v>
      </c>
      <c r="X13" s="711"/>
      <c r="Y13" s="3424"/>
      <c r="Z13" s="55">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900"/>
      <c r="M14" s="2894"/>
      <c r="N14" s="2894"/>
      <c r="O14" s="2952"/>
      <c r="P14" s="3473"/>
      <c r="Q14" s="1477">
        <f t="shared" si="6"/>
        <v>111</v>
      </c>
      <c r="R14" s="709" t="s">
        <v>17</v>
      </c>
      <c r="S14" s="710">
        <f t="shared" si="0"/>
        <v>100</v>
      </c>
      <c r="T14" s="709" t="s">
        <v>17</v>
      </c>
      <c r="U14" s="710">
        <f t="shared" si="1"/>
        <v>100</v>
      </c>
      <c r="V14" s="709" t="s">
        <v>17</v>
      </c>
      <c r="W14" s="710">
        <f t="shared" si="2"/>
        <v>100</v>
      </c>
      <c r="X14" s="711"/>
      <c r="Y14" s="3424"/>
      <c r="Z14" s="55">
        <f t="shared" si="7"/>
        <v>111</v>
      </c>
      <c r="AA14" s="712">
        <f>D14/F14</f>
        <v>1</v>
      </c>
      <c r="AB14" s="712">
        <f>D14/H14</f>
        <v>1</v>
      </c>
      <c r="AC14" s="712">
        <f>D14/J14</f>
        <v>1</v>
      </c>
    </row>
    <row r="15" spans="1:30" ht="99.75">
      <c r="A15" s="398" t="s">
        <v>2139</v>
      </c>
      <c r="B15" s="64" t="s">
        <v>1702</v>
      </c>
      <c r="C15" s="2032"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900"/>
      <c r="M15" s="2894"/>
      <c r="N15" s="2894"/>
      <c r="O15" s="2952"/>
      <c r="P15" s="3488" t="s">
        <v>2140</v>
      </c>
      <c r="Q15" s="1486" t="str">
        <f t="shared" si="6"/>
        <v>居住社区成熟度</v>
      </c>
      <c r="R15" s="713" t="s">
        <v>17</v>
      </c>
      <c r="S15" s="714">
        <f t="shared" si="0"/>
        <v>100</v>
      </c>
      <c r="T15" s="713" t="s">
        <v>17</v>
      </c>
      <c r="U15" s="714">
        <f t="shared" si="1"/>
        <v>100</v>
      </c>
      <c r="V15" s="713" t="s">
        <v>17</v>
      </c>
      <c r="W15" s="714">
        <f t="shared" si="2"/>
        <v>100</v>
      </c>
      <c r="X15" s="1489"/>
      <c r="Y15" s="3488" t="s">
        <v>2140</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900"/>
      <c r="M16" s="2894"/>
      <c r="N16" s="2894"/>
      <c r="O16" s="2952"/>
      <c r="P16" s="3489"/>
      <c r="Q16" s="1486"/>
      <c r="R16" s="713"/>
      <c r="S16" s="714"/>
      <c r="T16" s="713"/>
      <c r="U16" s="714"/>
      <c r="V16" s="713"/>
      <c r="W16" s="714"/>
      <c r="X16" s="1489"/>
      <c r="Y16" s="3489"/>
      <c r="Z16" s="1490"/>
      <c r="AA16" s="1487">
        <v>1</v>
      </c>
      <c r="AB16" s="1487">
        <v>1</v>
      </c>
      <c r="AC16" s="1487">
        <v>1</v>
      </c>
    </row>
    <row r="17" spans="1:29" ht="71.25">
      <c r="A17" s="386"/>
      <c r="B17" s="409" t="s">
        <v>2233</v>
      </c>
      <c r="C17" s="2091"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900"/>
      <c r="M17" s="2894"/>
      <c r="N17" s="2894"/>
      <c r="O17" s="2952"/>
      <c r="P17" s="3489"/>
      <c r="Q17" s="1486" t="str">
        <f>B17</f>
        <v>商业繁华度</v>
      </c>
      <c r="R17" s="713" t="s">
        <v>17</v>
      </c>
      <c r="S17" s="714">
        <f>F17</f>
        <v>100</v>
      </c>
      <c r="T17" s="713" t="s">
        <v>17</v>
      </c>
      <c r="U17" s="714">
        <f>H17</f>
        <v>100</v>
      </c>
      <c r="V17" s="713" t="s">
        <v>17</v>
      </c>
      <c r="W17" s="714">
        <f>J17</f>
        <v>100</v>
      </c>
      <c r="X17" s="1489"/>
      <c r="Y17" s="3489"/>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900"/>
      <c r="M18" s="2894"/>
      <c r="N18" s="2894"/>
      <c r="O18" s="2952"/>
      <c r="P18" s="3489"/>
      <c r="Q18" s="1486"/>
      <c r="R18" s="713"/>
      <c r="S18" s="714"/>
      <c r="T18" s="713"/>
      <c r="U18" s="714"/>
      <c r="V18" s="713"/>
      <c r="W18" s="714"/>
      <c r="X18" s="1489"/>
      <c r="Y18" s="3489"/>
      <c r="Z18" s="1490"/>
      <c r="AA18" s="1487">
        <v>1</v>
      </c>
      <c r="AB18" s="1487">
        <v>1</v>
      </c>
      <c r="AC18" s="1487">
        <v>1</v>
      </c>
    </row>
    <row r="19" spans="1:29" ht="71.25">
      <c r="A19" s="386"/>
      <c r="B19" s="409" t="s">
        <v>2267</v>
      </c>
      <c r="C19" s="2091"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900"/>
      <c r="M19" s="2894"/>
      <c r="N19" s="2894"/>
      <c r="O19" s="2952"/>
      <c r="P19" s="3489"/>
      <c r="Q19" s="1486" t="str">
        <f>B19</f>
        <v>办公集聚程度</v>
      </c>
      <c r="R19" s="713" t="s">
        <v>17</v>
      </c>
      <c r="S19" s="714">
        <f>F19</f>
        <v>100</v>
      </c>
      <c r="T19" s="713" t="s">
        <v>17</v>
      </c>
      <c r="U19" s="714">
        <f>H19</f>
        <v>100</v>
      </c>
      <c r="V19" s="713" t="s">
        <v>17</v>
      </c>
      <c r="W19" s="714">
        <f>J19</f>
        <v>100</v>
      </c>
      <c r="X19" s="1489"/>
      <c r="Y19" s="3489"/>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900"/>
      <c r="M20" s="2894"/>
      <c r="N20" s="2894"/>
      <c r="O20" s="2952"/>
      <c r="P20" s="3489"/>
      <c r="Q20" s="1486"/>
      <c r="R20" s="713"/>
      <c r="S20" s="714"/>
      <c r="T20" s="713"/>
      <c r="U20" s="714"/>
      <c r="V20" s="713"/>
      <c r="W20" s="714"/>
      <c r="X20" s="1489"/>
      <c r="Y20" s="3489"/>
      <c r="Z20" s="1490"/>
      <c r="AA20" s="1487">
        <v>1</v>
      </c>
      <c r="AB20" s="1487">
        <v>1</v>
      </c>
      <c r="AC20" s="1487">
        <v>1</v>
      </c>
    </row>
    <row r="21" spans="1:29" ht="85.5">
      <c r="A21" s="386"/>
      <c r="B21" s="409" t="s">
        <v>2289</v>
      </c>
      <c r="C21" s="2036"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900"/>
      <c r="M21" s="2894"/>
      <c r="N21" s="2894"/>
      <c r="O21" s="2952"/>
      <c r="P21" s="3489"/>
      <c r="Q21" s="1486" t="str">
        <f>B21</f>
        <v>交通便捷度</v>
      </c>
      <c r="R21" s="713" t="s">
        <v>17</v>
      </c>
      <c r="S21" s="714">
        <f>F21</f>
        <v>100</v>
      </c>
      <c r="T21" s="713" t="s">
        <v>17</v>
      </c>
      <c r="U21" s="714">
        <f>H21</f>
        <v>100</v>
      </c>
      <c r="V21" s="713" t="s">
        <v>17</v>
      </c>
      <c r="W21" s="714">
        <f>J21</f>
        <v>100</v>
      </c>
      <c r="X21" s="1489"/>
      <c r="Y21" s="3489"/>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900"/>
      <c r="M22" s="2894"/>
      <c r="N22" s="2894"/>
      <c r="O22" s="2952"/>
      <c r="P22" s="3489"/>
      <c r="Q22" s="1486"/>
      <c r="R22" s="713"/>
      <c r="S22" s="714"/>
      <c r="T22" s="713"/>
      <c r="U22" s="714"/>
      <c r="V22" s="713"/>
      <c r="W22" s="714"/>
      <c r="X22" s="1489"/>
      <c r="Y22" s="3489"/>
      <c r="Z22" s="1490"/>
      <c r="AA22" s="1487">
        <v>1</v>
      </c>
      <c r="AB22" s="1487">
        <v>1</v>
      </c>
      <c r="AC22" s="1487">
        <v>1</v>
      </c>
    </row>
    <row r="23" spans="1:29" ht="15">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900"/>
      <c r="M23" s="2894"/>
      <c r="N23" s="2894"/>
      <c r="O23" s="2952"/>
      <c r="P23" s="3489"/>
      <c r="Q23" s="1486" t="str">
        <f t="shared" ref="Q23:Q37" si="8">B23</f>
        <v>区域土地利用方向</v>
      </c>
      <c r="R23" s="713" t="s">
        <v>17</v>
      </c>
      <c r="S23" s="714">
        <f>F23</f>
        <v>100</v>
      </c>
      <c r="T23" s="713" t="s">
        <v>17</v>
      </c>
      <c r="U23" s="714">
        <f>H23</f>
        <v>100</v>
      </c>
      <c r="V23" s="713" t="s">
        <v>17</v>
      </c>
      <c r="W23" s="714">
        <f>J23</f>
        <v>100</v>
      </c>
      <c r="X23" s="1489"/>
      <c r="Y23" s="3489"/>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900"/>
      <c r="M24" s="2894"/>
      <c r="N24" s="2894"/>
      <c r="O24" s="2952"/>
      <c r="P24" s="3489"/>
      <c r="Q24" s="1486"/>
      <c r="R24" s="713"/>
      <c r="S24" s="714"/>
      <c r="T24" s="713"/>
      <c r="U24" s="714"/>
      <c r="V24" s="713"/>
      <c r="W24" s="714"/>
      <c r="X24" s="1489"/>
      <c r="Y24" s="3489"/>
      <c r="Z24" s="1490"/>
      <c r="AA24" s="1487"/>
      <c r="AB24" s="1487"/>
      <c r="AC24" s="1487"/>
    </row>
    <row r="25" spans="1:29" ht="57">
      <c r="A25" s="363"/>
      <c r="B25" s="1245" t="s">
        <v>2329</v>
      </c>
      <c r="C25" s="2091"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900"/>
      <c r="M25" s="2894"/>
      <c r="N25" s="2894"/>
      <c r="O25" s="2952"/>
      <c r="P25" s="3489"/>
      <c r="Q25" s="1486" t="str">
        <f t="shared" si="8"/>
        <v>自然及人文环境状况</v>
      </c>
      <c r="R25" s="713" t="s">
        <v>17</v>
      </c>
      <c r="S25" s="714">
        <f>F25</f>
        <v>100</v>
      </c>
      <c r="T25" s="713" t="s">
        <v>17</v>
      </c>
      <c r="U25" s="714">
        <f>H25</f>
        <v>100</v>
      </c>
      <c r="V25" s="713" t="s">
        <v>17</v>
      </c>
      <c r="W25" s="714">
        <f>J25</f>
        <v>100</v>
      </c>
      <c r="X25" s="1489"/>
      <c r="Y25" s="3489"/>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900"/>
      <c r="M26" s="2894"/>
      <c r="N26" s="2894"/>
      <c r="O26" s="2952"/>
      <c r="P26" s="3489"/>
      <c r="Q26" s="1486"/>
      <c r="R26" s="713"/>
      <c r="S26" s="714"/>
      <c r="T26" s="713"/>
      <c r="U26" s="714"/>
      <c r="V26" s="713"/>
      <c r="W26" s="714"/>
      <c r="X26" s="1489"/>
      <c r="Y26" s="3489"/>
      <c r="Z26" s="1490"/>
      <c r="AA26" s="1487">
        <v>1</v>
      </c>
      <c r="AB26" s="1487">
        <v>1</v>
      </c>
      <c r="AC26" s="1487">
        <v>1</v>
      </c>
    </row>
    <row r="27" spans="1:29" s="112" customFormat="1" ht="42.75">
      <c r="A27" s="604"/>
      <c r="B27" s="1245" t="s">
        <v>2234</v>
      </c>
      <c r="C27" s="2036"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5"/>
      <c r="M27" s="2896"/>
      <c r="N27" s="2896"/>
      <c r="O27" s="2950"/>
      <c r="P27" s="3489"/>
      <c r="Q27" s="1477" t="str">
        <f t="shared" si="8"/>
        <v>公共配套设施</v>
      </c>
      <c r="R27" s="709" t="s">
        <v>17</v>
      </c>
      <c r="S27" s="710">
        <f>F27</f>
        <v>100</v>
      </c>
      <c r="T27" s="709" t="s">
        <v>17</v>
      </c>
      <c r="U27" s="710">
        <f>H27</f>
        <v>100</v>
      </c>
      <c r="V27" s="709" t="s">
        <v>17</v>
      </c>
      <c r="W27" s="710">
        <f>J27</f>
        <v>100</v>
      </c>
      <c r="X27" s="711"/>
      <c r="Y27" s="3489"/>
      <c r="Z27" s="55" t="str">
        <f>Q27</f>
        <v>公共配套设施</v>
      </c>
      <c r="AA27" s="1487">
        <f>D27/F27</f>
        <v>1</v>
      </c>
      <c r="AB27" s="1487">
        <f>D27/H27</f>
        <v>1</v>
      </c>
      <c r="AC27" s="1487">
        <f>D27/J27</f>
        <v>1</v>
      </c>
    </row>
    <row r="28" spans="1:29" s="112" customFormat="1" ht="15">
      <c r="A28" s="604"/>
      <c r="B28" s="414"/>
      <c r="C28" s="2114"/>
      <c r="D28" s="406"/>
      <c r="E28" s="2040"/>
      <c r="F28" s="406"/>
      <c r="G28" s="2040"/>
      <c r="H28" s="406"/>
      <c r="I28" s="405"/>
      <c r="J28" s="406"/>
      <c r="K28" s="627"/>
      <c r="L28" s="2895"/>
      <c r="M28" s="2896"/>
      <c r="N28" s="2896"/>
      <c r="O28" s="2950"/>
      <c r="P28" s="3489"/>
      <c r="Q28" s="1477"/>
      <c r="R28" s="709"/>
      <c r="S28" s="710"/>
      <c r="T28" s="709"/>
      <c r="U28" s="710"/>
      <c r="V28" s="709"/>
      <c r="W28" s="710"/>
      <c r="X28" s="711"/>
      <c r="Y28" s="3489"/>
      <c r="Z28" s="55"/>
      <c r="AA28" s="1487">
        <v>1</v>
      </c>
      <c r="AB28" s="1487">
        <v>1</v>
      </c>
      <c r="AC28" s="1487">
        <v>1</v>
      </c>
    </row>
    <row r="29" spans="1:29" s="112" customFormat="1" ht="28.5">
      <c r="A29" s="604"/>
      <c r="B29" s="1245" t="s">
        <v>2235</v>
      </c>
      <c r="C29" s="2036"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5"/>
      <c r="M29" s="2896"/>
      <c r="N29" s="2896"/>
      <c r="O29" s="2950"/>
      <c r="P29" s="3489"/>
      <c r="Q29" s="1477" t="str">
        <f t="shared" ref="Q29" si="9">B29</f>
        <v>基础设施水平</v>
      </c>
      <c r="R29" s="709" t="s">
        <v>17</v>
      </c>
      <c r="S29" s="710">
        <f>F29</f>
        <v>100</v>
      </c>
      <c r="T29" s="709" t="s">
        <v>17</v>
      </c>
      <c r="U29" s="710">
        <f>H29</f>
        <v>100</v>
      </c>
      <c r="V29" s="709" t="s">
        <v>17</v>
      </c>
      <c r="W29" s="710">
        <f>J29</f>
        <v>100</v>
      </c>
      <c r="X29" s="711"/>
      <c r="Y29" s="3489"/>
      <c r="Z29" s="55" t="str">
        <f>Q29</f>
        <v>基础设施水平</v>
      </c>
      <c r="AA29" s="1487">
        <f>D29/F29</f>
        <v>1</v>
      </c>
      <c r="AB29" s="1487">
        <f>D29/H29</f>
        <v>1</v>
      </c>
      <c r="AC29" s="1487">
        <f>D29/J29</f>
        <v>1</v>
      </c>
    </row>
    <row r="30" spans="1:29" s="112" customFormat="1" ht="15">
      <c r="A30" s="604"/>
      <c r="B30" s="414"/>
      <c r="C30" s="2114"/>
      <c r="D30" s="406"/>
      <c r="E30" s="2115"/>
      <c r="F30" s="406"/>
      <c r="G30" s="2115"/>
      <c r="H30" s="406"/>
      <c r="I30" s="2115"/>
      <c r="J30" s="406"/>
      <c r="K30" s="627"/>
      <c r="L30" s="2895"/>
      <c r="M30" s="2896"/>
      <c r="N30" s="2896"/>
      <c r="O30" s="2950"/>
      <c r="P30" s="3489"/>
      <c r="Q30" s="1477"/>
      <c r="R30" s="709"/>
      <c r="S30" s="710"/>
      <c r="T30" s="709"/>
      <c r="U30" s="710"/>
      <c r="V30" s="709"/>
      <c r="W30" s="710"/>
      <c r="X30" s="711"/>
      <c r="Y30" s="3489"/>
      <c r="Z30" s="55"/>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900"/>
      <c r="M31" s="2894"/>
      <c r="N31" s="2894"/>
      <c r="O31" s="2952"/>
      <c r="P31" s="3489"/>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89"/>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900"/>
      <c r="M32" s="2894"/>
      <c r="N32" s="2894"/>
      <c r="O32" s="2952"/>
      <c r="P32" s="3489"/>
      <c r="Q32" s="1486" t="str">
        <f t="shared" si="8"/>
        <v>毗邻道路的类型与等级</v>
      </c>
      <c r="R32" s="713" t="s">
        <v>17</v>
      </c>
      <c r="S32" s="714">
        <f t="shared" si="10"/>
        <v>100</v>
      </c>
      <c r="T32" s="713" t="s">
        <v>17</v>
      </c>
      <c r="U32" s="714">
        <f t="shared" si="11"/>
        <v>100</v>
      </c>
      <c r="V32" s="713" t="s">
        <v>17</v>
      </c>
      <c r="W32" s="714">
        <f t="shared" si="12"/>
        <v>100</v>
      </c>
      <c r="X32" s="1489"/>
      <c r="Y32" s="3489"/>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900"/>
      <c r="M33" s="2894"/>
      <c r="N33" s="2894"/>
      <c r="O33" s="2952"/>
      <c r="P33" s="3489"/>
      <c r="Q33" s="1486"/>
      <c r="R33" s="713"/>
      <c r="S33" s="714"/>
      <c r="T33" s="713"/>
      <c r="U33" s="714"/>
      <c r="V33" s="713"/>
      <c r="W33" s="714"/>
      <c r="X33" s="1489"/>
      <c r="Y33" s="3489"/>
      <c r="Z33" s="1490"/>
      <c r="AA33" s="1487">
        <v>1</v>
      </c>
      <c r="AB33" s="1487">
        <v>1</v>
      </c>
      <c r="AC33" s="1487">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900"/>
      <c r="M34" s="2894"/>
      <c r="N34" s="2894"/>
      <c r="O34" s="2952"/>
      <c r="P34" s="3489"/>
      <c r="Q34" s="1486" t="str">
        <f t="shared" si="8"/>
        <v>土地级别</v>
      </c>
      <c r="R34" s="713" t="s">
        <v>17</v>
      </c>
      <c r="S34" s="714">
        <f t="shared" si="10"/>
        <v>100</v>
      </c>
      <c r="T34" s="713" t="s">
        <v>17</v>
      </c>
      <c r="U34" s="714">
        <f t="shared" si="11"/>
        <v>100</v>
      </c>
      <c r="V34" s="713" t="s">
        <v>17</v>
      </c>
      <c r="W34" s="714">
        <f t="shared" si="12"/>
        <v>100</v>
      </c>
      <c r="X34" s="1489"/>
      <c r="Y34" s="3489"/>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900"/>
      <c r="M35" s="2894"/>
      <c r="N35" s="2894"/>
      <c r="O35" s="2952"/>
      <c r="P35" s="3489"/>
      <c r="Q35" s="1486">
        <f t="shared" si="8"/>
        <v>111</v>
      </c>
      <c r="R35" s="713" t="s">
        <v>17</v>
      </c>
      <c r="S35" s="714">
        <f t="shared" si="10"/>
        <v>100</v>
      </c>
      <c r="T35" s="713" t="s">
        <v>17</v>
      </c>
      <c r="U35" s="714">
        <f t="shared" si="11"/>
        <v>100</v>
      </c>
      <c r="V35" s="713" t="s">
        <v>17</v>
      </c>
      <c r="W35" s="714">
        <f t="shared" si="12"/>
        <v>100</v>
      </c>
      <c r="X35" s="1489"/>
      <c r="Y35" s="3489"/>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900"/>
      <c r="M36" s="2894"/>
      <c r="N36" s="2894"/>
      <c r="O36" s="2952"/>
      <c r="P36" s="3490" t="s">
        <v>2145</v>
      </c>
      <c r="Q36" s="1486">
        <f t="shared" si="8"/>
        <v>111</v>
      </c>
      <c r="R36" s="713" t="s">
        <v>17</v>
      </c>
      <c r="S36" s="714">
        <f t="shared" si="10"/>
        <v>100</v>
      </c>
      <c r="T36" s="713" t="s">
        <v>17</v>
      </c>
      <c r="U36" s="714">
        <f t="shared" si="11"/>
        <v>100</v>
      </c>
      <c r="V36" s="713" t="s">
        <v>17</v>
      </c>
      <c r="W36" s="714">
        <f t="shared" si="12"/>
        <v>100</v>
      </c>
      <c r="X36" s="1489"/>
      <c r="Y36" s="3491" t="s">
        <v>2145</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9"/>
      <c r="M37" s="2901"/>
      <c r="N37" s="2901"/>
      <c r="O37" s="2953"/>
      <c r="P37" s="3491"/>
      <c r="Q37" s="1486">
        <f t="shared" si="8"/>
        <v>111</v>
      </c>
      <c r="R37" s="716" t="s">
        <v>17</v>
      </c>
      <c r="S37" s="717">
        <f t="shared" si="10"/>
        <v>100</v>
      </c>
      <c r="T37" s="716" t="s">
        <v>17</v>
      </c>
      <c r="U37" s="717">
        <f t="shared" si="11"/>
        <v>100</v>
      </c>
      <c r="V37" s="716" t="s">
        <v>17</v>
      </c>
      <c r="W37" s="717">
        <f t="shared" si="12"/>
        <v>100</v>
      </c>
      <c r="X37" s="718"/>
      <c r="Y37" s="3491"/>
      <c r="Z37" s="719">
        <f t="shared" si="13"/>
        <v>111</v>
      </c>
      <c r="AA37" s="1487">
        <f t="shared" si="3"/>
        <v>1</v>
      </c>
      <c r="AB37" s="1487">
        <f t="shared" si="4"/>
        <v>1</v>
      </c>
      <c r="AC37" s="1487">
        <f t="shared" si="5"/>
        <v>1</v>
      </c>
    </row>
    <row r="38" spans="1:29" ht="15">
      <c r="A38" s="430" t="s">
        <v>2143</v>
      </c>
      <c r="B38" s="414" t="s">
        <v>2331</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900"/>
      <c r="M38" s="2894"/>
      <c r="N38" s="2894"/>
      <c r="O38" s="2952"/>
      <c r="P38" s="3491"/>
      <c r="Q38" s="1486" t="str">
        <f>B38</f>
        <v>宗地面积</v>
      </c>
      <c r="R38" s="713" t="s">
        <v>17</v>
      </c>
      <c r="S38" s="714" t="e">
        <f t="shared" si="10"/>
        <v>#N/A</v>
      </c>
      <c r="T38" s="713" t="s">
        <v>17</v>
      </c>
      <c r="U38" s="714" t="e">
        <f t="shared" si="11"/>
        <v>#N/A</v>
      </c>
      <c r="V38" s="713" t="s">
        <v>17</v>
      </c>
      <c r="W38" s="714" t="e">
        <f t="shared" si="12"/>
        <v>#N/A</v>
      </c>
      <c r="X38" s="1489"/>
      <c r="Y38" s="3491"/>
      <c r="Z38" s="1490" t="str">
        <f t="shared" si="13"/>
        <v>宗地面积</v>
      </c>
      <c r="AA38" s="1487" t="e">
        <f t="shared" si="3"/>
        <v>#N/A</v>
      </c>
      <c r="AB38" s="1487" t="e">
        <f t="shared" si="4"/>
        <v>#N/A</v>
      </c>
      <c r="AC38" s="1487" t="e">
        <f t="shared" si="5"/>
        <v>#N/A</v>
      </c>
    </row>
    <row r="39" spans="1:29" ht="15">
      <c r="A39" s="430"/>
      <c r="B39" s="380" t="s">
        <v>2332</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900"/>
      <c r="M39" s="2894"/>
      <c r="N39" s="2894"/>
      <c r="O39" s="2952"/>
      <c r="P39" s="3491"/>
      <c r="Q39" s="1486" t="str">
        <f t="shared" ref="Q39:Q45" si="14">B39</f>
        <v>宗地形状</v>
      </c>
      <c r="R39" s="713" t="s">
        <v>17</v>
      </c>
      <c r="S39" s="714">
        <f t="shared" si="10"/>
        <v>100</v>
      </c>
      <c r="T39" s="713" t="s">
        <v>17</v>
      </c>
      <c r="U39" s="714">
        <f t="shared" si="11"/>
        <v>100</v>
      </c>
      <c r="V39" s="713" t="s">
        <v>17</v>
      </c>
      <c r="W39" s="714">
        <f t="shared" si="12"/>
        <v>100</v>
      </c>
      <c r="X39" s="1489"/>
      <c r="Y39" s="3491"/>
      <c r="Z39" s="1490" t="str">
        <f t="shared" si="13"/>
        <v>宗地形状</v>
      </c>
      <c r="AA39" s="1487">
        <f t="shared" si="3"/>
        <v>1</v>
      </c>
      <c r="AB39" s="1487">
        <f t="shared" si="4"/>
        <v>1</v>
      </c>
      <c r="AC39" s="1487">
        <f t="shared" si="5"/>
        <v>1</v>
      </c>
    </row>
    <row r="40" spans="1:29" ht="15">
      <c r="A40" s="430"/>
      <c r="B40" s="380" t="s">
        <v>2333</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900"/>
      <c r="M40" s="2894"/>
      <c r="N40" s="2894"/>
      <c r="O40" s="2952"/>
      <c r="P40" s="3491"/>
      <c r="Q40" s="1486" t="str">
        <f t="shared" si="14"/>
        <v>临街宽度及深度</v>
      </c>
      <c r="R40" s="713" t="s">
        <v>17</v>
      </c>
      <c r="S40" s="714">
        <f t="shared" si="10"/>
        <v>100</v>
      </c>
      <c r="T40" s="713" t="s">
        <v>17</v>
      </c>
      <c r="U40" s="714">
        <f t="shared" si="11"/>
        <v>100</v>
      </c>
      <c r="V40" s="713" t="s">
        <v>17</v>
      </c>
      <c r="W40" s="714">
        <f t="shared" si="12"/>
        <v>100</v>
      </c>
      <c r="X40" s="1489"/>
      <c r="Y40" s="3491"/>
      <c r="Z40" s="1490" t="str">
        <f t="shared" si="13"/>
        <v>临街宽度及深度</v>
      </c>
      <c r="AA40" s="1487">
        <f t="shared" si="3"/>
        <v>1</v>
      </c>
      <c r="AB40" s="1487">
        <f t="shared" si="4"/>
        <v>1</v>
      </c>
      <c r="AC40" s="1487">
        <f t="shared" si="5"/>
        <v>1</v>
      </c>
    </row>
    <row r="41" spans="1:29" s="112" customFormat="1" ht="15">
      <c r="A41" s="431"/>
      <c r="B41" s="380" t="s">
        <v>2334</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5"/>
      <c r="M41" s="2896"/>
      <c r="N41" s="2896"/>
      <c r="O41" s="2950"/>
      <c r="P41" s="3491"/>
      <c r="Q41" s="1486" t="str">
        <f t="shared" si="14"/>
        <v>宗地开发程度</v>
      </c>
      <c r="R41" s="709" t="s">
        <v>17</v>
      </c>
      <c r="S41" s="710">
        <f t="shared" si="10"/>
        <v>100</v>
      </c>
      <c r="T41" s="709" t="s">
        <v>17</v>
      </c>
      <c r="U41" s="710">
        <f t="shared" si="11"/>
        <v>100</v>
      </c>
      <c r="V41" s="709" t="s">
        <v>17</v>
      </c>
      <c r="W41" s="710">
        <f t="shared" si="12"/>
        <v>100</v>
      </c>
      <c r="X41" s="711"/>
      <c r="Y41" s="3491"/>
      <c r="Z41" s="55" t="str">
        <f t="shared" si="13"/>
        <v>宗地开发程度</v>
      </c>
      <c r="AA41" s="712">
        <f t="shared" si="3"/>
        <v>1</v>
      </c>
      <c r="AB41" s="712">
        <f t="shared" si="4"/>
        <v>1</v>
      </c>
      <c r="AC41" s="712">
        <f t="shared" si="5"/>
        <v>1</v>
      </c>
    </row>
    <row r="42" spans="1:29" ht="15">
      <c r="A42" s="430"/>
      <c r="B42" s="380" t="s">
        <v>2335</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900"/>
      <c r="M42" s="2894"/>
      <c r="N42" s="2894"/>
      <c r="O42" s="2952"/>
      <c r="P42" s="3491" t="s">
        <v>2145</v>
      </c>
      <c r="Q42" s="1486" t="str">
        <f t="shared" si="14"/>
        <v>工程地质条件</v>
      </c>
      <c r="R42" s="713" t="s">
        <v>17</v>
      </c>
      <c r="S42" s="714">
        <f t="shared" si="10"/>
        <v>100</v>
      </c>
      <c r="T42" s="713" t="s">
        <v>17</v>
      </c>
      <c r="U42" s="714">
        <f t="shared" si="11"/>
        <v>100</v>
      </c>
      <c r="V42" s="713" t="s">
        <v>17</v>
      </c>
      <c r="W42" s="714">
        <f t="shared" si="12"/>
        <v>100</v>
      </c>
      <c r="X42" s="1489"/>
      <c r="Y42" s="3491" t="s">
        <v>2145</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900"/>
      <c r="M43" s="2894"/>
      <c r="N43" s="2894"/>
      <c r="O43" s="2952"/>
      <c r="P43" s="3491"/>
      <c r="Q43" s="1486">
        <f t="shared" si="14"/>
        <v>111</v>
      </c>
      <c r="R43" s="713" t="s">
        <v>17</v>
      </c>
      <c r="S43" s="714">
        <f t="shared" si="10"/>
        <v>100</v>
      </c>
      <c r="T43" s="713" t="s">
        <v>17</v>
      </c>
      <c r="U43" s="714">
        <f t="shared" si="11"/>
        <v>100</v>
      </c>
      <c r="V43" s="713" t="s">
        <v>17</v>
      </c>
      <c r="W43" s="714">
        <f t="shared" si="12"/>
        <v>100</v>
      </c>
      <c r="X43" s="1489"/>
      <c r="Y43" s="3491"/>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900"/>
      <c r="M44" s="2894"/>
      <c r="N44" s="2894"/>
      <c r="O44" s="2952"/>
      <c r="P44" s="3491"/>
      <c r="Q44" s="1486">
        <f t="shared" si="14"/>
        <v>111</v>
      </c>
      <c r="R44" s="713" t="s">
        <v>17</v>
      </c>
      <c r="S44" s="714">
        <f t="shared" si="10"/>
        <v>100</v>
      </c>
      <c r="T44" s="713" t="s">
        <v>17</v>
      </c>
      <c r="U44" s="714">
        <f t="shared" si="11"/>
        <v>100</v>
      </c>
      <c r="V44" s="713" t="s">
        <v>17</v>
      </c>
      <c r="W44" s="714">
        <f t="shared" si="12"/>
        <v>100</v>
      </c>
      <c r="X44" s="1489"/>
      <c r="Y44" s="3491"/>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9"/>
      <c r="M45" s="2901"/>
      <c r="N45" s="2901"/>
      <c r="O45" s="2953"/>
      <c r="P45" s="3491"/>
      <c r="Q45" s="1486">
        <f t="shared" si="14"/>
        <v>111</v>
      </c>
      <c r="R45" s="716" t="s">
        <v>17</v>
      </c>
      <c r="S45" s="717">
        <f t="shared" si="10"/>
        <v>100</v>
      </c>
      <c r="T45" s="716" t="s">
        <v>17</v>
      </c>
      <c r="U45" s="717">
        <f t="shared" si="11"/>
        <v>100</v>
      </c>
      <c r="V45" s="716" t="s">
        <v>17</v>
      </c>
      <c r="W45" s="717">
        <f t="shared" si="12"/>
        <v>100</v>
      </c>
      <c r="X45" s="718"/>
      <c r="Y45" s="3491"/>
      <c r="Z45" s="719">
        <f t="shared" si="13"/>
        <v>111</v>
      </c>
      <c r="AA45" s="1487">
        <f t="shared" si="3"/>
        <v>1</v>
      </c>
      <c r="AB45" s="1487">
        <f t="shared" si="4"/>
        <v>1</v>
      </c>
      <c r="AC45" s="1487">
        <f t="shared" si="5"/>
        <v>1</v>
      </c>
    </row>
    <row r="46" spans="1:29" ht="15">
      <c r="A46" s="437" t="s">
        <v>2300</v>
      </c>
      <c r="B46" s="2118" t="s">
        <v>2336</v>
      </c>
      <c r="C46" s="637" t="s">
        <v>1</v>
      </c>
      <c r="D46" s="439"/>
      <c r="E46" s="440"/>
      <c r="F46" s="441"/>
      <c r="G46" s="442"/>
      <c r="H46" s="443"/>
      <c r="I46" s="440"/>
      <c r="J46" s="443"/>
      <c r="K46" s="722"/>
      <c r="L46" s="2902"/>
      <c r="M46" s="2903"/>
      <c r="N46" s="2894"/>
      <c r="O46" s="2903"/>
      <c r="P46" s="3473" t="str">
        <f>A46</f>
        <v>成交单价</v>
      </c>
      <c r="Q46" s="3473"/>
      <c r="R46" s="3486">
        <f>E46</f>
        <v>0</v>
      </c>
      <c r="S46" s="3486"/>
      <c r="T46" s="3486">
        <f>G46</f>
        <v>0</v>
      </c>
      <c r="U46" s="3486"/>
      <c r="V46" s="3486">
        <f>I46</f>
        <v>0</v>
      </c>
      <c r="W46" s="3486"/>
      <c r="X46" s="698"/>
      <c r="Y46" s="720"/>
      <c r="Z46" s="698"/>
      <c r="AA46" s="698"/>
      <c r="AB46" s="698"/>
      <c r="AC46" s="698"/>
    </row>
    <row r="47" spans="1:29" ht="15.75" thickBot="1">
      <c r="A47" s="444" t="s">
        <v>2249</v>
      </c>
      <c r="B47" s="638"/>
      <c r="C47" s="447" t="e">
        <f>R48</f>
        <v>#DIV/0!</v>
      </c>
      <c r="D47" s="2488" t="s">
        <v>2638</v>
      </c>
      <c r="E47" s="447" t="e">
        <f>R47</f>
        <v>#DIV/0!</v>
      </c>
      <c r="F47" s="2489"/>
      <c r="G47" s="446" t="e">
        <f>T47</f>
        <v>#DIV/0!</v>
      </c>
      <c r="H47" s="2489"/>
      <c r="I47" s="447" t="e">
        <f>V47</f>
        <v>#DIV/0!</v>
      </c>
      <c r="J47" s="2489"/>
      <c r="K47" s="2491">
        <f>F47+H47+J47</f>
        <v>0</v>
      </c>
      <c r="L47" s="2902"/>
      <c r="M47" s="2903"/>
      <c r="N47" s="2903"/>
      <c r="O47" s="2903"/>
      <c r="P47" s="3473" t="str">
        <f>A47</f>
        <v>比较价值（元/平方米）</v>
      </c>
      <c r="Q47" s="3473"/>
      <c r="R47" s="3540" t="e">
        <f>ROUND(PRODUCT(R46,AA7:AA45),0)</f>
        <v>#DIV/0!</v>
      </c>
      <c r="S47" s="3540"/>
      <c r="T47" s="3540" t="e">
        <f>ROUND(PRODUCT(T46,AB7:AB45),0)</f>
        <v>#DIV/0!</v>
      </c>
      <c r="U47" s="3540"/>
      <c r="V47" s="3540" t="e">
        <f>ROUND(PRODUCT(V46,AC7:AC45),0)</f>
        <v>#DIV/0!</v>
      </c>
      <c r="W47" s="3540"/>
      <c r="X47" s="698"/>
      <c r="Y47" s="698"/>
      <c r="Z47" s="698"/>
      <c r="AA47" s="698"/>
      <c r="AB47" s="698"/>
      <c r="AC47" s="698"/>
    </row>
    <row r="48" spans="1:29" ht="15.75" thickBot="1">
      <c r="A48" s="448" t="s">
        <v>2337</v>
      </c>
      <c r="B48" s="449"/>
      <c r="C48" s="450" t="e">
        <f>R48</f>
        <v>#DIV/0!</v>
      </c>
      <c r="D48" s="450"/>
      <c r="E48" s="450"/>
      <c r="F48" s="450"/>
      <c r="G48" s="450"/>
      <c r="H48" s="450"/>
      <c r="I48" s="450"/>
      <c r="J48" s="450"/>
      <c r="K48" s="723"/>
      <c r="L48" s="2902"/>
      <c r="M48" s="2903"/>
      <c r="N48" s="2903"/>
      <c r="O48" s="2903"/>
      <c r="P48" s="3493" t="str">
        <f>A48</f>
        <v>估价对象XX用房的比较价值（楼面单价，元/平方米）</v>
      </c>
      <c r="Q48" s="3494"/>
      <c r="R48" s="3541" t="e">
        <f>ROUND(IF(D47="简单平均",AVERAGE(R47:W47),R47*F47+T47*H47+V47*J47),0)</f>
        <v>#DIV/0!</v>
      </c>
      <c r="S48" s="3541"/>
      <c r="T48" s="3541"/>
      <c r="U48" s="3541"/>
      <c r="V48" s="3541"/>
      <c r="W48" s="3541"/>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8" customFormat="1" ht="13.5" customHeight="1">
      <c r="A53" s="2906"/>
      <c r="B53" s="2906"/>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8"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2338</v>
      </c>
      <c r="B55" s="640" t="s">
        <v>2339</v>
      </c>
      <c r="C55" s="2119" t="s">
        <v>2340</v>
      </c>
      <c r="D55" s="2120" t="s">
        <v>2341</v>
      </c>
      <c r="E55" s="641" t="s">
        <v>2342</v>
      </c>
      <c r="F55" s="1001" t="s">
        <v>2343</v>
      </c>
      <c r="G55" s="3474" t="s">
        <v>2344</v>
      </c>
      <c r="H55" s="3542"/>
      <c r="I55" s="139"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2347</v>
      </c>
      <c r="B56" s="644" t="e">
        <f>C48</f>
        <v>#DIV/0!</v>
      </c>
      <c r="C56" s="645">
        <v>1</v>
      </c>
      <c r="D56" s="1055">
        <v>1</v>
      </c>
      <c r="E56" s="645">
        <f>'数据-汇总表'!E8+'数据-汇总表'!E9</f>
        <v>0</v>
      </c>
      <c r="F56" s="997" t="e">
        <f t="shared" ref="F56:F64" si="15">ROUND(B56*E56/10000,0)</f>
        <v>#DIV/0!</v>
      </c>
      <c r="G56" s="3517"/>
      <c r="H56" s="3473"/>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2348</v>
      </c>
      <c r="B57" s="223" t="e">
        <f>ROUND($C$48*C57*D57,0)</f>
        <v>#DIV/0!</v>
      </c>
      <c r="C57" s="175">
        <f t="shared" ref="C57:C64" si="16">IF($C$55="北京市系数",I57,J57)</f>
        <v>0</v>
      </c>
      <c r="D57" s="1056">
        <v>0.25</v>
      </c>
      <c r="E57" s="649"/>
      <c r="F57" s="997" t="e">
        <f t="shared" si="15"/>
        <v>#DIV/0!</v>
      </c>
      <c r="G57" s="3244"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2350</v>
      </c>
      <c r="B58" s="223" t="e">
        <f t="shared" ref="B58:B64" si="17">ROUND($C$48*C58*D58,0)</f>
        <v>#DIV/0!</v>
      </c>
      <c r="C58" s="175">
        <f t="shared" si="16"/>
        <v>0</v>
      </c>
      <c r="D58" s="1056">
        <v>0.25</v>
      </c>
      <c r="E58" s="649"/>
      <c r="F58" s="997" t="e">
        <f t="shared" si="15"/>
        <v>#DIV/0!</v>
      </c>
      <c r="G58" s="3245"/>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2351</v>
      </c>
      <c r="B59" s="223" t="e">
        <f t="shared" si="17"/>
        <v>#DIV/0!</v>
      </c>
      <c r="C59" s="175">
        <f t="shared" si="16"/>
        <v>0</v>
      </c>
      <c r="D59" s="1056">
        <v>0.25</v>
      </c>
      <c r="E59" s="649"/>
      <c r="F59" s="997" t="e">
        <f t="shared" si="15"/>
        <v>#DIV/0!</v>
      </c>
      <c r="G59" s="3245"/>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2352</v>
      </c>
      <c r="B60" s="223" t="e">
        <f t="shared" si="17"/>
        <v>#DIV/0!</v>
      </c>
      <c r="C60" s="175">
        <f t="shared" si="16"/>
        <v>0</v>
      </c>
      <c r="D60" s="1056">
        <v>0.25</v>
      </c>
      <c r="E60" s="222">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2354</v>
      </c>
      <c r="B61" s="223" t="e">
        <f t="shared" si="17"/>
        <v>#DIV/0!</v>
      </c>
      <c r="C61" s="175">
        <f t="shared" si="16"/>
        <v>0</v>
      </c>
      <c r="D61" s="1056">
        <v>0.25</v>
      </c>
      <c r="E61" s="222">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2356</v>
      </c>
      <c r="B62" s="223" t="e">
        <f t="shared" si="17"/>
        <v>#DIV/0!</v>
      </c>
      <c r="C62" s="175">
        <f t="shared" si="16"/>
        <v>0</v>
      </c>
      <c r="D62" s="1056">
        <v>0.25</v>
      </c>
      <c r="E62" s="222">
        <f>'数据-汇总表'!E13</f>
        <v>32206.890000000196</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2358</v>
      </c>
      <c r="B63" s="223" t="e">
        <f t="shared" si="17"/>
        <v>#DIV/0!</v>
      </c>
      <c r="C63" s="175">
        <f t="shared" si="16"/>
        <v>0</v>
      </c>
      <c r="D63" s="1056">
        <v>0.25</v>
      </c>
      <c r="E63" s="222">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2359</v>
      </c>
      <c r="B64" s="223" t="e">
        <f t="shared" si="17"/>
        <v>#DIV/0!</v>
      </c>
      <c r="C64" s="175">
        <f t="shared" si="16"/>
        <v>0</v>
      </c>
      <c r="D64" s="1056">
        <v>0.25</v>
      </c>
      <c r="E64" s="222">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2360</v>
      </c>
      <c r="B65" s="651" t="s">
        <v>28</v>
      </c>
      <c r="C65" s="651" t="s">
        <v>29</v>
      </c>
      <c r="D65" s="651" t="s">
        <v>816</v>
      </c>
      <c r="E65" s="651">
        <f>IF(B46="楼面地价",SUM(E56:E64),'数据-汇总表'!D3)</f>
        <v>32206.890000000196</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2022-5-1</v>
      </c>
      <c r="D67" s="700">
        <f>EDATE(C67,-3)</f>
        <v>44593</v>
      </c>
      <c r="E67" s="700">
        <f>EDATE(D67,-3)</f>
        <v>44501</v>
      </c>
      <c r="F67" s="700">
        <f t="shared" ref="F67:O67" si="18">EDATE(E67,-3)</f>
        <v>44409</v>
      </c>
      <c r="G67" s="700">
        <f t="shared" si="18"/>
        <v>44317</v>
      </c>
      <c r="H67" s="700">
        <f t="shared" si="18"/>
        <v>44228</v>
      </c>
      <c r="I67" s="700">
        <f t="shared" si="18"/>
        <v>44136</v>
      </c>
      <c r="J67" s="700">
        <f t="shared" si="18"/>
        <v>44044</v>
      </c>
      <c r="K67" s="700">
        <f t="shared" si="18"/>
        <v>43952</v>
      </c>
      <c r="L67" s="700">
        <f t="shared" si="18"/>
        <v>43862</v>
      </c>
      <c r="M67" s="700">
        <f t="shared" si="18"/>
        <v>43770</v>
      </c>
      <c r="N67" s="700">
        <f t="shared" si="18"/>
        <v>43678</v>
      </c>
      <c r="O67" s="700">
        <f t="shared" si="18"/>
        <v>43586</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4" customFormat="1" ht="15">
      <c r="A69" s="2125" t="s">
        <v>2361</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54"/>
      <c r="Q69" s="2919"/>
      <c r="R69" s="2919"/>
      <c r="S69" s="2919"/>
      <c r="T69" s="2919"/>
      <c r="U69" s="2919"/>
      <c r="V69" s="2919"/>
      <c r="W69" s="2919"/>
      <c r="X69" s="2919"/>
      <c r="Y69" s="2919"/>
      <c r="Z69" s="2919"/>
      <c r="AA69" s="2919"/>
      <c r="AB69" s="2919"/>
      <c r="AC69" s="2919"/>
    </row>
    <row r="70" spans="1:29" s="112" customFormat="1" ht="30" customHeight="1">
      <c r="A70" s="2126"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7"/>
      <c r="Q70" s="2837"/>
      <c r="R70" s="2837"/>
      <c r="S70" s="2837"/>
      <c r="T70" s="2837"/>
      <c r="U70" s="2837"/>
      <c r="V70" s="2837"/>
      <c r="W70" s="2837"/>
      <c r="X70" s="2837"/>
      <c r="Y70" s="2837"/>
      <c r="Z70" s="2837"/>
      <c r="AA70" s="2837"/>
      <c r="AB70" s="2837"/>
      <c r="AC70" s="2837"/>
    </row>
    <row r="71" spans="1:29" s="112" customFormat="1" ht="15.75" thickBot="1">
      <c r="A71" s="471" t="s">
        <v>2165</v>
      </c>
      <c r="B71" s="472"/>
      <c r="C71" s="473"/>
      <c r="D71" s="474"/>
      <c r="E71" s="474"/>
      <c r="F71" s="474"/>
      <c r="G71" s="474"/>
      <c r="H71" s="474"/>
      <c r="I71" s="474"/>
      <c r="J71" s="474"/>
      <c r="K71" s="474"/>
      <c r="L71" s="474"/>
      <c r="M71" s="475"/>
      <c r="N71" s="474"/>
      <c r="O71" s="1054"/>
      <c r="P71" s="2917"/>
      <c r="Q71" s="2917"/>
      <c r="R71" s="2837"/>
      <c r="S71" s="2837"/>
      <c r="T71" s="2837"/>
      <c r="U71" s="2837"/>
      <c r="V71" s="2837"/>
      <c r="W71" s="2837"/>
      <c r="X71" s="2837"/>
      <c r="Y71" s="2837"/>
      <c r="Z71" s="2837"/>
      <c r="AA71" s="2837"/>
      <c r="AB71" s="2837"/>
      <c r="AC71" s="2837"/>
    </row>
    <row r="72" spans="1:29" s="112" customFormat="1" ht="15">
      <c r="A72" s="477" t="s">
        <v>2130</v>
      </c>
      <c r="B72" s="466"/>
      <c r="C72" s="478" t="s">
        <v>2232</v>
      </c>
      <c r="D72" s="479"/>
      <c r="E72" s="479"/>
      <c r="F72" s="479"/>
      <c r="G72" s="479"/>
      <c r="H72" s="479"/>
      <c r="I72" s="479"/>
      <c r="J72" s="479"/>
      <c r="K72" s="479"/>
      <c r="L72" s="480"/>
      <c r="M72" s="481"/>
      <c r="N72" s="2930"/>
      <c r="O72" s="2930"/>
      <c r="P72" s="2955"/>
      <c r="Q72" s="2917"/>
      <c r="R72" s="2837"/>
      <c r="S72" s="2837"/>
      <c r="T72" s="2837"/>
      <c r="U72" s="2837"/>
      <c r="V72" s="2837"/>
      <c r="W72" s="2837"/>
      <c r="X72" s="2837"/>
      <c r="Y72" s="2837"/>
      <c r="Z72" s="2837"/>
      <c r="AA72" s="2837"/>
      <c r="AB72" s="2837"/>
      <c r="AC72" s="2837"/>
    </row>
    <row r="73" spans="1:29" s="112" customFormat="1" ht="15.75" thickBot="1">
      <c r="A73" s="477"/>
      <c r="B73" s="466"/>
      <c r="C73" s="594">
        <v>100</v>
      </c>
      <c r="D73" s="468"/>
      <c r="E73" s="468"/>
      <c r="F73" s="468"/>
      <c r="G73" s="468"/>
      <c r="H73" s="468"/>
      <c r="I73" s="468"/>
      <c r="J73" s="468"/>
      <c r="K73" s="468"/>
      <c r="L73" s="468"/>
      <c r="M73" s="470"/>
      <c r="N73" s="2930"/>
      <c r="O73" s="2930"/>
      <c r="P73" s="2917"/>
      <c r="Q73" s="2917"/>
      <c r="R73" s="2837"/>
      <c r="S73" s="2837"/>
      <c r="T73" s="2837"/>
      <c r="U73" s="2837"/>
      <c r="V73" s="2837"/>
      <c r="W73" s="2837"/>
      <c r="X73" s="2837"/>
      <c r="Y73" s="2837"/>
      <c r="Z73" s="2837"/>
      <c r="AA73" s="2837"/>
      <c r="AB73" s="2837"/>
      <c r="AC73" s="2837"/>
    </row>
    <row r="74" spans="1:29">
      <c r="A74" s="483" t="s">
        <v>2168</v>
      </c>
      <c r="B74" s="484" t="s">
        <v>2134</v>
      </c>
      <c r="C74" s="486"/>
      <c r="D74" s="486"/>
      <c r="E74" s="486"/>
      <c r="F74" s="486"/>
      <c r="G74" s="486"/>
      <c r="H74" s="486"/>
      <c r="I74" s="486"/>
      <c r="J74" s="486"/>
      <c r="K74" s="487"/>
      <c r="L74" s="488"/>
      <c r="M74" s="489"/>
      <c r="N74" s="2931"/>
      <c r="O74" s="2931"/>
      <c r="P74" s="2956"/>
      <c r="Q74" s="2917"/>
      <c r="R74" s="2903"/>
      <c r="S74" s="2903"/>
      <c r="T74" s="2903"/>
      <c r="U74" s="2903"/>
      <c r="V74" s="2903"/>
      <c r="W74" s="2903"/>
      <c r="X74" s="2903"/>
      <c r="Y74" s="2903"/>
      <c r="Z74" s="2903"/>
      <c r="AA74" s="2903"/>
      <c r="AB74" s="2903"/>
      <c r="AC74" s="2903"/>
    </row>
    <row r="75" spans="1:29" ht="15.75" thickBot="1">
      <c r="A75" s="490"/>
      <c r="B75" s="491"/>
      <c r="C75" s="492"/>
      <c r="D75" s="492"/>
      <c r="E75" s="492"/>
      <c r="F75" s="492"/>
      <c r="G75" s="492"/>
      <c r="H75" s="492"/>
      <c r="I75" s="492"/>
      <c r="J75" s="492"/>
      <c r="K75" s="492"/>
      <c r="L75" s="492"/>
      <c r="M75" s="493"/>
      <c r="N75" s="2932"/>
      <c r="O75" s="2932"/>
      <c r="P75" s="2956"/>
      <c r="Q75" s="2917"/>
      <c r="R75" s="2903"/>
      <c r="S75" s="2903"/>
      <c r="T75" s="2903"/>
      <c r="U75" s="2903"/>
      <c r="V75" s="2903"/>
      <c r="W75" s="2903"/>
      <c r="X75" s="2903"/>
      <c r="Y75" s="2903"/>
      <c r="Z75" s="2903"/>
      <c r="AA75" s="2903"/>
      <c r="AB75" s="2903"/>
      <c r="AC75" s="2903"/>
    </row>
    <row r="76" spans="1:29" ht="27.75" thickTop="1">
      <c r="A76" s="490"/>
      <c r="B76" s="494" t="s">
        <v>2137</v>
      </c>
      <c r="C76" s="495"/>
      <c r="D76" s="495"/>
      <c r="E76" s="495"/>
      <c r="F76" s="495"/>
      <c r="G76" s="495"/>
      <c r="H76" s="495"/>
      <c r="I76" s="495"/>
      <c r="J76" s="495"/>
      <c r="K76" s="496"/>
      <c r="L76" s="497"/>
      <c r="M76" s="498"/>
      <c r="N76" s="2931"/>
      <c r="O76" s="2931"/>
      <c r="P76" s="2956"/>
      <c r="Q76" s="2917"/>
      <c r="R76" s="2903"/>
      <c r="S76" s="2903"/>
      <c r="T76" s="2903"/>
      <c r="U76" s="2903"/>
      <c r="V76" s="2903"/>
      <c r="W76" s="2903"/>
      <c r="X76" s="2903"/>
      <c r="Y76" s="2903"/>
      <c r="Z76" s="2903"/>
      <c r="AA76" s="2903"/>
      <c r="AB76" s="2903"/>
      <c r="AC76" s="2903"/>
    </row>
    <row r="77" spans="1:29" ht="15.75" thickBot="1">
      <c r="A77" s="490"/>
      <c r="B77" s="499"/>
      <c r="C77" s="500"/>
      <c r="D77" s="500"/>
      <c r="E77" s="500"/>
      <c r="F77" s="500"/>
      <c r="G77" s="500"/>
      <c r="H77" s="500"/>
      <c r="I77" s="500"/>
      <c r="J77" s="500"/>
      <c r="K77" s="500"/>
      <c r="L77" s="500"/>
      <c r="M77" s="501"/>
      <c r="N77" s="2932"/>
      <c r="O77" s="2932"/>
      <c r="P77" s="2956"/>
      <c r="Q77" s="2917"/>
      <c r="R77" s="2903"/>
      <c r="S77" s="2903"/>
      <c r="T77" s="2903"/>
      <c r="U77" s="2903"/>
      <c r="V77" s="2903"/>
      <c r="W77" s="2903"/>
      <c r="X77" s="2903"/>
      <c r="Y77" s="2903"/>
      <c r="Z77" s="2903"/>
      <c r="AA77" s="2903"/>
      <c r="AB77" s="2903"/>
      <c r="AC77" s="2903"/>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0"/>
      <c r="B79" s="504"/>
      <c r="C79" s="505"/>
      <c r="D79" s="505"/>
      <c r="E79" s="505"/>
      <c r="F79" s="505"/>
      <c r="G79" s="505"/>
      <c r="H79" s="505"/>
      <c r="I79" s="505"/>
      <c r="J79" s="505"/>
      <c r="K79" s="506"/>
      <c r="L79" s="507"/>
      <c r="M79" s="508"/>
      <c r="N79" s="2931"/>
      <c r="O79" s="2931"/>
      <c r="P79" s="2956"/>
      <c r="Q79" s="2917"/>
      <c r="R79" s="2903"/>
      <c r="S79" s="2903"/>
      <c r="T79" s="2903"/>
      <c r="U79" s="2903"/>
      <c r="V79" s="2903"/>
      <c r="W79" s="2903"/>
      <c r="X79" s="2903"/>
      <c r="Y79" s="2903"/>
      <c r="Z79" s="2903"/>
      <c r="AA79" s="2903"/>
      <c r="AB79" s="2903"/>
      <c r="AC79" s="2903"/>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2"/>
      <c r="O80" s="2932"/>
      <c r="P80" s="2956"/>
      <c r="Q80" s="2917"/>
      <c r="R80" s="2903"/>
      <c r="S80" s="2903"/>
      <c r="T80" s="2903"/>
      <c r="U80" s="2903"/>
      <c r="V80" s="2903"/>
      <c r="W80" s="2903"/>
      <c r="X80" s="2903"/>
      <c r="Y80" s="2903"/>
      <c r="Z80" s="2903"/>
      <c r="AA80" s="2903"/>
      <c r="AB80" s="2903"/>
      <c r="AC80" s="2903"/>
    </row>
    <row r="81" spans="1:29" s="429" customFormat="1" ht="15.75" thickTop="1">
      <c r="A81" s="509"/>
      <c r="B81" s="494" t="str">
        <f>B12</f>
        <v>配建</v>
      </c>
      <c r="C81" s="510"/>
      <c r="D81" s="510"/>
      <c r="E81" s="510"/>
      <c r="F81" s="510"/>
      <c r="G81" s="510"/>
      <c r="H81" s="511"/>
      <c r="I81" s="511"/>
      <c r="J81" s="511"/>
      <c r="K81" s="511"/>
      <c r="L81" s="512"/>
      <c r="M81" s="513"/>
      <c r="N81" s="2933"/>
      <c r="O81" s="2933"/>
      <c r="P81" s="2957"/>
      <c r="Q81" s="2924"/>
      <c r="R81" s="2925"/>
      <c r="S81" s="2925"/>
      <c r="T81" s="2925"/>
      <c r="U81" s="2925"/>
      <c r="V81" s="2925"/>
      <c r="W81" s="2925"/>
      <c r="X81" s="2925"/>
      <c r="Y81" s="2925"/>
      <c r="Z81" s="2925"/>
      <c r="AA81" s="2925"/>
      <c r="AB81" s="2925"/>
      <c r="AC81" s="2925"/>
    </row>
    <row r="82" spans="1:29" s="429" customFormat="1" ht="15.75" thickBot="1">
      <c r="A82" s="509"/>
      <c r="B82" s="499"/>
      <c r="C82" s="516"/>
      <c r="D82" s="492"/>
      <c r="E82" s="492"/>
      <c r="F82" s="492"/>
      <c r="G82" s="492"/>
      <c r="H82" s="492"/>
      <c r="I82" s="492"/>
      <c r="J82" s="492"/>
      <c r="K82" s="492"/>
      <c r="L82" s="492"/>
      <c r="M82" s="493"/>
      <c r="N82" s="2932"/>
      <c r="O82" s="2932"/>
      <c r="P82" s="2957"/>
      <c r="Q82" s="2924"/>
      <c r="R82" s="2925"/>
      <c r="S82" s="2925"/>
      <c r="T82" s="2925"/>
      <c r="U82" s="2925"/>
      <c r="V82" s="2925"/>
      <c r="W82" s="2925"/>
      <c r="X82" s="2925"/>
      <c r="Y82" s="2925"/>
      <c r="Z82" s="2925"/>
      <c r="AA82" s="2925"/>
      <c r="AB82" s="2925"/>
      <c r="AC82" s="2925"/>
    </row>
    <row r="83" spans="1:29" s="429" customFormat="1" ht="15.75" thickTop="1">
      <c r="A83" s="509"/>
      <c r="B83" s="494">
        <f>B13</f>
        <v>111</v>
      </c>
      <c r="C83" s="510"/>
      <c r="D83" s="510"/>
      <c r="E83" s="510"/>
      <c r="F83" s="510"/>
      <c r="G83" s="510"/>
      <c r="H83" s="511"/>
      <c r="I83" s="511"/>
      <c r="J83" s="511"/>
      <c r="K83" s="511"/>
      <c r="L83" s="512"/>
      <c r="M83" s="513"/>
      <c r="N83" s="2933"/>
      <c r="O83" s="2933"/>
      <c r="P83" s="2901"/>
      <c r="Q83" s="2927"/>
      <c r="R83" s="2925"/>
      <c r="S83" s="2925"/>
      <c r="T83" s="2925"/>
      <c r="U83" s="2925"/>
      <c r="V83" s="2925"/>
      <c r="W83" s="2925"/>
      <c r="X83" s="2925"/>
      <c r="Y83" s="2925"/>
      <c r="Z83" s="2925"/>
      <c r="AA83" s="2925"/>
      <c r="AB83" s="2925"/>
      <c r="AC83" s="2925"/>
    </row>
    <row r="84" spans="1:29" s="429" customFormat="1" ht="15.75" thickBot="1">
      <c r="A84" s="509"/>
      <c r="B84" s="499"/>
      <c r="C84" s="516"/>
      <c r="D84" s="516"/>
      <c r="E84" s="516"/>
      <c r="F84" s="516"/>
      <c r="G84" s="516"/>
      <c r="H84" s="518"/>
      <c r="I84" s="518"/>
      <c r="J84" s="518"/>
      <c r="K84" s="518"/>
      <c r="L84" s="518"/>
      <c r="M84" s="519"/>
      <c r="N84" s="2933"/>
      <c r="O84" s="2933"/>
      <c r="P84" s="2957"/>
      <c r="Q84" s="2924"/>
      <c r="R84" s="2925"/>
      <c r="S84" s="2925"/>
      <c r="T84" s="2925"/>
      <c r="U84" s="2925"/>
      <c r="V84" s="2925"/>
      <c r="W84" s="2925"/>
      <c r="X84" s="2925"/>
      <c r="Y84" s="2925"/>
      <c r="Z84" s="2925"/>
      <c r="AA84" s="2925"/>
      <c r="AB84" s="2925"/>
      <c r="AC84" s="2925"/>
    </row>
    <row r="85" spans="1:29" s="429" customFormat="1" ht="15.75" thickTop="1">
      <c r="A85" s="509"/>
      <c r="B85" s="502">
        <f>B14</f>
        <v>111</v>
      </c>
      <c r="C85" s="479"/>
      <c r="D85" s="479"/>
      <c r="E85" s="479"/>
      <c r="F85" s="479"/>
      <c r="G85" s="479"/>
      <c r="H85" s="520"/>
      <c r="I85" s="520"/>
      <c r="J85" s="520"/>
      <c r="K85" s="520"/>
      <c r="L85" s="521"/>
      <c r="M85" s="522"/>
      <c r="N85" s="2933"/>
      <c r="O85" s="2933"/>
      <c r="P85" s="2962"/>
      <c r="Q85" s="2924"/>
      <c r="R85" s="2925"/>
      <c r="S85" s="2925"/>
      <c r="T85" s="2925"/>
      <c r="U85" s="2925"/>
      <c r="V85" s="2925"/>
      <c r="W85" s="2925"/>
      <c r="X85" s="2925"/>
      <c r="Y85" s="2925"/>
      <c r="Z85" s="2925"/>
      <c r="AA85" s="2925"/>
      <c r="AB85" s="2925"/>
      <c r="AC85" s="2925"/>
    </row>
    <row r="86" spans="1:29" s="429" customFormat="1" ht="15.75" thickBot="1">
      <c r="A86" s="524"/>
      <c r="B86" s="525"/>
      <c r="C86" s="526"/>
      <c r="D86" s="526"/>
      <c r="E86" s="526"/>
      <c r="F86" s="526"/>
      <c r="G86" s="526"/>
      <c r="H86" s="527"/>
      <c r="I86" s="527"/>
      <c r="J86" s="527"/>
      <c r="K86" s="527"/>
      <c r="L86" s="527"/>
      <c r="M86" s="528"/>
      <c r="N86" s="2933"/>
      <c r="O86" s="2933"/>
      <c r="P86" s="2957"/>
      <c r="Q86" s="2924"/>
      <c r="R86" s="2925"/>
      <c r="S86" s="2925"/>
      <c r="T86" s="2925"/>
      <c r="U86" s="2925"/>
      <c r="V86" s="2925"/>
      <c r="W86" s="2925"/>
      <c r="X86" s="2925"/>
      <c r="Y86" s="2925"/>
      <c r="Z86" s="2925"/>
      <c r="AA86" s="2925"/>
      <c r="AB86" s="2925"/>
      <c r="AC86" s="2925"/>
    </row>
    <row r="87" spans="1:29">
      <c r="A87" s="483" t="s">
        <v>2139</v>
      </c>
      <c r="B87" s="484" t="s">
        <v>2176</v>
      </c>
      <c r="C87" s="529" t="s">
        <v>2177</v>
      </c>
      <c r="D87" s="529" t="s">
        <v>2178</v>
      </c>
      <c r="E87" s="529" t="s">
        <v>2179</v>
      </c>
      <c r="F87" s="529" t="s">
        <v>2180</v>
      </c>
      <c r="G87" s="529" t="s">
        <v>2181</v>
      </c>
      <c r="H87" s="485"/>
      <c r="I87" s="485"/>
      <c r="J87" s="485"/>
      <c r="K87" s="530"/>
      <c r="L87" s="531"/>
      <c r="M87" s="532"/>
      <c r="N87" s="2931"/>
      <c r="O87" s="2931"/>
      <c r="P87" s="2958"/>
      <c r="Q87" s="2917"/>
      <c r="R87" s="2903"/>
      <c r="S87" s="2903"/>
      <c r="T87" s="2903"/>
      <c r="U87" s="2903"/>
      <c r="V87" s="2903"/>
      <c r="W87" s="2903"/>
      <c r="X87" s="2903"/>
      <c r="Y87" s="2903"/>
      <c r="Z87" s="2903"/>
      <c r="AA87" s="2903"/>
      <c r="AB87" s="2903"/>
      <c r="AC87" s="2903"/>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2"/>
      <c r="O88" s="2932"/>
      <c r="P88" s="2956"/>
      <c r="Q88" s="2917"/>
      <c r="R88" s="2903"/>
      <c r="S88" s="2903"/>
      <c r="T88" s="2903"/>
      <c r="U88" s="2903"/>
      <c r="V88" s="2903"/>
      <c r="W88" s="2903"/>
      <c r="X88" s="2903"/>
      <c r="Y88" s="2903"/>
      <c r="Z88" s="2903"/>
      <c r="AA88" s="2903"/>
      <c r="AB88" s="2903"/>
      <c r="AC88" s="2903"/>
    </row>
    <row r="89" spans="1:29" ht="15.75" thickTop="1">
      <c r="A89" s="490"/>
      <c r="B89" s="494" t="s">
        <v>2363</v>
      </c>
      <c r="C89" s="534" t="s">
        <v>2177</v>
      </c>
      <c r="D89" s="534" t="s">
        <v>2178</v>
      </c>
      <c r="E89" s="534" t="s">
        <v>2179</v>
      </c>
      <c r="F89" s="534" t="s">
        <v>2180</v>
      </c>
      <c r="G89" s="534" t="s">
        <v>2181</v>
      </c>
      <c r="H89" s="495"/>
      <c r="I89" s="495"/>
      <c r="J89" s="495"/>
      <c r="K89" s="496"/>
      <c r="L89" s="497"/>
      <c r="M89" s="498"/>
      <c r="N89" s="2931"/>
      <c r="O89" s="2931"/>
      <c r="P89" s="2956"/>
      <c r="Q89" s="2917"/>
      <c r="R89" s="2903"/>
      <c r="S89" s="2903"/>
      <c r="T89" s="2903"/>
      <c r="U89" s="2903"/>
      <c r="V89" s="2903"/>
      <c r="W89" s="2903"/>
      <c r="X89" s="2903"/>
      <c r="Y89" s="2903"/>
      <c r="Z89" s="2903"/>
      <c r="AA89" s="2903"/>
      <c r="AB89" s="2903"/>
      <c r="AC89" s="2903"/>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2"/>
      <c r="O90" s="2932"/>
      <c r="P90" s="2956"/>
      <c r="Q90" s="2917"/>
      <c r="R90" s="2903"/>
      <c r="S90" s="2903"/>
      <c r="T90" s="2903"/>
      <c r="U90" s="2903"/>
      <c r="V90" s="2903"/>
      <c r="W90" s="2903"/>
      <c r="X90" s="2903"/>
      <c r="Y90" s="2903"/>
      <c r="Z90" s="2903"/>
      <c r="AA90" s="2903"/>
      <c r="AB90" s="2903"/>
      <c r="AC90" s="2903"/>
    </row>
    <row r="91" spans="1:29" ht="15.75" thickTop="1">
      <c r="A91" s="490"/>
      <c r="B91" s="494" t="s">
        <v>2277</v>
      </c>
      <c r="C91" s="534" t="s">
        <v>2177</v>
      </c>
      <c r="D91" s="534" t="s">
        <v>2178</v>
      </c>
      <c r="E91" s="534" t="s">
        <v>2179</v>
      </c>
      <c r="F91" s="534" t="s">
        <v>2180</v>
      </c>
      <c r="G91" s="534" t="s">
        <v>2181</v>
      </c>
      <c r="H91" s="495"/>
      <c r="I91" s="495"/>
      <c r="J91" s="495"/>
      <c r="K91" s="496"/>
      <c r="L91" s="497"/>
      <c r="M91" s="498"/>
      <c r="N91" s="2931"/>
      <c r="O91" s="2931"/>
      <c r="P91" s="2956"/>
      <c r="Q91" s="2917"/>
      <c r="R91" s="2903"/>
      <c r="S91" s="2903"/>
      <c r="T91" s="2903"/>
      <c r="U91" s="2903"/>
      <c r="V91" s="2903"/>
      <c r="W91" s="2903"/>
      <c r="X91" s="2903"/>
      <c r="Y91" s="2903"/>
      <c r="Z91" s="2903"/>
      <c r="AA91" s="2903"/>
      <c r="AB91" s="2903"/>
      <c r="AC91" s="2903"/>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2"/>
      <c r="O92" s="2932"/>
      <c r="P92" s="2956"/>
      <c r="Q92" s="2917"/>
      <c r="R92" s="2903"/>
      <c r="S92" s="2903"/>
      <c r="T92" s="2903"/>
      <c r="U92" s="2903"/>
      <c r="V92" s="2903"/>
      <c r="W92" s="2903"/>
      <c r="X92" s="2903"/>
      <c r="Y92" s="2903"/>
      <c r="Z92" s="2903"/>
      <c r="AA92" s="2903"/>
      <c r="AB92" s="2903"/>
      <c r="AC92" s="2903"/>
    </row>
    <row r="93" spans="1:29" ht="15.75" thickTop="1">
      <c r="A93" s="490"/>
      <c r="B93" s="494" t="s">
        <v>2182</v>
      </c>
      <c r="C93" s="534" t="s">
        <v>2177</v>
      </c>
      <c r="D93" s="534" t="s">
        <v>2178</v>
      </c>
      <c r="E93" s="534" t="s">
        <v>2179</v>
      </c>
      <c r="F93" s="534" t="s">
        <v>2180</v>
      </c>
      <c r="G93" s="534" t="s">
        <v>2181</v>
      </c>
      <c r="H93" s="495"/>
      <c r="I93" s="495"/>
      <c r="J93" s="495"/>
      <c r="K93" s="496"/>
      <c r="L93" s="497"/>
      <c r="M93" s="498"/>
      <c r="N93" s="2931"/>
      <c r="O93" s="2931"/>
      <c r="P93" s="2956"/>
      <c r="Q93" s="2917"/>
      <c r="R93" s="2903"/>
      <c r="S93" s="2903"/>
      <c r="T93" s="2903"/>
      <c r="U93" s="2903"/>
      <c r="V93" s="2903"/>
      <c r="W93" s="2903"/>
      <c r="X93" s="2903"/>
      <c r="Y93" s="2903"/>
      <c r="Z93" s="2903"/>
      <c r="AA93" s="2903"/>
      <c r="AB93" s="2903"/>
      <c r="AC93" s="2903"/>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2"/>
      <c r="O94" s="2932"/>
      <c r="P94" s="2956"/>
      <c r="Q94" s="2917"/>
      <c r="R94" s="2903"/>
      <c r="S94" s="2903"/>
      <c r="T94" s="2903"/>
      <c r="U94" s="2903"/>
      <c r="V94" s="2903"/>
      <c r="W94" s="2903"/>
      <c r="X94" s="2903"/>
      <c r="Y94" s="2903"/>
      <c r="Z94" s="2903"/>
      <c r="AA94" s="2903"/>
      <c r="AB94" s="2903"/>
      <c r="AC94" s="2903"/>
    </row>
    <row r="95" spans="1:29" s="112" customFormat="1" ht="15.75" thickTop="1">
      <c r="A95" s="535"/>
      <c r="B95" s="494" t="s">
        <v>2364</v>
      </c>
      <c r="C95" s="534" t="s">
        <v>2177</v>
      </c>
      <c r="D95" s="534" t="s">
        <v>2178</v>
      </c>
      <c r="E95" s="534" t="s">
        <v>2179</v>
      </c>
      <c r="F95" s="534" t="s">
        <v>2180</v>
      </c>
      <c r="G95" s="534" t="s">
        <v>2181</v>
      </c>
      <c r="H95" s="534"/>
      <c r="I95" s="534"/>
      <c r="J95" s="534"/>
      <c r="K95" s="534"/>
      <c r="L95" s="653"/>
      <c r="M95" s="577"/>
      <c r="N95" s="2930"/>
      <c r="O95" s="2930"/>
      <c r="P95" s="2956"/>
      <c r="Q95" s="2917"/>
      <c r="R95" s="2837"/>
      <c r="S95" s="2837"/>
      <c r="T95" s="2837"/>
      <c r="U95" s="2837"/>
      <c r="V95" s="2837"/>
      <c r="W95" s="2837"/>
      <c r="X95" s="2837"/>
      <c r="Y95" s="2837"/>
      <c r="Z95" s="2837"/>
      <c r="AA95" s="2837"/>
      <c r="AB95" s="2837"/>
      <c r="AC95" s="2837"/>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32"/>
      <c r="O96" s="2932"/>
      <c r="P96" s="2956"/>
      <c r="Q96" s="2917"/>
      <c r="R96" s="2837"/>
      <c r="S96" s="2837"/>
      <c r="T96" s="2837"/>
      <c r="U96" s="2837"/>
      <c r="V96" s="2837"/>
      <c r="W96" s="2837"/>
      <c r="X96" s="2837"/>
      <c r="Y96" s="2837"/>
      <c r="Z96" s="2837"/>
      <c r="AA96" s="2837"/>
      <c r="AB96" s="2837"/>
      <c r="AC96" s="2837"/>
    </row>
    <row r="97" spans="1:29" s="112" customFormat="1" ht="27.75" thickTop="1">
      <c r="A97" s="535"/>
      <c r="B97" s="494" t="s">
        <v>2365</v>
      </c>
      <c r="C97" s="529" t="s">
        <v>2177</v>
      </c>
      <c r="D97" s="529" t="s">
        <v>2178</v>
      </c>
      <c r="E97" s="529" t="s">
        <v>2179</v>
      </c>
      <c r="F97" s="529" t="s">
        <v>2180</v>
      </c>
      <c r="G97" s="529" t="s">
        <v>2181</v>
      </c>
      <c r="H97" s="534"/>
      <c r="I97" s="534"/>
      <c r="J97" s="534"/>
      <c r="K97" s="534"/>
      <c r="L97" s="534"/>
      <c r="M97" s="577"/>
      <c r="N97" s="2930"/>
      <c r="O97" s="2930"/>
      <c r="P97" s="2956"/>
      <c r="Q97" s="2917"/>
      <c r="R97" s="2837"/>
      <c r="S97" s="2837"/>
      <c r="T97" s="2837"/>
      <c r="U97" s="2837"/>
      <c r="V97" s="2837"/>
      <c r="W97" s="2837"/>
      <c r="X97" s="2837"/>
      <c r="Y97" s="2837"/>
      <c r="Z97" s="2837"/>
      <c r="AA97" s="2837"/>
      <c r="AB97" s="2837"/>
      <c r="AC97" s="2837"/>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32"/>
      <c r="O98" s="2932"/>
      <c r="P98" s="2956"/>
      <c r="Q98" s="2917"/>
      <c r="R98" s="2837"/>
      <c r="S98" s="2837"/>
      <c r="T98" s="2837"/>
      <c r="U98" s="2837"/>
      <c r="V98" s="2837"/>
      <c r="W98" s="2837"/>
      <c r="X98" s="2837"/>
      <c r="Y98" s="2837"/>
      <c r="Z98" s="2837"/>
      <c r="AA98" s="2837"/>
      <c r="AB98" s="2837"/>
      <c r="AC98" s="2837"/>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3"/>
      <c r="O99" s="2933"/>
      <c r="P99" s="2957"/>
      <c r="Q99" s="2924"/>
      <c r="R99" s="2925"/>
      <c r="S99" s="2925"/>
      <c r="T99" s="2925"/>
      <c r="U99" s="2925"/>
      <c r="V99" s="2925"/>
      <c r="W99" s="2925"/>
      <c r="X99" s="2925"/>
      <c r="Y99" s="2925"/>
      <c r="Z99" s="2925"/>
      <c r="AA99" s="2925"/>
      <c r="AB99" s="2925"/>
      <c r="AC99" s="2925"/>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3"/>
      <c r="O100" s="2933"/>
      <c r="P100" s="2957"/>
      <c r="Q100" s="2924"/>
      <c r="R100" s="2925"/>
      <c r="S100" s="2925"/>
      <c r="T100" s="2925"/>
      <c r="U100" s="2925"/>
      <c r="V100" s="2925"/>
      <c r="W100" s="2925"/>
      <c r="X100" s="2925"/>
      <c r="Y100" s="2925"/>
      <c r="Z100" s="2925"/>
      <c r="AA100" s="2925"/>
      <c r="AB100" s="2925"/>
      <c r="AC100" s="2925"/>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3"/>
      <c r="O101" s="2933"/>
      <c r="P101" s="2957"/>
      <c r="Q101" s="2924"/>
      <c r="R101" s="2925"/>
      <c r="S101" s="2925"/>
      <c r="T101" s="2925"/>
      <c r="U101" s="2925"/>
      <c r="V101" s="2925"/>
      <c r="W101" s="2925"/>
      <c r="X101" s="2925"/>
      <c r="Y101" s="2925"/>
      <c r="Z101" s="2925"/>
      <c r="AA101" s="2925"/>
      <c r="AB101" s="2925"/>
      <c r="AC101" s="2925"/>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31"/>
      <c r="O103" s="2931"/>
      <c r="P103" s="2956"/>
      <c r="Q103" s="2917"/>
      <c r="R103" s="2903"/>
      <c r="S103" s="2903"/>
      <c r="T103" s="2903"/>
      <c r="U103" s="2903"/>
      <c r="V103" s="2903"/>
      <c r="W103" s="2903"/>
      <c r="X103" s="2903"/>
      <c r="Y103" s="2903"/>
      <c r="Z103" s="2903"/>
      <c r="AA103" s="2903"/>
      <c r="AB103" s="2903"/>
      <c r="AC103" s="2903"/>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0"/>
      <c r="B105" s="494" t="s">
        <v>2271</v>
      </c>
      <c r="C105" s="510"/>
      <c r="D105" s="510"/>
      <c r="E105" s="510"/>
      <c r="F105" s="510"/>
      <c r="G105" s="510"/>
      <c r="H105" s="539"/>
      <c r="I105" s="539"/>
      <c r="J105" s="539"/>
      <c r="K105" s="540"/>
      <c r="L105" s="541"/>
      <c r="M105" s="542"/>
      <c r="N105" s="2931"/>
      <c r="O105" s="2931"/>
      <c r="P105" s="2956"/>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0"/>
      <c r="B107" s="494" t="s">
        <v>2330</v>
      </c>
      <c r="C107" s="539"/>
      <c r="D107" s="539"/>
      <c r="E107" s="539"/>
      <c r="F107" s="539"/>
      <c r="G107" s="539"/>
      <c r="H107" s="539"/>
      <c r="I107" s="539"/>
      <c r="J107" s="539"/>
      <c r="K107" s="540"/>
      <c r="L107" s="541"/>
      <c r="M107" s="542"/>
      <c r="N107" s="2931"/>
      <c r="O107" s="2931"/>
      <c r="P107" s="2956"/>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0"/>
      <c r="B109" s="502">
        <f>B35</f>
        <v>111</v>
      </c>
      <c r="C109" s="510"/>
      <c r="D109" s="510"/>
      <c r="E109" s="510"/>
      <c r="F109" s="510"/>
      <c r="G109" s="543"/>
      <c r="H109" s="543"/>
      <c r="I109" s="543"/>
      <c r="J109" s="543"/>
      <c r="K109" s="544"/>
      <c r="L109" s="545"/>
      <c r="M109" s="546"/>
      <c r="N109" s="2931"/>
      <c r="O109" s="2931"/>
      <c r="P109" s="2956"/>
      <c r="Q109" s="2917"/>
      <c r="R109" s="2903"/>
      <c r="S109" s="2903"/>
      <c r="T109" s="2903"/>
      <c r="U109" s="2903"/>
      <c r="V109" s="2903"/>
      <c r="W109" s="2903"/>
      <c r="X109" s="2903"/>
      <c r="Y109" s="2903"/>
      <c r="Z109" s="2903"/>
      <c r="AA109" s="2903"/>
      <c r="AB109" s="2903"/>
      <c r="AC109" s="2903"/>
    </row>
    <row r="110" spans="1:29" ht="15.75" thickBot="1">
      <c r="A110" s="490"/>
      <c r="B110" s="525"/>
      <c r="C110" s="516"/>
      <c r="D110" s="516"/>
      <c r="E110" s="516"/>
      <c r="F110" s="516"/>
      <c r="G110" s="547"/>
      <c r="H110" s="547"/>
      <c r="I110" s="547"/>
      <c r="J110" s="547"/>
      <c r="K110" s="547"/>
      <c r="L110" s="547"/>
      <c r="M110" s="548"/>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4">
        <f>B36</f>
        <v>111</v>
      </c>
      <c r="C111" s="479"/>
      <c r="D111" s="479"/>
      <c r="E111" s="479"/>
      <c r="F111" s="479"/>
      <c r="G111" s="539"/>
      <c r="H111" s="539"/>
      <c r="I111" s="539"/>
      <c r="J111" s="539"/>
      <c r="K111" s="540"/>
      <c r="L111" s="541"/>
      <c r="M111" s="542"/>
      <c r="N111" s="2931"/>
      <c r="O111" s="2931"/>
      <c r="P111" s="2956"/>
      <c r="Q111" s="2917"/>
      <c r="R111" s="2903"/>
      <c r="S111" s="2903"/>
      <c r="T111" s="2903"/>
      <c r="U111" s="2903"/>
      <c r="V111" s="2903"/>
      <c r="W111" s="2903"/>
      <c r="X111" s="2903"/>
      <c r="Y111" s="2903"/>
      <c r="Z111" s="2903"/>
      <c r="AA111" s="2903"/>
      <c r="AB111" s="2903"/>
      <c r="AC111" s="2903"/>
    </row>
    <row r="112" spans="1:29" ht="15.75" thickBot="1">
      <c r="A112" s="490"/>
      <c r="B112" s="499"/>
      <c r="C112" s="526"/>
      <c r="D112" s="526"/>
      <c r="E112" s="526"/>
      <c r="F112" s="526"/>
      <c r="G112" s="492"/>
      <c r="H112" s="492"/>
      <c r="I112" s="492"/>
      <c r="J112" s="492"/>
      <c r="K112" s="492"/>
      <c r="L112" s="492"/>
      <c r="M112" s="493"/>
      <c r="N112" s="2932"/>
      <c r="O112" s="2932"/>
      <c r="P112" s="2956"/>
      <c r="Q112" s="2917"/>
      <c r="R112" s="2903"/>
      <c r="S112" s="2903"/>
      <c r="T112" s="2903"/>
      <c r="U112" s="2903"/>
      <c r="V112" s="2903"/>
      <c r="W112" s="2903"/>
      <c r="X112" s="2903"/>
      <c r="Y112" s="2903"/>
      <c r="Z112" s="2903"/>
      <c r="AA112" s="2903"/>
      <c r="AB112" s="2903"/>
      <c r="AC112" s="2903"/>
    </row>
    <row r="113" spans="1:29" s="429" customFormat="1" ht="15" thickTop="1">
      <c r="A113" s="549"/>
      <c r="B113" s="550">
        <f>B37</f>
        <v>111</v>
      </c>
      <c r="C113" s="551"/>
      <c r="D113" s="551"/>
      <c r="E113" s="551"/>
      <c r="F113" s="551"/>
      <c r="G113" s="551"/>
      <c r="H113" s="551"/>
      <c r="I113" s="551"/>
      <c r="J113" s="552"/>
      <c r="K113" s="552"/>
      <c r="L113" s="553"/>
      <c r="M113" s="554"/>
      <c r="N113" s="2933"/>
      <c r="O113" s="2933"/>
      <c r="P113" s="2957"/>
      <c r="Q113" s="2924"/>
      <c r="R113" s="2925"/>
      <c r="S113" s="2925"/>
      <c r="T113" s="2925"/>
      <c r="U113" s="2925"/>
      <c r="V113" s="2925"/>
      <c r="W113" s="2925"/>
      <c r="X113" s="2925"/>
      <c r="Y113" s="2925"/>
      <c r="Z113" s="2925"/>
      <c r="AA113" s="2925"/>
      <c r="AB113" s="2925"/>
      <c r="AC113" s="2925"/>
    </row>
    <row r="114" spans="1:29" s="429" customFormat="1" ht="15.75" thickBot="1">
      <c r="A114" s="509"/>
      <c r="B114" s="502"/>
      <c r="C114" s="468"/>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0"/>
      <c r="B116" s="502"/>
      <c r="C116" s="551"/>
      <c r="D116" s="551"/>
      <c r="E116" s="551"/>
      <c r="F116" s="551"/>
      <c r="G116" s="551"/>
      <c r="H116" s="551"/>
      <c r="I116" s="551"/>
      <c r="J116" s="552"/>
      <c r="K116" s="552"/>
      <c r="L116" s="553"/>
      <c r="M116" s="554"/>
      <c r="N116" s="2931"/>
      <c r="O116" s="2931"/>
      <c r="P116" s="2956"/>
      <c r="Q116" s="2917"/>
      <c r="R116" s="2903"/>
      <c r="S116" s="2903"/>
      <c r="T116" s="2903"/>
      <c r="U116" s="2903"/>
      <c r="V116" s="2903"/>
      <c r="W116" s="2903"/>
      <c r="X116" s="2903"/>
      <c r="Y116" s="2903"/>
      <c r="Z116" s="2903"/>
      <c r="AA116" s="2903"/>
      <c r="AB116" s="2903"/>
      <c r="AC116" s="2903"/>
    </row>
    <row r="117" spans="1:29" ht="15.75" thickBot="1">
      <c r="A117" s="490"/>
      <c r="B117" s="499"/>
      <c r="C117" s="526"/>
      <c r="D117" s="547"/>
      <c r="E117" s="547"/>
      <c r="F117" s="547"/>
      <c r="G117" s="547"/>
      <c r="H117" s="547"/>
      <c r="I117" s="547"/>
      <c r="J117" s="547"/>
      <c r="K117" s="547"/>
      <c r="L117" s="547"/>
      <c r="M117" s="548"/>
      <c r="N117" s="2932"/>
      <c r="O117" s="2932"/>
      <c r="P117" s="2956"/>
      <c r="Q117" s="2917"/>
      <c r="R117" s="2903"/>
      <c r="S117" s="2903"/>
      <c r="T117" s="2903"/>
      <c r="U117" s="2903"/>
      <c r="V117" s="2903"/>
      <c r="W117" s="2903"/>
      <c r="X117" s="2903"/>
      <c r="Y117" s="2903"/>
      <c r="Z117" s="2903"/>
      <c r="AA117" s="2903"/>
      <c r="AB117" s="2903"/>
      <c r="AC117" s="2903"/>
    </row>
    <row r="118" spans="1:29" ht="15" thickTop="1">
      <c r="A118" s="555"/>
      <c r="B118" s="494" t="s">
        <v>2371</v>
      </c>
      <c r="C118" s="539"/>
      <c r="D118" s="539"/>
      <c r="E118" s="539"/>
      <c r="F118" s="539"/>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5"/>
      <c r="B120" s="494" t="s">
        <v>2372</v>
      </c>
      <c r="C120" s="510"/>
      <c r="D120" s="510"/>
      <c r="E120" s="510"/>
      <c r="F120" s="539"/>
      <c r="G120" s="539"/>
      <c r="H120" s="539"/>
      <c r="I120" s="539"/>
      <c r="J120" s="539"/>
      <c r="K120" s="540"/>
      <c r="L120" s="541"/>
      <c r="M120" s="542"/>
      <c r="N120" s="2931"/>
      <c r="O120" s="2931"/>
      <c r="P120" s="2956"/>
      <c r="Q120" s="2917"/>
      <c r="R120" s="2903"/>
      <c r="S120" s="2903"/>
      <c r="T120" s="2903"/>
      <c r="U120" s="2903"/>
      <c r="V120" s="2903"/>
      <c r="W120" s="2903"/>
      <c r="X120" s="2903"/>
      <c r="Y120" s="2903"/>
      <c r="Z120" s="2903"/>
      <c r="AA120" s="2903"/>
      <c r="AB120" s="2903"/>
      <c r="AC120" s="2903"/>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2"/>
      <c r="O121" s="2932"/>
      <c r="P121" s="2956"/>
      <c r="Q121" s="2917"/>
      <c r="R121" s="2903"/>
      <c r="S121" s="2903"/>
      <c r="T121" s="2903"/>
      <c r="U121" s="2903"/>
      <c r="V121" s="2903"/>
      <c r="W121" s="2903"/>
      <c r="X121" s="2903"/>
      <c r="Y121" s="2903"/>
      <c r="Z121" s="2903"/>
      <c r="AA121" s="2903"/>
      <c r="AB121" s="2903"/>
      <c r="AC121" s="2903"/>
    </row>
    <row r="122" spans="1:29" s="429" customFormat="1" ht="15" thickTop="1">
      <c r="A122" s="549"/>
      <c r="B122" s="494" t="s">
        <v>2373</v>
      </c>
      <c r="C122" s="510"/>
      <c r="D122" s="510"/>
      <c r="E122" s="510"/>
      <c r="F122" s="510"/>
      <c r="G122" s="510"/>
      <c r="H122" s="539"/>
      <c r="I122" s="539"/>
      <c r="J122" s="539"/>
      <c r="K122" s="540"/>
      <c r="L122" s="541"/>
      <c r="M122" s="542"/>
      <c r="N122" s="2933"/>
      <c r="O122" s="2933"/>
      <c r="P122" s="2957"/>
      <c r="Q122" s="2924"/>
      <c r="R122" s="2925"/>
      <c r="S122" s="2925"/>
      <c r="T122" s="2925"/>
      <c r="U122" s="2925"/>
      <c r="V122" s="2925"/>
      <c r="W122" s="2925"/>
      <c r="X122" s="2925"/>
      <c r="Y122" s="2925"/>
      <c r="Z122" s="2925"/>
      <c r="AA122" s="2925"/>
      <c r="AB122" s="2925"/>
      <c r="AC122" s="2925"/>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5"/>
      <c r="B124" s="494" t="s">
        <v>2374</v>
      </c>
      <c r="C124" s="510"/>
      <c r="D124" s="510"/>
      <c r="E124" s="539"/>
      <c r="F124" s="539"/>
      <c r="G124" s="539"/>
      <c r="H124" s="539"/>
      <c r="I124" s="539"/>
      <c r="J124" s="539"/>
      <c r="K124" s="540"/>
      <c r="L124" s="541"/>
      <c r="M124" s="542"/>
      <c r="N124" s="2931"/>
      <c r="O124" s="2931"/>
      <c r="P124" s="2956"/>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5"/>
      <c r="B126" s="494">
        <f>B43</f>
        <v>111</v>
      </c>
      <c r="C126" s="510"/>
      <c r="D126" s="510"/>
      <c r="E126" s="510"/>
      <c r="F126" s="510"/>
      <c r="G126" s="510"/>
      <c r="H126" s="539"/>
      <c r="I126" s="539"/>
      <c r="J126" s="539"/>
      <c r="K126" s="540"/>
      <c r="L126" s="541"/>
      <c r="M126" s="542"/>
      <c r="N126" s="2931"/>
      <c r="O126" s="2931"/>
      <c r="P126" s="2956"/>
      <c r="Q126" s="2917"/>
      <c r="R126" s="2903"/>
      <c r="S126" s="2903"/>
      <c r="T126" s="2903"/>
      <c r="U126" s="2903"/>
      <c r="V126" s="2903"/>
      <c r="W126" s="2903"/>
      <c r="X126" s="2903"/>
      <c r="Y126" s="2903"/>
      <c r="Z126" s="2903"/>
      <c r="AA126" s="2903"/>
      <c r="AB126" s="2903"/>
      <c r="AC126" s="2903"/>
    </row>
    <row r="127" spans="1:29" ht="15.75" thickBot="1">
      <c r="A127" s="490"/>
      <c r="B127" s="499"/>
      <c r="C127" s="516"/>
      <c r="D127" s="516"/>
      <c r="E127" s="516"/>
      <c r="F127" s="516"/>
      <c r="G127" s="492"/>
      <c r="H127" s="492"/>
      <c r="I127" s="492"/>
      <c r="J127" s="492"/>
      <c r="K127" s="492"/>
      <c r="L127" s="492"/>
      <c r="M127" s="493"/>
      <c r="N127" s="2932"/>
      <c r="O127" s="2932"/>
      <c r="P127" s="2956"/>
      <c r="Q127" s="2917"/>
      <c r="R127" s="2903"/>
      <c r="S127" s="2903"/>
      <c r="T127" s="2903"/>
      <c r="U127" s="2903"/>
      <c r="V127" s="2903"/>
      <c r="W127" s="2903"/>
      <c r="X127" s="2903"/>
      <c r="Y127" s="2903"/>
      <c r="Z127" s="2903"/>
      <c r="AA127" s="2903"/>
      <c r="AB127" s="2903"/>
      <c r="AC127" s="2903"/>
    </row>
    <row r="128" spans="1:29" ht="15" thickTop="1">
      <c r="A128" s="555"/>
      <c r="B128" s="494">
        <f>B44</f>
        <v>111</v>
      </c>
      <c r="C128" s="479"/>
      <c r="D128" s="479"/>
      <c r="E128" s="479"/>
      <c r="F128" s="479"/>
      <c r="G128" s="539"/>
      <c r="H128" s="539"/>
      <c r="I128" s="539"/>
      <c r="J128" s="539"/>
      <c r="K128" s="540"/>
      <c r="L128" s="541"/>
      <c r="M128" s="542"/>
      <c r="N128" s="2931"/>
      <c r="O128" s="2931"/>
      <c r="P128" s="2956"/>
      <c r="Q128" s="2917"/>
      <c r="R128" s="2903"/>
      <c r="S128" s="2903"/>
      <c r="T128" s="2903"/>
      <c r="U128" s="2903"/>
      <c r="V128" s="2903"/>
      <c r="W128" s="2903"/>
      <c r="X128" s="2903"/>
      <c r="Y128" s="2903"/>
      <c r="Z128" s="2903"/>
      <c r="AA128" s="2903"/>
      <c r="AB128" s="2903"/>
      <c r="AC128" s="2903"/>
    </row>
    <row r="129" spans="1:29" ht="15.75" thickBot="1">
      <c r="A129" s="490"/>
      <c r="B129" s="499"/>
      <c r="C129" s="526"/>
      <c r="D129" s="526"/>
      <c r="E129" s="526"/>
      <c r="F129" s="526"/>
      <c r="G129" s="492"/>
      <c r="H129" s="492"/>
      <c r="I129" s="492"/>
      <c r="J129" s="492"/>
      <c r="K129" s="492"/>
      <c r="L129" s="492"/>
      <c r="M129" s="493"/>
      <c r="N129" s="2932"/>
      <c r="O129" s="2932"/>
      <c r="P129" s="2956"/>
      <c r="Q129" s="2917"/>
      <c r="R129" s="2903"/>
      <c r="S129" s="2903"/>
      <c r="T129" s="2903"/>
      <c r="U129" s="2903"/>
      <c r="V129" s="2903"/>
      <c r="W129" s="2903"/>
      <c r="X129" s="2903"/>
      <c r="Y129" s="2903"/>
      <c r="Z129" s="2903"/>
      <c r="AA129" s="2903"/>
      <c r="AB129" s="2903"/>
      <c r="AC129" s="2903"/>
    </row>
    <row r="130" spans="1:29" s="429" customFormat="1" ht="15" thickTop="1">
      <c r="A130" s="549"/>
      <c r="B130" s="494">
        <f>B45</f>
        <v>111</v>
      </c>
      <c r="C130" s="479"/>
      <c r="D130" s="479"/>
      <c r="E130" s="479"/>
      <c r="F130" s="479"/>
      <c r="G130" s="511"/>
      <c r="H130" s="511"/>
      <c r="I130" s="511"/>
      <c r="J130" s="511"/>
      <c r="K130" s="511"/>
      <c r="L130" s="512"/>
      <c r="M130" s="513"/>
      <c r="N130" s="2933"/>
      <c r="O130" s="2933"/>
      <c r="P130" s="2957"/>
      <c r="Q130" s="2924"/>
      <c r="R130" s="2925"/>
      <c r="S130" s="2925"/>
      <c r="T130" s="2925"/>
      <c r="U130" s="2925"/>
      <c r="V130" s="2925"/>
      <c r="W130" s="2925"/>
      <c r="X130" s="2925"/>
      <c r="Y130" s="2925"/>
      <c r="Z130" s="2925"/>
      <c r="AA130" s="2925"/>
      <c r="AB130" s="2925"/>
      <c r="AC130" s="2925"/>
    </row>
    <row r="131" spans="1:29" s="429" customFormat="1" ht="15.75" thickBot="1">
      <c r="A131" s="524"/>
      <c r="B131" s="655"/>
      <c r="C131" s="526"/>
      <c r="D131" s="526"/>
      <c r="E131" s="526"/>
      <c r="F131" s="526"/>
      <c r="G131" s="547"/>
      <c r="H131" s="547"/>
      <c r="I131" s="547"/>
      <c r="J131" s="547"/>
      <c r="K131" s="547"/>
      <c r="L131" s="547"/>
      <c r="M131" s="548"/>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474" t="s">
        <v>2226</v>
      </c>
      <c r="D4" s="3475"/>
      <c r="E4" s="3476" t="s">
        <v>2227</v>
      </c>
      <c r="F4" s="3477"/>
      <c r="G4" s="3474" t="s">
        <v>2228</v>
      </c>
      <c r="H4" s="3475"/>
      <c r="I4" s="3474" t="s">
        <v>2229</v>
      </c>
      <c r="J4" s="3475"/>
      <c r="K4" s="566" t="s">
        <v>2230</v>
      </c>
      <c r="L4" s="2893"/>
      <c r="M4" s="2894"/>
      <c r="N4" s="2894"/>
      <c r="O4" s="2894"/>
      <c r="P4" s="3478" t="s">
        <v>2231</v>
      </c>
      <c r="Q4" s="3479"/>
      <c r="R4" s="3461" t="s">
        <v>2227</v>
      </c>
      <c r="S4" s="3462"/>
      <c r="T4" s="3461" t="s">
        <v>2228</v>
      </c>
      <c r="U4" s="3462"/>
      <c r="V4" s="3486" t="s">
        <v>2229</v>
      </c>
      <c r="W4" s="3486"/>
      <c r="X4" s="1489"/>
      <c r="Y4" s="3461" t="s">
        <v>2231</v>
      </c>
      <c r="Z4" s="3462"/>
      <c r="AA4" s="3456" t="s">
        <v>2227</v>
      </c>
      <c r="AB4" s="3457" t="s">
        <v>2228</v>
      </c>
      <c r="AC4" s="3456" t="s">
        <v>2229</v>
      </c>
    </row>
    <row r="5" spans="1:29" ht="15">
      <c r="A5" s="363"/>
      <c r="B5" s="364"/>
      <c r="C5" s="3467" t="s">
        <v>2122</v>
      </c>
      <c r="D5" s="3468"/>
      <c r="E5" s="3465" t="s">
        <v>2123</v>
      </c>
      <c r="F5" s="3466"/>
      <c r="G5" s="3467" t="s">
        <v>2124</v>
      </c>
      <c r="H5" s="3468"/>
      <c r="I5" s="3467" t="s">
        <v>2125</v>
      </c>
      <c r="J5" s="3468"/>
      <c r="K5" s="566"/>
      <c r="L5" s="2893"/>
      <c r="M5" s="2894"/>
      <c r="N5" s="2894"/>
      <c r="O5" s="2894"/>
      <c r="P5" s="3480"/>
      <c r="Q5" s="3481"/>
      <c r="R5" s="3463"/>
      <c r="S5" s="3464"/>
      <c r="T5" s="3463"/>
      <c r="U5" s="3464"/>
      <c r="V5" s="3486"/>
      <c r="W5" s="3486"/>
      <c r="X5" s="1489"/>
      <c r="Y5" s="3463"/>
      <c r="Z5" s="3464"/>
      <c r="AA5" s="3457"/>
      <c r="AB5" s="3457"/>
      <c r="AC5" s="3457"/>
    </row>
    <row r="6" spans="1:29" ht="15.75" thickBot="1">
      <c r="A6" s="365"/>
      <c r="B6" s="366"/>
      <c r="C6" s="3543" t="s">
        <v>2376</v>
      </c>
      <c r="D6" s="3544"/>
      <c r="E6" s="3545" t="s">
        <v>2376</v>
      </c>
      <c r="F6" s="3546"/>
      <c r="G6" s="3543" t="s">
        <v>2376</v>
      </c>
      <c r="H6" s="3544"/>
      <c r="I6" s="3543" t="s">
        <v>2376</v>
      </c>
      <c r="J6" s="3544"/>
      <c r="K6" s="566" t="s">
        <v>2127</v>
      </c>
      <c r="L6" s="2893"/>
      <c r="M6" s="2894"/>
      <c r="N6" s="2894"/>
      <c r="O6" s="2894"/>
      <c r="P6" s="3482"/>
      <c r="Q6" s="3483"/>
      <c r="R6" s="3463"/>
      <c r="S6" s="3464"/>
      <c r="T6" s="3484"/>
      <c r="U6" s="3485"/>
      <c r="V6" s="3486"/>
      <c r="W6" s="3486"/>
      <c r="X6" s="1489"/>
      <c r="Y6" s="3484"/>
      <c r="Z6" s="3485"/>
      <c r="AA6" s="3458"/>
      <c r="AB6" s="3458"/>
      <c r="AC6" s="3458"/>
    </row>
    <row r="7" spans="1:29" s="112" customFormat="1" ht="15.75" thickBot="1">
      <c r="A7" s="367" t="s">
        <v>2128</v>
      </c>
      <c r="B7" s="368"/>
      <c r="C7" s="369">
        <f>'数据-取费表'!B2</f>
        <v>44698</v>
      </c>
      <c r="D7" s="370">
        <v>100</v>
      </c>
      <c r="E7" s="371"/>
      <c r="F7" s="372">
        <f>SUMIF(65:65,YEAR(E7)&amp;"-"&amp;INT((MONTH(E7)+2)/3),66:66)</f>
        <v>0</v>
      </c>
      <c r="G7" s="2110"/>
      <c r="H7" s="370">
        <f>SUMIF(65:65,YEAR(G7)&amp;"-"&amp;INT((MONTH(G7)+2)/3),66:66)</f>
        <v>0</v>
      </c>
      <c r="I7" s="2110"/>
      <c r="J7" s="370">
        <f>SUMIF(65:65,YEAR(I7)&amp;"-"&amp;INT((MONTH(I7)+2)/3),66:66)</f>
        <v>0</v>
      </c>
      <c r="K7" s="567"/>
      <c r="L7" s="2895"/>
      <c r="M7" s="2896"/>
      <c r="N7" s="2896"/>
      <c r="O7" s="2896"/>
      <c r="P7" s="3459" t="s">
        <v>2129</v>
      </c>
      <c r="Q7" s="3487"/>
      <c r="R7" s="709" t="s">
        <v>17</v>
      </c>
      <c r="S7" s="710">
        <f t="shared" ref="S7:S15" si="0">F7</f>
        <v>0</v>
      </c>
      <c r="T7" s="709" t="s">
        <v>17</v>
      </c>
      <c r="U7" s="710">
        <f t="shared" ref="U7:U15" si="1">H7</f>
        <v>0</v>
      </c>
      <c r="V7" s="709" t="s">
        <v>17</v>
      </c>
      <c r="W7" s="710">
        <f t="shared" ref="W7:W15" si="2">J7</f>
        <v>0</v>
      </c>
      <c r="X7" s="711"/>
      <c r="Y7" s="3459" t="s">
        <v>2129</v>
      </c>
      <c r="Z7" s="3460"/>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5"/>
      <c r="M8" s="2896"/>
      <c r="N8" s="2896"/>
      <c r="O8" s="2896"/>
      <c r="P8" s="3459" t="s">
        <v>2132</v>
      </c>
      <c r="Q8" s="3460"/>
      <c r="R8" s="709" t="s">
        <v>17</v>
      </c>
      <c r="S8" s="710">
        <f t="shared" si="0"/>
        <v>0</v>
      </c>
      <c r="T8" s="709" t="s">
        <v>17</v>
      </c>
      <c r="U8" s="710">
        <f t="shared" si="1"/>
        <v>0</v>
      </c>
      <c r="V8" s="709" t="s">
        <v>17</v>
      </c>
      <c r="W8" s="710">
        <f t="shared" si="2"/>
        <v>0</v>
      </c>
      <c r="X8" s="711"/>
      <c r="Y8" s="3459" t="s">
        <v>2132</v>
      </c>
      <c r="Z8" s="3460"/>
      <c r="AA8" s="712" t="e">
        <f t="shared" ref="AA8:AA40" si="3">D8/F8</f>
        <v>#DIV/0!</v>
      </c>
      <c r="AB8" s="712" t="e">
        <f t="shared" ref="AB8:AB40" si="4">D8/H8</f>
        <v>#DIV/0!</v>
      </c>
      <c r="AC8" s="712" t="e">
        <f t="shared" ref="AC8:AC40" si="5">D8/J8</f>
        <v>#DIV/0!</v>
      </c>
    </row>
    <row r="9" spans="1:29" s="112" customFormat="1">
      <c r="A9" s="374" t="s">
        <v>2133</v>
      </c>
      <c r="B9" s="66" t="s">
        <v>2134</v>
      </c>
      <c r="C9" s="2113"/>
      <c r="D9" s="130">
        <v>100</v>
      </c>
      <c r="E9" s="2113"/>
      <c r="F9" s="130">
        <f>SUMIF(70:70,E9,71:71)-SUMIF(70:70,C9,71:71)+100</f>
        <v>100</v>
      </c>
      <c r="G9" s="2113"/>
      <c r="H9" s="130">
        <f>SUMIF(70:70,G9,71:71)-SUMIF(70:70,C9,71:71)+100</f>
        <v>100</v>
      </c>
      <c r="I9" s="2113"/>
      <c r="J9" s="130">
        <f>SUMIF(70:70,I9,71:71)-SUMIF(70:70,C9,71:71)+100</f>
        <v>100</v>
      </c>
      <c r="K9" s="567"/>
      <c r="L9" s="2895"/>
      <c r="M9" s="2896"/>
      <c r="N9" s="2896"/>
      <c r="O9" s="2950"/>
      <c r="P9" s="3473" t="s">
        <v>2135</v>
      </c>
      <c r="Q9" s="1477" t="str">
        <f t="shared" ref="Q9:Q15" si="6">B9</f>
        <v>用途</v>
      </c>
      <c r="R9" s="709" t="s">
        <v>17</v>
      </c>
      <c r="S9" s="710">
        <f t="shared" si="0"/>
        <v>100</v>
      </c>
      <c r="T9" s="709" t="s">
        <v>17</v>
      </c>
      <c r="U9" s="710">
        <f t="shared" si="1"/>
        <v>100</v>
      </c>
      <c r="V9" s="709" t="s">
        <v>17</v>
      </c>
      <c r="W9" s="710">
        <f t="shared" si="2"/>
        <v>100</v>
      </c>
      <c r="X9" s="711"/>
      <c r="Y9" s="3424" t="s">
        <v>2136</v>
      </c>
      <c r="Z9" s="55"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118</v>
      </c>
      <c r="G10" s="390"/>
      <c r="H10" s="131">
        <f>ROUND(100/'数据-取费表'!G16,0)</f>
        <v>118</v>
      </c>
      <c r="I10" s="390"/>
      <c r="J10" s="131">
        <f>ROUND(100/'数据-取费表'!G16,0)</f>
        <v>118</v>
      </c>
      <c r="K10" s="627"/>
      <c r="L10" s="2897"/>
      <c r="M10" s="2898"/>
      <c r="N10" s="2898"/>
      <c r="O10" s="2951"/>
      <c r="P10" s="3473"/>
      <c r="Q10" s="1477" t="str">
        <f t="shared" si="6"/>
        <v>土地使用年限（年）</v>
      </c>
      <c r="R10" s="709" t="s">
        <v>17</v>
      </c>
      <c r="S10" s="710">
        <f t="shared" si="0"/>
        <v>118</v>
      </c>
      <c r="T10" s="709" t="s">
        <v>17</v>
      </c>
      <c r="U10" s="710">
        <f t="shared" si="1"/>
        <v>118</v>
      </c>
      <c r="V10" s="709" t="s">
        <v>17</v>
      </c>
      <c r="W10" s="710">
        <f t="shared" si="2"/>
        <v>118</v>
      </c>
      <c r="X10" s="711"/>
      <c r="Y10" s="3424"/>
      <c r="Z10" s="55" t="str">
        <f t="shared" si="7"/>
        <v>土地使用年限（年）</v>
      </c>
      <c r="AA10" s="712">
        <f t="shared" si="3"/>
        <v>0.84745762711864403</v>
      </c>
      <c r="AB10" s="712">
        <f t="shared" si="4"/>
        <v>0.84745762711864403</v>
      </c>
      <c r="AC10" s="712">
        <f t="shared" si="5"/>
        <v>0.84745762711864403</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9"/>
      <c r="M11" s="2894"/>
      <c r="N11" s="2894"/>
      <c r="O11" s="2952"/>
      <c r="P11" s="3473"/>
      <c r="Q11" s="1477" t="str">
        <f t="shared" si="6"/>
        <v>容积率</v>
      </c>
      <c r="R11" s="709" t="s">
        <v>17</v>
      </c>
      <c r="S11" s="710" t="e">
        <f t="shared" si="0"/>
        <v>#N/A</v>
      </c>
      <c r="T11" s="709" t="s">
        <v>17</v>
      </c>
      <c r="U11" s="710" t="e">
        <f t="shared" si="1"/>
        <v>#N/A</v>
      </c>
      <c r="V11" s="709" t="s">
        <v>17</v>
      </c>
      <c r="W11" s="710" t="e">
        <f t="shared" si="2"/>
        <v>#N/A</v>
      </c>
      <c r="X11" s="711"/>
      <c r="Y11" s="3424"/>
      <c r="Z11" s="55" t="str">
        <f t="shared" si="7"/>
        <v>容积率</v>
      </c>
      <c r="AA11" s="712" t="e">
        <f t="shared" si="3"/>
        <v>#N/A</v>
      </c>
      <c r="AB11" s="712" t="e">
        <f t="shared" si="4"/>
        <v>#N/A</v>
      </c>
      <c r="AC11" s="712" t="e">
        <f t="shared" si="5"/>
        <v>#N/A</v>
      </c>
    </row>
    <row r="12" spans="1:29" s="112"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5"/>
      <c r="M12" s="2896"/>
      <c r="N12" s="2896"/>
      <c r="O12" s="2950"/>
      <c r="P12" s="3473"/>
      <c r="Q12" s="1477">
        <f t="shared" si="6"/>
        <v>111</v>
      </c>
      <c r="R12" s="709" t="s">
        <v>17</v>
      </c>
      <c r="S12" s="710">
        <f t="shared" si="0"/>
        <v>100</v>
      </c>
      <c r="T12" s="709" t="s">
        <v>17</v>
      </c>
      <c r="U12" s="710">
        <f t="shared" si="1"/>
        <v>100</v>
      </c>
      <c r="V12" s="709" t="s">
        <v>17</v>
      </c>
      <c r="W12" s="710">
        <f t="shared" si="2"/>
        <v>100</v>
      </c>
      <c r="X12" s="711"/>
      <c r="Y12" s="3424"/>
      <c r="Z12" s="55">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900"/>
      <c r="M13" s="2894"/>
      <c r="N13" s="2894"/>
      <c r="O13" s="2952"/>
      <c r="P13" s="3473"/>
      <c r="Q13" s="1477">
        <f t="shared" si="6"/>
        <v>111</v>
      </c>
      <c r="R13" s="709" t="s">
        <v>17</v>
      </c>
      <c r="S13" s="710">
        <f t="shared" si="0"/>
        <v>100</v>
      </c>
      <c r="T13" s="709" t="s">
        <v>17</v>
      </c>
      <c r="U13" s="710">
        <f t="shared" si="1"/>
        <v>100</v>
      </c>
      <c r="V13" s="709" t="s">
        <v>17</v>
      </c>
      <c r="W13" s="710">
        <f t="shared" si="2"/>
        <v>100</v>
      </c>
      <c r="X13" s="711"/>
      <c r="Y13" s="3424"/>
      <c r="Z13" s="55">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900"/>
      <c r="M14" s="2894"/>
      <c r="N14" s="2894"/>
      <c r="O14" s="2952"/>
      <c r="P14" s="3473"/>
      <c r="Q14" s="1477">
        <f t="shared" si="6"/>
        <v>111</v>
      </c>
      <c r="R14" s="709" t="s">
        <v>17</v>
      </c>
      <c r="S14" s="710">
        <f t="shared" si="0"/>
        <v>100</v>
      </c>
      <c r="T14" s="709" t="s">
        <v>17</v>
      </c>
      <c r="U14" s="710">
        <f t="shared" si="1"/>
        <v>100</v>
      </c>
      <c r="V14" s="709" t="s">
        <v>17</v>
      </c>
      <c r="W14" s="710">
        <f t="shared" si="2"/>
        <v>100</v>
      </c>
      <c r="X14" s="711"/>
      <c r="Y14" s="3424"/>
      <c r="Z14" s="55">
        <f t="shared" si="7"/>
        <v>111</v>
      </c>
      <c r="AA14" s="712">
        <f t="shared" si="3"/>
        <v>1</v>
      </c>
      <c r="AB14" s="712">
        <f t="shared" si="4"/>
        <v>1</v>
      </c>
      <c r="AC14" s="712">
        <f t="shared" si="5"/>
        <v>1</v>
      </c>
    </row>
    <row r="15" spans="1:29" ht="57">
      <c r="A15" s="398" t="s">
        <v>2139</v>
      </c>
      <c r="B15" s="584" t="s">
        <v>2377</v>
      </c>
      <c r="C15" s="210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0"/>
      <c r="M15" s="2894"/>
      <c r="N15" s="2894"/>
      <c r="O15" s="2952"/>
      <c r="P15" s="3488" t="s">
        <v>2140</v>
      </c>
      <c r="Q15" s="1486" t="str">
        <f t="shared" si="6"/>
        <v>产业集聚程度</v>
      </c>
      <c r="R15" s="713" t="s">
        <v>17</v>
      </c>
      <c r="S15" s="714">
        <f t="shared" si="0"/>
        <v>100</v>
      </c>
      <c r="T15" s="713" t="s">
        <v>17</v>
      </c>
      <c r="U15" s="714">
        <f t="shared" si="1"/>
        <v>100</v>
      </c>
      <c r="V15" s="713" t="s">
        <v>17</v>
      </c>
      <c r="W15" s="714">
        <f t="shared" si="2"/>
        <v>100</v>
      </c>
      <c r="X15" s="1489"/>
      <c r="Y15" s="3488" t="s">
        <v>2140</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900"/>
      <c r="M16" s="2894"/>
      <c r="N16" s="2894"/>
      <c r="O16" s="2952"/>
      <c r="P16" s="3489"/>
      <c r="Q16" s="1486"/>
      <c r="R16" s="713"/>
      <c r="S16" s="714"/>
      <c r="T16" s="713"/>
      <c r="U16" s="714"/>
      <c r="V16" s="713"/>
      <c r="W16" s="714"/>
      <c r="X16" s="1489"/>
      <c r="Y16" s="3489"/>
      <c r="Z16" s="1490"/>
      <c r="AA16" s="1487">
        <v>1</v>
      </c>
      <c r="AB16" s="1487">
        <v>1</v>
      </c>
      <c r="AC16" s="1487">
        <v>1</v>
      </c>
    </row>
    <row r="17" spans="1:29" ht="85.5">
      <c r="A17" s="386"/>
      <c r="B17" s="586" t="s">
        <v>2289</v>
      </c>
      <c r="C17" s="203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0"/>
      <c r="M17" s="2894"/>
      <c r="N17" s="2894"/>
      <c r="O17" s="2952"/>
      <c r="P17" s="3489"/>
      <c r="Q17" s="1486" t="str">
        <f>B17</f>
        <v>交通便捷度</v>
      </c>
      <c r="R17" s="713" t="s">
        <v>17</v>
      </c>
      <c r="S17" s="714">
        <f>F17</f>
        <v>100</v>
      </c>
      <c r="T17" s="713" t="s">
        <v>17</v>
      </c>
      <c r="U17" s="714">
        <f>H17</f>
        <v>100</v>
      </c>
      <c r="V17" s="713" t="s">
        <v>17</v>
      </c>
      <c r="W17" s="714">
        <f>J17</f>
        <v>100</v>
      </c>
      <c r="X17" s="1489"/>
      <c r="Y17" s="3489"/>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900"/>
      <c r="M18" s="2894"/>
      <c r="N18" s="2894"/>
      <c r="O18" s="2952"/>
      <c r="P18" s="3489"/>
      <c r="Q18" s="1486"/>
      <c r="R18" s="713"/>
      <c r="S18" s="714"/>
      <c r="T18" s="713"/>
      <c r="U18" s="714"/>
      <c r="V18" s="713"/>
      <c r="W18" s="714"/>
      <c r="X18" s="1489"/>
      <c r="Y18" s="3489"/>
      <c r="Z18" s="1490"/>
      <c r="AA18" s="1487">
        <v>1</v>
      </c>
      <c r="AB18" s="1487">
        <v>1</v>
      </c>
      <c r="AC18" s="1487">
        <v>1</v>
      </c>
    </row>
    <row r="19" spans="1:29" ht="15">
      <c r="A19" s="386"/>
      <c r="B19" s="586" t="s">
        <v>2328</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0"/>
      <c r="M19" s="2894"/>
      <c r="N19" s="2894"/>
      <c r="O19" s="2952"/>
      <c r="P19" s="3489"/>
      <c r="Q19" s="1486" t="str">
        <f t="shared" ref="Q19:Q33" si="8">B19</f>
        <v>区域土地利用方向</v>
      </c>
      <c r="R19" s="713" t="s">
        <v>17</v>
      </c>
      <c r="S19" s="714">
        <f>F19</f>
        <v>100</v>
      </c>
      <c r="T19" s="713" t="s">
        <v>17</v>
      </c>
      <c r="U19" s="714">
        <f>H19</f>
        <v>100</v>
      </c>
      <c r="V19" s="713" t="s">
        <v>17</v>
      </c>
      <c r="W19" s="714">
        <f>J19</f>
        <v>100</v>
      </c>
      <c r="X19" s="1489"/>
      <c r="Y19" s="3489"/>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900"/>
      <c r="M20" s="2894"/>
      <c r="N20" s="2894"/>
      <c r="O20" s="2952"/>
      <c r="P20" s="3489"/>
      <c r="Q20" s="1486"/>
      <c r="R20" s="713"/>
      <c r="S20" s="714"/>
      <c r="T20" s="713"/>
      <c r="U20" s="714"/>
      <c r="V20" s="713"/>
      <c r="W20" s="714"/>
      <c r="X20" s="1489"/>
      <c r="Y20" s="3489"/>
      <c r="Z20" s="1490"/>
      <c r="AA20" s="1487"/>
      <c r="AB20" s="1487"/>
      <c r="AC20" s="1487"/>
    </row>
    <row r="21" spans="1:29" ht="71.25">
      <c r="A21" s="363"/>
      <c r="B21" s="586" t="s">
        <v>2378</v>
      </c>
      <c r="C21" s="203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0"/>
      <c r="M21" s="2894"/>
      <c r="N21" s="2894"/>
      <c r="O21" s="2952"/>
      <c r="P21" s="3489"/>
      <c r="Q21" s="1486" t="str">
        <f t="shared" si="8"/>
        <v>环境状况</v>
      </c>
      <c r="R21" s="713" t="s">
        <v>17</v>
      </c>
      <c r="S21" s="714">
        <f>F21</f>
        <v>100</v>
      </c>
      <c r="T21" s="713" t="s">
        <v>17</v>
      </c>
      <c r="U21" s="714">
        <f>H21</f>
        <v>100</v>
      </c>
      <c r="V21" s="713" t="s">
        <v>17</v>
      </c>
      <c r="W21" s="714">
        <f>J21</f>
        <v>100</v>
      </c>
      <c r="X21" s="1489"/>
      <c r="Y21" s="3489"/>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900"/>
      <c r="M22" s="2894"/>
      <c r="N22" s="2894"/>
      <c r="O22" s="2952"/>
      <c r="P22" s="3489"/>
      <c r="Q22" s="1486"/>
      <c r="R22" s="713"/>
      <c r="S22" s="714"/>
      <c r="T22" s="713"/>
      <c r="U22" s="714"/>
      <c r="V22" s="713"/>
      <c r="W22" s="714"/>
      <c r="X22" s="1489"/>
      <c r="Y22" s="3489"/>
      <c r="Z22" s="1490"/>
      <c r="AA22" s="1487">
        <v>1</v>
      </c>
      <c r="AB22" s="1487">
        <v>1</v>
      </c>
      <c r="AC22" s="1487">
        <v>1</v>
      </c>
    </row>
    <row r="23" spans="1:29" s="112" customFormat="1" ht="42.75">
      <c r="A23" s="604"/>
      <c r="B23" s="588" t="s">
        <v>2234</v>
      </c>
      <c r="C23" s="203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5"/>
      <c r="M23" s="2896"/>
      <c r="N23" s="2896"/>
      <c r="O23" s="2950"/>
      <c r="P23" s="3489"/>
      <c r="Q23" s="1477" t="str">
        <f t="shared" si="8"/>
        <v>公共配套设施</v>
      </c>
      <c r="R23" s="709" t="s">
        <v>17</v>
      </c>
      <c r="S23" s="710">
        <f>F23</f>
        <v>100</v>
      </c>
      <c r="T23" s="709" t="s">
        <v>17</v>
      </c>
      <c r="U23" s="710">
        <f>H23</f>
        <v>100</v>
      </c>
      <c r="V23" s="709" t="s">
        <v>17</v>
      </c>
      <c r="W23" s="710">
        <f>J23</f>
        <v>100</v>
      </c>
      <c r="X23" s="711"/>
      <c r="Y23" s="3489"/>
      <c r="Z23" s="55" t="str">
        <f>Q23</f>
        <v>公共配套设施</v>
      </c>
      <c r="AA23" s="1487">
        <f>D23/F23</f>
        <v>1</v>
      </c>
      <c r="AB23" s="1487">
        <f>D23/H23</f>
        <v>1</v>
      </c>
      <c r="AC23" s="1487">
        <f>D23/J23</f>
        <v>1</v>
      </c>
    </row>
    <row r="24" spans="1:29" s="112" customFormat="1" ht="15">
      <c r="A24" s="604"/>
      <c r="B24" s="587"/>
      <c r="C24" s="2114"/>
      <c r="D24" s="406"/>
      <c r="E24" s="2040"/>
      <c r="F24" s="406"/>
      <c r="G24" s="2040"/>
      <c r="H24" s="406"/>
      <c r="I24" s="405"/>
      <c r="J24" s="406"/>
      <c r="K24" s="627"/>
      <c r="L24" s="2895"/>
      <c r="M24" s="2896"/>
      <c r="N24" s="2896"/>
      <c r="O24" s="2950"/>
      <c r="P24" s="3489"/>
      <c r="Q24" s="1477"/>
      <c r="R24" s="709"/>
      <c r="S24" s="710"/>
      <c r="T24" s="709"/>
      <c r="U24" s="710"/>
      <c r="V24" s="709"/>
      <c r="W24" s="710"/>
      <c r="X24" s="711"/>
      <c r="Y24" s="3489"/>
      <c r="Z24" s="55"/>
      <c r="AA24" s="712">
        <v>1</v>
      </c>
      <c r="AB24" s="712">
        <v>1</v>
      </c>
      <c r="AC24" s="712">
        <v>1</v>
      </c>
    </row>
    <row r="25" spans="1:29" s="112" customFormat="1" ht="28.5">
      <c r="A25" s="604"/>
      <c r="B25" s="588" t="s">
        <v>2235</v>
      </c>
      <c r="C25" s="203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5"/>
      <c r="M25" s="2896"/>
      <c r="N25" s="2896"/>
      <c r="O25" s="2950"/>
      <c r="P25" s="3489"/>
      <c r="Q25" s="1477" t="str">
        <f t="shared" ref="Q25" si="9">B25</f>
        <v>基础设施水平</v>
      </c>
      <c r="R25" s="709" t="s">
        <v>17</v>
      </c>
      <c r="S25" s="710">
        <f>F25</f>
        <v>100</v>
      </c>
      <c r="T25" s="709" t="s">
        <v>17</v>
      </c>
      <c r="U25" s="710">
        <f>H25</f>
        <v>100</v>
      </c>
      <c r="V25" s="709" t="s">
        <v>17</v>
      </c>
      <c r="W25" s="710">
        <f>J25</f>
        <v>100</v>
      </c>
      <c r="X25" s="711"/>
      <c r="Y25" s="3489"/>
      <c r="Z25" s="55" t="str">
        <f>Q25</f>
        <v>基础设施水平</v>
      </c>
      <c r="AA25" s="1487">
        <f>D25/F25</f>
        <v>1</v>
      </c>
      <c r="AB25" s="1487">
        <f>D25/H25</f>
        <v>1</v>
      </c>
      <c r="AC25" s="1487">
        <f>D25/J25</f>
        <v>1</v>
      </c>
    </row>
    <row r="26" spans="1:29" s="112" customFormat="1" ht="15">
      <c r="A26" s="604"/>
      <c r="B26" s="587"/>
      <c r="C26" s="2114"/>
      <c r="D26" s="406"/>
      <c r="E26" s="2115"/>
      <c r="F26" s="406"/>
      <c r="G26" s="2115"/>
      <c r="H26" s="406"/>
      <c r="I26" s="2115"/>
      <c r="J26" s="406"/>
      <c r="K26" s="627"/>
      <c r="L26" s="2895"/>
      <c r="M26" s="2896"/>
      <c r="N26" s="2896"/>
      <c r="O26" s="2950"/>
      <c r="P26" s="3489"/>
      <c r="Q26" s="1477"/>
      <c r="R26" s="709"/>
      <c r="S26" s="710"/>
      <c r="T26" s="709"/>
      <c r="U26" s="710"/>
      <c r="V26" s="709"/>
      <c r="W26" s="710"/>
      <c r="X26" s="711"/>
      <c r="Y26" s="3489"/>
      <c r="Z26" s="55"/>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900"/>
      <c r="M27" s="2894"/>
      <c r="N27" s="2894"/>
      <c r="O27" s="2952"/>
      <c r="P27" s="3489"/>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89"/>
      <c r="Z27" s="1490" t="str">
        <f t="shared" ref="Z27:Z40" si="13">Q27</f>
        <v>临街状况</v>
      </c>
      <c r="AA27" s="1487">
        <f t="shared" si="3"/>
        <v>1</v>
      </c>
      <c r="AB27" s="1487">
        <f t="shared" si="4"/>
        <v>1</v>
      </c>
      <c r="AC27" s="1487">
        <f t="shared" si="5"/>
        <v>1</v>
      </c>
    </row>
    <row r="28" spans="1:29" ht="27">
      <c r="A28" s="386"/>
      <c r="B28" s="588" t="s">
        <v>2271</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0"/>
      <c r="M28" s="2894"/>
      <c r="N28" s="2894"/>
      <c r="O28" s="2952"/>
      <c r="P28" s="3489"/>
      <c r="Q28" s="1486" t="str">
        <f t="shared" si="8"/>
        <v>毗邻道路的类型与等级</v>
      </c>
      <c r="R28" s="713" t="s">
        <v>17</v>
      </c>
      <c r="S28" s="714">
        <f t="shared" si="10"/>
        <v>100</v>
      </c>
      <c r="T28" s="713" t="s">
        <v>17</v>
      </c>
      <c r="U28" s="714">
        <f t="shared" si="11"/>
        <v>100</v>
      </c>
      <c r="V28" s="713" t="s">
        <v>17</v>
      </c>
      <c r="W28" s="714">
        <f t="shared" si="12"/>
        <v>100</v>
      </c>
      <c r="X28" s="1489"/>
      <c r="Y28" s="3489"/>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900"/>
      <c r="M29" s="2894"/>
      <c r="N29" s="2894"/>
      <c r="O29" s="2952"/>
      <c r="P29" s="3489"/>
      <c r="Q29" s="1486"/>
      <c r="R29" s="713"/>
      <c r="S29" s="714"/>
      <c r="T29" s="713"/>
      <c r="U29" s="714"/>
      <c r="V29" s="713"/>
      <c r="W29" s="714"/>
      <c r="X29" s="1489"/>
      <c r="Y29" s="3489"/>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0"/>
      <c r="M30" s="2894"/>
      <c r="N30" s="2894"/>
      <c r="O30" s="2952"/>
      <c r="P30" s="3489"/>
      <c r="Q30" s="1486" t="str">
        <f t="shared" si="8"/>
        <v>土地级别</v>
      </c>
      <c r="R30" s="713" t="s">
        <v>17</v>
      </c>
      <c r="S30" s="714">
        <f t="shared" si="10"/>
        <v>100</v>
      </c>
      <c r="T30" s="713" t="s">
        <v>17</v>
      </c>
      <c r="U30" s="714">
        <f t="shared" si="11"/>
        <v>100</v>
      </c>
      <c r="V30" s="713" t="s">
        <v>17</v>
      </c>
      <c r="W30" s="714">
        <f t="shared" si="12"/>
        <v>100</v>
      </c>
      <c r="X30" s="1489"/>
      <c r="Y30" s="3489"/>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0"/>
      <c r="M31" s="2894"/>
      <c r="N31" s="2894"/>
      <c r="O31" s="2952"/>
      <c r="P31" s="3489"/>
      <c r="Q31" s="1486">
        <f t="shared" si="8"/>
        <v>111</v>
      </c>
      <c r="R31" s="713" t="s">
        <v>17</v>
      </c>
      <c r="S31" s="714">
        <f t="shared" si="10"/>
        <v>100</v>
      </c>
      <c r="T31" s="713" t="s">
        <v>17</v>
      </c>
      <c r="U31" s="714">
        <f t="shared" si="11"/>
        <v>100</v>
      </c>
      <c r="V31" s="713" t="s">
        <v>17</v>
      </c>
      <c r="W31" s="714">
        <f t="shared" si="12"/>
        <v>100</v>
      </c>
      <c r="X31" s="1489"/>
      <c r="Y31" s="3489"/>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0"/>
      <c r="M32" s="2894"/>
      <c r="N32" s="2894"/>
      <c r="O32" s="2952"/>
      <c r="P32" s="3490" t="s">
        <v>2145</v>
      </c>
      <c r="Q32" s="1486">
        <f t="shared" si="8"/>
        <v>111</v>
      </c>
      <c r="R32" s="713" t="s">
        <v>17</v>
      </c>
      <c r="S32" s="714">
        <f t="shared" si="10"/>
        <v>100</v>
      </c>
      <c r="T32" s="713" t="s">
        <v>17</v>
      </c>
      <c r="U32" s="714">
        <f t="shared" si="11"/>
        <v>100</v>
      </c>
      <c r="V32" s="713" t="s">
        <v>17</v>
      </c>
      <c r="W32" s="714">
        <f t="shared" si="12"/>
        <v>100</v>
      </c>
      <c r="X32" s="1489"/>
      <c r="Y32" s="3491" t="s">
        <v>2145</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9"/>
      <c r="M33" s="2901"/>
      <c r="N33" s="2901"/>
      <c r="O33" s="2953"/>
      <c r="P33" s="3491"/>
      <c r="Q33" s="1486">
        <f t="shared" si="8"/>
        <v>111</v>
      </c>
      <c r="R33" s="716" t="s">
        <v>17</v>
      </c>
      <c r="S33" s="717">
        <f t="shared" si="10"/>
        <v>100</v>
      </c>
      <c r="T33" s="716" t="s">
        <v>17</v>
      </c>
      <c r="U33" s="717">
        <f t="shared" si="11"/>
        <v>100</v>
      </c>
      <c r="V33" s="716" t="s">
        <v>17</v>
      </c>
      <c r="W33" s="717">
        <f t="shared" si="12"/>
        <v>100</v>
      </c>
      <c r="X33" s="718"/>
      <c r="Y33" s="3491"/>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0"/>
      <c r="M34" s="2894"/>
      <c r="N34" s="2894"/>
      <c r="O34" s="2952"/>
      <c r="P34" s="3491"/>
      <c r="Q34" s="1486" t="str">
        <f>B34</f>
        <v>宗地面积</v>
      </c>
      <c r="R34" s="713" t="s">
        <v>17</v>
      </c>
      <c r="S34" s="714" t="e">
        <f t="shared" si="10"/>
        <v>#N/A</v>
      </c>
      <c r="T34" s="713" t="s">
        <v>17</v>
      </c>
      <c r="U34" s="714" t="e">
        <f t="shared" si="11"/>
        <v>#N/A</v>
      </c>
      <c r="V34" s="713" t="s">
        <v>17</v>
      </c>
      <c r="W34" s="714" t="e">
        <f t="shared" si="12"/>
        <v>#N/A</v>
      </c>
      <c r="X34" s="1489"/>
      <c r="Y34" s="3491"/>
      <c r="Z34" s="1490" t="str">
        <f t="shared" si="13"/>
        <v>宗地面积</v>
      </c>
      <c r="AA34" s="1487" t="e">
        <f t="shared" si="3"/>
        <v>#N/A</v>
      </c>
      <c r="AB34" s="1487" t="e">
        <f t="shared" si="4"/>
        <v>#N/A</v>
      </c>
      <c r="AC34" s="1487" t="e">
        <f t="shared" si="5"/>
        <v>#N/A</v>
      </c>
    </row>
    <row r="35" spans="1:31" ht="15">
      <c r="A35" s="430"/>
      <c r="B35" s="380" t="s">
        <v>2332</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900"/>
      <c r="M35" s="2894"/>
      <c r="N35" s="2894"/>
      <c r="O35" s="2952"/>
      <c r="P35" s="3491"/>
      <c r="Q35" s="1486" t="str">
        <f t="shared" ref="Q35:Q40" si="14">B35</f>
        <v>宗地形状</v>
      </c>
      <c r="R35" s="713" t="s">
        <v>17</v>
      </c>
      <c r="S35" s="714">
        <f t="shared" si="10"/>
        <v>100</v>
      </c>
      <c r="T35" s="713" t="s">
        <v>17</v>
      </c>
      <c r="U35" s="714">
        <f t="shared" si="11"/>
        <v>100</v>
      </c>
      <c r="V35" s="713" t="s">
        <v>17</v>
      </c>
      <c r="W35" s="714">
        <f t="shared" si="12"/>
        <v>100</v>
      </c>
      <c r="X35" s="1489"/>
      <c r="Y35" s="3491"/>
      <c r="Z35" s="1490" t="str">
        <f t="shared" si="13"/>
        <v>宗地形状</v>
      </c>
      <c r="AA35" s="1487">
        <f t="shared" si="3"/>
        <v>1</v>
      </c>
      <c r="AB35" s="1487">
        <f t="shared" si="4"/>
        <v>1</v>
      </c>
      <c r="AC35" s="1487">
        <f t="shared" si="5"/>
        <v>1</v>
      </c>
    </row>
    <row r="36" spans="1:31" s="112" customFormat="1" ht="15">
      <c r="A36" s="431"/>
      <c r="B36" s="380" t="s">
        <v>2334</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5"/>
      <c r="M36" s="2896"/>
      <c r="N36" s="2896"/>
      <c r="O36" s="2950"/>
      <c r="P36" s="3491"/>
      <c r="Q36" s="1486" t="str">
        <f t="shared" si="14"/>
        <v>宗地开发程度</v>
      </c>
      <c r="R36" s="709" t="s">
        <v>17</v>
      </c>
      <c r="S36" s="710">
        <f t="shared" si="10"/>
        <v>100</v>
      </c>
      <c r="T36" s="709" t="s">
        <v>17</v>
      </c>
      <c r="U36" s="710">
        <f t="shared" si="11"/>
        <v>100</v>
      </c>
      <c r="V36" s="709" t="s">
        <v>17</v>
      </c>
      <c r="W36" s="710">
        <f t="shared" si="12"/>
        <v>100</v>
      </c>
      <c r="X36" s="711"/>
      <c r="Y36" s="3491"/>
      <c r="Z36" s="55" t="str">
        <f t="shared" si="13"/>
        <v>宗地开发程度</v>
      </c>
      <c r="AA36" s="712">
        <f t="shared" si="3"/>
        <v>1</v>
      </c>
      <c r="AB36" s="712">
        <f t="shared" si="4"/>
        <v>1</v>
      </c>
      <c r="AC36" s="712">
        <f t="shared" si="5"/>
        <v>1</v>
      </c>
    </row>
    <row r="37" spans="1:31" ht="15">
      <c r="A37" s="430"/>
      <c r="B37" s="380" t="s">
        <v>2335</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900"/>
      <c r="M37" s="2894"/>
      <c r="N37" s="2894"/>
      <c r="O37" s="2952"/>
      <c r="P37" s="3491" t="s">
        <v>2145</v>
      </c>
      <c r="Q37" s="1486" t="str">
        <f t="shared" si="14"/>
        <v>工程地质条件</v>
      </c>
      <c r="R37" s="713" t="s">
        <v>17</v>
      </c>
      <c r="S37" s="714">
        <f t="shared" si="10"/>
        <v>100</v>
      </c>
      <c r="T37" s="713" t="s">
        <v>17</v>
      </c>
      <c r="U37" s="714">
        <f t="shared" si="11"/>
        <v>100</v>
      </c>
      <c r="V37" s="713" t="s">
        <v>17</v>
      </c>
      <c r="W37" s="714">
        <f t="shared" si="12"/>
        <v>100</v>
      </c>
      <c r="X37" s="1489"/>
      <c r="Y37" s="3491"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0"/>
      <c r="M38" s="2894"/>
      <c r="N38" s="2894"/>
      <c r="O38" s="2952"/>
      <c r="P38" s="3491"/>
      <c r="Q38" s="1486">
        <f t="shared" si="14"/>
        <v>111</v>
      </c>
      <c r="R38" s="713" t="s">
        <v>17</v>
      </c>
      <c r="S38" s="714">
        <f t="shared" si="10"/>
        <v>100</v>
      </c>
      <c r="T38" s="713" t="s">
        <v>17</v>
      </c>
      <c r="U38" s="714">
        <f t="shared" si="11"/>
        <v>100</v>
      </c>
      <c r="V38" s="713" t="s">
        <v>17</v>
      </c>
      <c r="W38" s="714">
        <f t="shared" si="12"/>
        <v>100</v>
      </c>
      <c r="X38" s="1489"/>
      <c r="Y38" s="3491"/>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0"/>
      <c r="M39" s="2894"/>
      <c r="N39" s="2894"/>
      <c r="O39" s="2952"/>
      <c r="P39" s="3491"/>
      <c r="Q39" s="1486">
        <f t="shared" si="14"/>
        <v>111</v>
      </c>
      <c r="R39" s="713" t="s">
        <v>17</v>
      </c>
      <c r="S39" s="714">
        <f t="shared" si="10"/>
        <v>100</v>
      </c>
      <c r="T39" s="713" t="s">
        <v>17</v>
      </c>
      <c r="U39" s="714">
        <f t="shared" si="11"/>
        <v>100</v>
      </c>
      <c r="V39" s="713" t="s">
        <v>17</v>
      </c>
      <c r="W39" s="714">
        <f t="shared" si="12"/>
        <v>100</v>
      </c>
      <c r="X39" s="1489"/>
      <c r="Y39" s="3491"/>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9"/>
      <c r="M40" s="2901"/>
      <c r="N40" s="2901"/>
      <c r="O40" s="2953"/>
      <c r="P40" s="3491"/>
      <c r="Q40" s="1486">
        <f t="shared" si="14"/>
        <v>111</v>
      </c>
      <c r="R40" s="716" t="s">
        <v>17</v>
      </c>
      <c r="S40" s="717">
        <f t="shared" si="10"/>
        <v>100</v>
      </c>
      <c r="T40" s="716" t="s">
        <v>17</v>
      </c>
      <c r="U40" s="717">
        <f t="shared" si="11"/>
        <v>100</v>
      </c>
      <c r="V40" s="716" t="s">
        <v>17</v>
      </c>
      <c r="W40" s="717">
        <f t="shared" si="12"/>
        <v>100</v>
      </c>
      <c r="X40" s="718"/>
      <c r="Y40" s="3491"/>
      <c r="Z40" s="719">
        <f t="shared" si="13"/>
        <v>111</v>
      </c>
      <c r="AA40" s="1487">
        <f t="shared" si="3"/>
        <v>1</v>
      </c>
      <c r="AB40" s="1487">
        <f t="shared" si="4"/>
        <v>1</v>
      </c>
      <c r="AC40" s="1487">
        <f t="shared" si="5"/>
        <v>1</v>
      </c>
    </row>
    <row r="41" spans="1:31" ht="15">
      <c r="A41" s="437" t="s">
        <v>2300</v>
      </c>
      <c r="B41" s="2118" t="s">
        <v>2379</v>
      </c>
      <c r="C41" s="637" t="s">
        <v>1</v>
      </c>
      <c r="D41" s="439"/>
      <c r="E41" s="440"/>
      <c r="F41" s="441"/>
      <c r="G41" s="442"/>
      <c r="H41" s="443"/>
      <c r="I41" s="440"/>
      <c r="J41" s="443"/>
      <c r="K41" s="722"/>
      <c r="L41" s="2902"/>
      <c r="M41" s="2894"/>
      <c r="N41" s="2894"/>
      <c r="O41" s="2903"/>
      <c r="P41" s="3473" t="str">
        <f>A41</f>
        <v>成交单价</v>
      </c>
      <c r="Q41" s="3473"/>
      <c r="R41" s="3486">
        <f>E41</f>
        <v>0</v>
      </c>
      <c r="S41" s="3486"/>
      <c r="T41" s="3486">
        <f>G41</f>
        <v>0</v>
      </c>
      <c r="U41" s="3486"/>
      <c r="V41" s="3486">
        <f>I41</f>
        <v>0</v>
      </c>
      <c r="W41" s="3486"/>
      <c r="X41" s="698"/>
      <c r="Y41" s="720"/>
      <c r="Z41" s="698"/>
      <c r="AA41" s="698"/>
      <c r="AB41" s="698"/>
      <c r="AC41" s="698"/>
    </row>
    <row r="42" spans="1:31" ht="15.75" thickBot="1">
      <c r="A42" s="444" t="s">
        <v>2249</v>
      </c>
      <c r="B42" s="638"/>
      <c r="C42" s="447" t="e">
        <f>R43</f>
        <v>#DIV/0!</v>
      </c>
      <c r="D42" s="2488" t="s">
        <v>2638</v>
      </c>
      <c r="E42" s="447" t="e">
        <f>R42</f>
        <v>#DIV/0!</v>
      </c>
      <c r="F42" s="2489"/>
      <c r="G42" s="446" t="e">
        <f>T42</f>
        <v>#DIV/0!</v>
      </c>
      <c r="H42" s="2489"/>
      <c r="I42" s="447" t="e">
        <f>V42</f>
        <v>#DIV/0!</v>
      </c>
      <c r="J42" s="2489"/>
      <c r="K42" s="2491">
        <f>F42+H42+J42</f>
        <v>0</v>
      </c>
      <c r="L42" s="2902"/>
      <c r="M42" s="2894"/>
      <c r="N42" s="2894"/>
      <c r="O42" s="2903"/>
      <c r="P42" s="3473" t="str">
        <f>A42</f>
        <v>比较价值（元/平方米）</v>
      </c>
      <c r="Q42" s="3473"/>
      <c r="R42" s="3540" t="e">
        <f>ROUND(PRODUCT(R41,AA7:AA40),0)</f>
        <v>#DIV/0!</v>
      </c>
      <c r="S42" s="3540"/>
      <c r="T42" s="3540" t="e">
        <f>ROUND(PRODUCT(T41,AB7:AB40),0)</f>
        <v>#DIV/0!</v>
      </c>
      <c r="U42" s="3540"/>
      <c r="V42" s="3540" t="e">
        <f>ROUND(PRODUCT(V41,AC7:AC40),0)</f>
        <v>#DIV/0!</v>
      </c>
      <c r="W42" s="3540"/>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902"/>
      <c r="M43" s="2894"/>
      <c r="N43" s="2894"/>
      <c r="O43" s="2903"/>
      <c r="P43" s="3493" t="str">
        <f>A43</f>
        <v>估价对象XX用房的比较价值（楼面单价，元/平方米）</v>
      </c>
      <c r="Q43" s="3494"/>
      <c r="R43" s="3541" t="e">
        <f>ROUND(IF(D42="简单平均",AVERAGE(R42:W42),R42*F42+T42*H42+V42*J42),0)</f>
        <v>#DIV/0!</v>
      </c>
      <c r="S43" s="3541"/>
      <c r="T43" s="3541"/>
      <c r="U43" s="3541"/>
      <c r="V43" s="3541"/>
      <c r="W43" s="3541"/>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8"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2338</v>
      </c>
      <c r="B50" s="640" t="s">
        <v>2339</v>
      </c>
      <c r="C50" s="2119" t="s">
        <v>2340</v>
      </c>
      <c r="D50" s="2120" t="s">
        <v>2341</v>
      </c>
      <c r="E50" s="641" t="s">
        <v>2342</v>
      </c>
      <c r="F50" s="642" t="s">
        <v>2343</v>
      </c>
      <c r="G50" s="3474" t="s">
        <v>2344</v>
      </c>
      <c r="H50" s="3542"/>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2347</v>
      </c>
      <c r="B51" s="644" t="e">
        <f>C43</f>
        <v>#DIV/0!</v>
      </c>
      <c r="C51" s="645">
        <v>1</v>
      </c>
      <c r="D51" s="1055">
        <v>1</v>
      </c>
      <c r="E51" s="645">
        <f>'数据-汇总表'!E8+'数据-汇总表'!E9</f>
        <v>0</v>
      </c>
      <c r="F51" s="646" t="e">
        <f t="shared" ref="F51:F60" si="15">ROUND(B51*E51/10000,0)</f>
        <v>#DIV/0!</v>
      </c>
      <c r="G51" s="3517"/>
      <c r="H51" s="3473"/>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2348</v>
      </c>
      <c r="B52" s="223" t="e">
        <f>ROUND($C$43*C52*D52,0)</f>
        <v>#DIV/0!</v>
      </c>
      <c r="C52" s="175">
        <f t="shared" ref="C52:C60" si="16">IF($C$50="北京市系数",I52,J52)</f>
        <v>0</v>
      </c>
      <c r="D52" s="1056">
        <v>0.25</v>
      </c>
      <c r="E52" s="649"/>
      <c r="F52" s="646" t="e">
        <f t="shared" si="15"/>
        <v>#DIV/0!</v>
      </c>
      <c r="G52" s="3244"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2350</v>
      </c>
      <c r="B53" s="223" t="e">
        <f t="shared" ref="B53:B60" si="17">ROUND($C$43*C53*D53,0)</f>
        <v>#DIV/0!</v>
      </c>
      <c r="C53" s="175">
        <f t="shared" si="16"/>
        <v>0</v>
      </c>
      <c r="D53" s="1056">
        <v>0.25</v>
      </c>
      <c r="E53" s="649"/>
      <c r="F53" s="646" t="e">
        <f t="shared" si="15"/>
        <v>#DIV/0!</v>
      </c>
      <c r="G53" s="3245"/>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2351</v>
      </c>
      <c r="B54" s="223" t="e">
        <f t="shared" si="17"/>
        <v>#DIV/0!</v>
      </c>
      <c r="C54" s="175">
        <f t="shared" si="16"/>
        <v>0</v>
      </c>
      <c r="D54" s="1056">
        <v>0.25</v>
      </c>
      <c r="E54" s="649"/>
      <c r="F54" s="646" t="e">
        <f t="shared" si="15"/>
        <v>#DIV/0!</v>
      </c>
      <c r="G54" s="3245"/>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3"/>
      <c r="C55" s="175"/>
      <c r="D55" s="1056"/>
      <c r="E55" s="649"/>
      <c r="F55" s="646"/>
      <c r="G55" s="3246"/>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2352</v>
      </c>
      <c r="B56" s="223" t="e">
        <f t="shared" si="17"/>
        <v>#DIV/0!</v>
      </c>
      <c r="C56" s="175">
        <f t="shared" si="16"/>
        <v>0</v>
      </c>
      <c r="D56" s="1056">
        <v>0.25</v>
      </c>
      <c r="E56" s="222">
        <f>'数据-汇总表'!E11</f>
        <v>0</v>
      </c>
      <c r="F56" s="646"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2356</v>
      </c>
      <c r="B58" s="223" t="e">
        <f t="shared" si="17"/>
        <v>#DIV/0!</v>
      </c>
      <c r="C58" s="175">
        <f t="shared" si="16"/>
        <v>0</v>
      </c>
      <c r="D58" s="1056">
        <v>0.25</v>
      </c>
      <c r="E58" s="222">
        <f>'数据-汇总表'!E13</f>
        <v>32206.890000000196</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2358</v>
      </c>
      <c r="B59" s="223" t="e">
        <f t="shared" si="17"/>
        <v>#DIV/0!</v>
      </c>
      <c r="C59" s="175">
        <f t="shared" si="16"/>
        <v>0</v>
      </c>
      <c r="D59" s="1056">
        <v>0.25</v>
      </c>
      <c r="E59" s="222">
        <f>'数据-汇总表'!E14</f>
        <v>0</v>
      </c>
      <c r="F59" s="646"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2359</v>
      </c>
      <c r="B60" s="223" t="e">
        <f t="shared" si="17"/>
        <v>#DIV/0!</v>
      </c>
      <c r="C60" s="175">
        <f t="shared" si="16"/>
        <v>0</v>
      </c>
      <c r="D60" s="1056">
        <v>0.25</v>
      </c>
      <c r="E60" s="222">
        <f>'数据-汇总表'!E15</f>
        <v>0</v>
      </c>
      <c r="F60" s="646"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2360</v>
      </c>
      <c r="B61" s="651" t="s">
        <v>28</v>
      </c>
      <c r="C61" s="651" t="s">
        <v>29</v>
      </c>
      <c r="D61" s="651" t="s">
        <v>816</v>
      </c>
      <c r="E61" s="651">
        <f>IF(B41="楼面地价",SUM(E51:E60),'数据-汇总表'!D3)</f>
        <v>6976.24</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2022-5-1</v>
      </c>
      <c r="D63" s="700">
        <f>EDATE(C63,-3)</f>
        <v>44593</v>
      </c>
      <c r="E63" s="700">
        <f>EDATE(D63,-3)</f>
        <v>44501</v>
      </c>
      <c r="F63" s="700">
        <f t="shared" ref="F63:O63" si="18">EDATE(E63,-3)</f>
        <v>44409</v>
      </c>
      <c r="G63" s="700">
        <f t="shared" si="18"/>
        <v>44317</v>
      </c>
      <c r="H63" s="700">
        <f t="shared" si="18"/>
        <v>44228</v>
      </c>
      <c r="I63" s="700">
        <f t="shared" si="18"/>
        <v>44136</v>
      </c>
      <c r="J63" s="700">
        <f t="shared" si="18"/>
        <v>44044</v>
      </c>
      <c r="K63" s="700">
        <f t="shared" si="18"/>
        <v>43952</v>
      </c>
      <c r="L63" s="700">
        <f t="shared" si="18"/>
        <v>43862</v>
      </c>
      <c r="M63" s="700">
        <f t="shared" si="18"/>
        <v>43770</v>
      </c>
      <c r="N63" s="700">
        <f t="shared" si="18"/>
        <v>43678</v>
      </c>
      <c r="O63" s="700">
        <f t="shared" si="18"/>
        <v>43586</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4" customFormat="1" ht="15">
      <c r="A65" s="2125" t="s">
        <v>2361</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54"/>
      <c r="Q65" s="2919"/>
      <c r="R65" s="2919"/>
      <c r="S65" s="2919"/>
      <c r="T65" s="2919"/>
      <c r="U65" s="2919"/>
      <c r="V65" s="2919"/>
      <c r="W65" s="2919"/>
      <c r="X65" s="2919"/>
      <c r="Y65" s="2919"/>
      <c r="Z65" s="2919"/>
      <c r="AA65" s="2919"/>
      <c r="AB65" s="2919"/>
      <c r="AC65" s="2919"/>
      <c r="AD65" s="2919"/>
      <c r="AE65" s="2919"/>
    </row>
    <row r="66" spans="1:31" s="112" customFormat="1" ht="30.75" customHeight="1">
      <c r="A66" s="2130"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7"/>
      <c r="Q66" s="2837"/>
      <c r="R66" s="2837"/>
      <c r="S66" s="2837"/>
      <c r="T66" s="2837"/>
      <c r="U66" s="2837"/>
      <c r="V66" s="2837"/>
      <c r="W66" s="2837"/>
      <c r="X66" s="2837"/>
      <c r="Y66" s="2837"/>
      <c r="Z66" s="2837"/>
      <c r="AA66" s="2837"/>
      <c r="AB66" s="2837"/>
      <c r="AC66" s="2837"/>
      <c r="AD66" s="2837"/>
      <c r="AE66" s="2837"/>
    </row>
    <row r="67" spans="1:31" s="112" customFormat="1" ht="15.75" thickBot="1">
      <c r="A67" s="471" t="s">
        <v>2165</v>
      </c>
      <c r="B67" s="472"/>
      <c r="C67" s="473"/>
      <c r="D67" s="474"/>
      <c r="E67" s="474"/>
      <c r="F67" s="474"/>
      <c r="G67" s="474"/>
      <c r="H67" s="474"/>
      <c r="I67" s="474"/>
      <c r="J67" s="474"/>
      <c r="K67" s="474"/>
      <c r="L67" s="474"/>
      <c r="M67" s="475"/>
      <c r="N67" s="475"/>
      <c r="O67" s="476"/>
      <c r="P67" s="2917"/>
      <c r="Q67" s="2917"/>
      <c r="R67" s="2837"/>
      <c r="S67" s="2837"/>
      <c r="T67" s="2837"/>
      <c r="U67" s="2837"/>
      <c r="V67" s="2837"/>
      <c r="W67" s="2837"/>
      <c r="X67" s="2837"/>
      <c r="Y67" s="2837"/>
      <c r="Z67" s="2837"/>
      <c r="AA67" s="2837"/>
      <c r="AB67" s="2837"/>
      <c r="AC67" s="2837"/>
      <c r="AD67" s="2837"/>
      <c r="AE67" s="2837"/>
    </row>
    <row r="68" spans="1:31" s="112" customFormat="1" ht="15">
      <c r="A68" s="477" t="s">
        <v>2130</v>
      </c>
      <c r="B68" s="466"/>
      <c r="C68" s="478" t="s">
        <v>2232</v>
      </c>
      <c r="D68" s="479"/>
      <c r="E68" s="479"/>
      <c r="F68" s="479"/>
      <c r="G68" s="479"/>
      <c r="H68" s="479"/>
      <c r="I68" s="479"/>
      <c r="J68" s="479"/>
      <c r="K68" s="479"/>
      <c r="L68" s="480"/>
      <c r="M68" s="481"/>
      <c r="N68" s="2930"/>
      <c r="O68" s="2930"/>
      <c r="P68" s="2955"/>
      <c r="Q68" s="2917"/>
      <c r="R68" s="2837"/>
      <c r="S68" s="2837"/>
      <c r="T68" s="2837"/>
      <c r="U68" s="2837"/>
      <c r="V68" s="2837"/>
      <c r="W68" s="2837"/>
      <c r="X68" s="2837"/>
      <c r="Y68" s="2837"/>
      <c r="Z68" s="2837"/>
      <c r="AA68" s="2837"/>
      <c r="AB68" s="2837"/>
      <c r="AC68" s="2837"/>
      <c r="AD68" s="2837"/>
      <c r="AE68" s="2837"/>
    </row>
    <row r="69" spans="1:31" s="112" customFormat="1" ht="15.75" thickBot="1">
      <c r="A69" s="477"/>
      <c r="B69" s="466"/>
      <c r="C69" s="594">
        <v>100</v>
      </c>
      <c r="D69" s="468"/>
      <c r="E69" s="468"/>
      <c r="F69" s="468"/>
      <c r="G69" s="468"/>
      <c r="H69" s="468"/>
      <c r="I69" s="468"/>
      <c r="J69" s="468"/>
      <c r="K69" s="468"/>
      <c r="L69" s="468"/>
      <c r="M69" s="470"/>
      <c r="N69" s="2930"/>
      <c r="O69" s="2930"/>
      <c r="P69" s="2917"/>
      <c r="Q69" s="2917"/>
      <c r="R69" s="2837"/>
      <c r="S69" s="2837"/>
      <c r="T69" s="2837"/>
      <c r="U69" s="2837"/>
      <c r="V69" s="2837"/>
      <c r="W69" s="2837"/>
      <c r="X69" s="2837"/>
      <c r="Y69" s="2837"/>
      <c r="Z69" s="2837"/>
      <c r="AA69" s="2837"/>
      <c r="AB69" s="2837"/>
      <c r="AC69" s="2837"/>
      <c r="AD69" s="2837"/>
      <c r="AE69" s="2837"/>
    </row>
    <row r="70" spans="1:31">
      <c r="A70" s="483" t="s">
        <v>2168</v>
      </c>
      <c r="B70" s="484" t="s">
        <v>2134</v>
      </c>
      <c r="C70" s="486"/>
      <c r="D70" s="486"/>
      <c r="E70" s="486"/>
      <c r="F70" s="486"/>
      <c r="G70" s="486"/>
      <c r="H70" s="486"/>
      <c r="I70" s="486"/>
      <c r="J70" s="486"/>
      <c r="K70" s="487"/>
      <c r="L70" s="488"/>
      <c r="M70" s="489"/>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0"/>
      <c r="B71" s="491"/>
      <c r="C71" s="492"/>
      <c r="D71" s="492"/>
      <c r="E71" s="492"/>
      <c r="F71" s="492"/>
      <c r="G71" s="492"/>
      <c r="H71" s="492"/>
      <c r="I71" s="492"/>
      <c r="J71" s="492"/>
      <c r="K71" s="492"/>
      <c r="L71" s="492"/>
      <c r="M71" s="493"/>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0"/>
      <c r="B72" s="494" t="s">
        <v>2137</v>
      </c>
      <c r="C72" s="495"/>
      <c r="D72" s="495"/>
      <c r="E72" s="495"/>
      <c r="F72" s="495"/>
      <c r="G72" s="495"/>
      <c r="H72" s="495"/>
      <c r="I72" s="495"/>
      <c r="J72" s="495"/>
      <c r="K72" s="496"/>
      <c r="L72" s="497"/>
      <c r="M72" s="498"/>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0"/>
      <c r="B73" s="499"/>
      <c r="C73" s="500"/>
      <c r="D73" s="500"/>
      <c r="E73" s="500"/>
      <c r="F73" s="500"/>
      <c r="G73" s="500"/>
      <c r="H73" s="500"/>
      <c r="I73" s="500"/>
      <c r="J73" s="500"/>
      <c r="K73" s="500"/>
      <c r="L73" s="500"/>
      <c r="M73" s="501"/>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0"/>
      <c r="B75" s="504"/>
      <c r="C75" s="505"/>
      <c r="D75" s="505"/>
      <c r="E75" s="505"/>
      <c r="F75" s="505"/>
      <c r="G75" s="505"/>
      <c r="H75" s="505"/>
      <c r="I75" s="505"/>
      <c r="J75" s="505"/>
      <c r="K75" s="506"/>
      <c r="L75" s="507"/>
      <c r="M75" s="508"/>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29" customFormat="1" ht="15.75" thickTop="1">
      <c r="A77" s="509"/>
      <c r="B77" s="494">
        <f>B12</f>
        <v>111</v>
      </c>
      <c r="C77" s="510"/>
      <c r="D77" s="510"/>
      <c r="E77" s="510"/>
      <c r="F77" s="510"/>
      <c r="G77" s="510"/>
      <c r="H77" s="511"/>
      <c r="I77" s="511"/>
      <c r="J77" s="511"/>
      <c r="K77" s="511"/>
      <c r="L77" s="512"/>
      <c r="M77" s="513"/>
      <c r="N77" s="2933"/>
      <c r="O77" s="2933"/>
      <c r="P77" s="2957"/>
      <c r="Q77" s="2924"/>
      <c r="R77" s="2925"/>
      <c r="S77" s="2925"/>
      <c r="T77" s="2925"/>
      <c r="U77" s="2925"/>
      <c r="V77" s="2925"/>
      <c r="W77" s="2925"/>
      <c r="X77" s="2925"/>
      <c r="Y77" s="2925"/>
      <c r="Z77" s="2925"/>
      <c r="AA77" s="2925"/>
      <c r="AB77" s="2925"/>
      <c r="AC77" s="2925"/>
      <c r="AD77" s="2925"/>
      <c r="AE77" s="2925"/>
    </row>
    <row r="78" spans="1:31" s="429" customFormat="1" ht="15.75" thickBot="1">
      <c r="A78" s="509"/>
      <c r="B78" s="499"/>
      <c r="C78" s="516"/>
      <c r="D78" s="492"/>
      <c r="E78" s="492"/>
      <c r="F78" s="492"/>
      <c r="G78" s="492"/>
      <c r="H78" s="492"/>
      <c r="I78" s="492"/>
      <c r="J78" s="492"/>
      <c r="K78" s="492"/>
      <c r="L78" s="492"/>
      <c r="M78" s="493"/>
      <c r="N78" s="2932"/>
      <c r="O78" s="2932"/>
      <c r="P78" s="2957"/>
      <c r="Q78" s="2924"/>
      <c r="R78" s="2925"/>
      <c r="S78" s="2925"/>
      <c r="T78" s="2925"/>
      <c r="U78" s="2925"/>
      <c r="V78" s="2925"/>
      <c r="W78" s="2925"/>
      <c r="X78" s="2925"/>
      <c r="Y78" s="2925"/>
      <c r="Z78" s="2925"/>
      <c r="AA78" s="2925"/>
      <c r="AB78" s="2925"/>
      <c r="AC78" s="2925"/>
      <c r="AD78" s="2925"/>
      <c r="AE78" s="2925"/>
    </row>
    <row r="79" spans="1:31" s="429" customFormat="1" ht="15.75" thickTop="1">
      <c r="A79" s="509"/>
      <c r="B79" s="494">
        <f>B13</f>
        <v>111</v>
      </c>
      <c r="C79" s="510"/>
      <c r="D79" s="510"/>
      <c r="E79" s="510"/>
      <c r="F79" s="510"/>
      <c r="G79" s="510"/>
      <c r="H79" s="511"/>
      <c r="I79" s="511"/>
      <c r="J79" s="511"/>
      <c r="K79" s="511"/>
      <c r="L79" s="512"/>
      <c r="M79" s="513"/>
      <c r="N79" s="2933"/>
      <c r="O79" s="2933"/>
      <c r="P79" s="2901"/>
      <c r="Q79" s="2927"/>
      <c r="R79" s="2925"/>
      <c r="S79" s="2925"/>
      <c r="T79" s="2925"/>
      <c r="U79" s="2925"/>
      <c r="V79" s="2925"/>
      <c r="W79" s="2925"/>
      <c r="X79" s="2925"/>
      <c r="Y79" s="2925"/>
      <c r="Z79" s="2925"/>
      <c r="AA79" s="2925"/>
      <c r="AB79" s="2925"/>
      <c r="AC79" s="2925"/>
      <c r="AD79" s="2925"/>
      <c r="AE79" s="2925"/>
    </row>
    <row r="80" spans="1:31" s="429" customFormat="1" ht="15.75" thickBot="1">
      <c r="A80" s="509"/>
      <c r="B80" s="499"/>
      <c r="C80" s="516"/>
      <c r="D80" s="516"/>
      <c r="E80" s="516"/>
      <c r="F80" s="516"/>
      <c r="G80" s="516"/>
      <c r="H80" s="518"/>
      <c r="I80" s="518"/>
      <c r="J80" s="518"/>
      <c r="K80" s="518"/>
      <c r="L80" s="518"/>
      <c r="M80" s="519"/>
      <c r="N80" s="2933"/>
      <c r="O80" s="2933"/>
      <c r="P80" s="2957"/>
      <c r="Q80" s="2924"/>
      <c r="R80" s="2925"/>
      <c r="S80" s="2925"/>
      <c r="T80" s="2925"/>
      <c r="U80" s="2925"/>
      <c r="V80" s="2925"/>
      <c r="W80" s="2925"/>
      <c r="X80" s="2925"/>
      <c r="Y80" s="2925"/>
      <c r="Z80" s="2925"/>
      <c r="AA80" s="2925"/>
      <c r="AB80" s="2925"/>
      <c r="AC80" s="2925"/>
      <c r="AD80" s="2925"/>
      <c r="AE80" s="2925"/>
    </row>
    <row r="81" spans="1:31" s="429" customFormat="1" ht="15.75" thickTop="1">
      <c r="A81" s="509"/>
      <c r="B81" s="502">
        <f>B14</f>
        <v>111</v>
      </c>
      <c r="C81" s="479"/>
      <c r="D81" s="479"/>
      <c r="E81" s="479"/>
      <c r="F81" s="479"/>
      <c r="G81" s="479"/>
      <c r="H81" s="520"/>
      <c r="I81" s="520"/>
      <c r="J81" s="520"/>
      <c r="K81" s="520"/>
      <c r="L81" s="521"/>
      <c r="M81" s="522"/>
      <c r="N81" s="2933"/>
      <c r="O81" s="2933"/>
      <c r="P81" s="2962"/>
      <c r="Q81" s="2924"/>
      <c r="R81" s="2925"/>
      <c r="S81" s="2925"/>
      <c r="T81" s="2925"/>
      <c r="U81" s="2925"/>
      <c r="V81" s="2925"/>
      <c r="W81" s="2925"/>
      <c r="X81" s="2925"/>
      <c r="Y81" s="2925"/>
      <c r="Z81" s="2925"/>
      <c r="AA81" s="2925"/>
      <c r="AB81" s="2925"/>
      <c r="AC81" s="2925"/>
      <c r="AD81" s="2925"/>
      <c r="AE81" s="2925"/>
    </row>
    <row r="82" spans="1:31" s="429" customFormat="1" ht="15.75" thickBot="1">
      <c r="A82" s="524"/>
      <c r="B82" s="525"/>
      <c r="C82" s="526"/>
      <c r="D82" s="526"/>
      <c r="E82" s="526"/>
      <c r="F82" s="526"/>
      <c r="G82" s="526"/>
      <c r="H82" s="527"/>
      <c r="I82" s="527"/>
      <c r="J82" s="527"/>
      <c r="K82" s="527"/>
      <c r="L82" s="527"/>
      <c r="M82" s="528"/>
      <c r="N82" s="2933"/>
      <c r="O82" s="2933"/>
      <c r="P82" s="2957"/>
      <c r="Q82" s="2924"/>
      <c r="R82" s="2925"/>
      <c r="S82" s="2925"/>
      <c r="T82" s="2925"/>
      <c r="U82" s="2925"/>
      <c r="V82" s="2925"/>
      <c r="W82" s="2925"/>
      <c r="X82" s="2925"/>
      <c r="Y82" s="2925"/>
      <c r="Z82" s="2925"/>
      <c r="AA82" s="2925"/>
      <c r="AB82" s="2925"/>
      <c r="AC82" s="2925"/>
      <c r="AD82" s="2925"/>
      <c r="AE82" s="2925"/>
    </row>
    <row r="83" spans="1:31">
      <c r="A83" s="483" t="s">
        <v>2139</v>
      </c>
      <c r="B83" s="484" t="s">
        <v>2285</v>
      </c>
      <c r="C83" s="529" t="s">
        <v>2177</v>
      </c>
      <c r="D83" s="529" t="s">
        <v>2178</v>
      </c>
      <c r="E83" s="529" t="s">
        <v>2179</v>
      </c>
      <c r="F83" s="529" t="s">
        <v>2180</v>
      </c>
      <c r="G83" s="529" t="s">
        <v>2181</v>
      </c>
      <c r="H83" s="485"/>
      <c r="I83" s="485"/>
      <c r="J83" s="485"/>
      <c r="K83" s="530"/>
      <c r="L83" s="531"/>
      <c r="M83" s="532"/>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0"/>
      <c r="B85" s="494" t="s">
        <v>2182</v>
      </c>
      <c r="C85" s="534" t="s">
        <v>2177</v>
      </c>
      <c r="D85" s="534" t="s">
        <v>2178</v>
      </c>
      <c r="E85" s="534" t="s">
        <v>2179</v>
      </c>
      <c r="F85" s="534" t="s">
        <v>2180</v>
      </c>
      <c r="G85" s="534" t="s">
        <v>2181</v>
      </c>
      <c r="H85" s="495"/>
      <c r="I85" s="495"/>
      <c r="J85" s="495"/>
      <c r="K85" s="496"/>
      <c r="L85" s="497"/>
      <c r="M85" s="498"/>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2"/>
      <c r="O86" s="2932"/>
      <c r="P86" s="2956"/>
      <c r="Q86" s="2917"/>
      <c r="R86" s="2903"/>
      <c r="S86" s="2903"/>
      <c r="T86" s="2903"/>
      <c r="U86" s="2903"/>
      <c r="V86" s="2903"/>
      <c r="W86" s="2903"/>
      <c r="X86" s="2903"/>
      <c r="Y86" s="2903"/>
      <c r="Z86" s="2903"/>
      <c r="AA86" s="2903"/>
      <c r="AB86" s="2903"/>
      <c r="AC86" s="2903"/>
      <c r="AD86" s="2903"/>
      <c r="AE86" s="2903"/>
    </row>
    <row r="87" spans="1:31" s="112" customFormat="1" ht="15.75" thickTop="1">
      <c r="A87" s="535"/>
      <c r="B87" s="494" t="s">
        <v>2364</v>
      </c>
      <c r="C87" s="529" t="s">
        <v>2177</v>
      </c>
      <c r="D87" s="529" t="s">
        <v>2178</v>
      </c>
      <c r="E87" s="529" t="s">
        <v>2179</v>
      </c>
      <c r="F87" s="529" t="s">
        <v>2180</v>
      </c>
      <c r="G87" s="529" t="s">
        <v>2181</v>
      </c>
      <c r="H87" s="534"/>
      <c r="I87" s="534"/>
      <c r="J87" s="534"/>
      <c r="K87" s="534"/>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32"/>
      <c r="O88" s="2932"/>
      <c r="P88" s="2956"/>
      <c r="Q88" s="2917"/>
      <c r="R88" s="2837"/>
      <c r="S88" s="2837"/>
      <c r="T88" s="2837"/>
      <c r="U88" s="2837"/>
      <c r="V88" s="2837"/>
      <c r="W88" s="2837"/>
      <c r="X88" s="2837"/>
      <c r="Y88" s="2837"/>
      <c r="Z88" s="2837"/>
      <c r="AA88" s="2837"/>
      <c r="AB88" s="2837"/>
      <c r="AC88" s="2837"/>
      <c r="AD88" s="2837"/>
      <c r="AE88" s="2837"/>
    </row>
    <row r="89" spans="1:31" s="112" customFormat="1" ht="27.75" thickTop="1">
      <c r="A89" s="535"/>
      <c r="B89" s="494" t="s">
        <v>2365</v>
      </c>
      <c r="C89" s="529" t="s">
        <v>2177</v>
      </c>
      <c r="D89" s="529" t="s">
        <v>2178</v>
      </c>
      <c r="E89" s="529" t="s">
        <v>2179</v>
      </c>
      <c r="F89" s="529" t="s">
        <v>2180</v>
      </c>
      <c r="G89" s="529" t="s">
        <v>2181</v>
      </c>
      <c r="H89" s="534"/>
      <c r="I89" s="534"/>
      <c r="J89" s="534"/>
      <c r="K89" s="534"/>
      <c r="L89" s="534"/>
      <c r="M89" s="577"/>
      <c r="N89" s="2930"/>
      <c r="O89" s="2930"/>
      <c r="P89" s="2956"/>
      <c r="Q89" s="2917"/>
      <c r="R89" s="2837"/>
      <c r="S89" s="2837"/>
      <c r="T89" s="2837"/>
      <c r="U89" s="2837"/>
      <c r="V89" s="2837"/>
      <c r="W89" s="2837"/>
      <c r="X89" s="2837"/>
      <c r="Y89" s="2837"/>
      <c r="Z89" s="2837"/>
      <c r="AA89" s="2837"/>
      <c r="AB89" s="2837"/>
      <c r="AC89" s="2837"/>
      <c r="AD89" s="2837"/>
      <c r="AE89" s="283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32"/>
      <c r="O90" s="2932"/>
      <c r="P90" s="2956"/>
      <c r="Q90" s="2917"/>
      <c r="R90" s="2837"/>
      <c r="S90" s="2837"/>
      <c r="T90" s="2837"/>
      <c r="U90" s="2837"/>
      <c r="V90" s="2837"/>
      <c r="W90" s="2837"/>
      <c r="X90" s="2837"/>
      <c r="Y90" s="2837"/>
      <c r="Z90" s="2837"/>
      <c r="AA90" s="2837"/>
      <c r="AB90" s="2837"/>
      <c r="AC90" s="2837"/>
      <c r="AD90" s="2837"/>
      <c r="AE90" s="2837"/>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3"/>
      <c r="O91" s="2933"/>
      <c r="P91" s="2957"/>
      <c r="Q91" s="2924"/>
      <c r="R91" s="2925"/>
      <c r="S91" s="2925"/>
      <c r="T91" s="2925"/>
      <c r="U91" s="2925"/>
      <c r="V91" s="2925"/>
      <c r="W91" s="2925"/>
      <c r="X91" s="2925"/>
      <c r="Y91" s="2925"/>
      <c r="Z91" s="2925"/>
      <c r="AA91" s="2925"/>
      <c r="AB91" s="2925"/>
      <c r="AC91" s="2925"/>
      <c r="AD91" s="2925"/>
      <c r="AE91" s="292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3"/>
      <c r="O92" s="2933"/>
      <c r="P92" s="2957"/>
      <c r="Q92" s="2924"/>
      <c r="R92" s="2925"/>
      <c r="S92" s="2925"/>
      <c r="T92" s="2925"/>
      <c r="U92" s="2925"/>
      <c r="V92" s="2925"/>
      <c r="W92" s="2925"/>
      <c r="X92" s="2925"/>
      <c r="Y92" s="2925"/>
      <c r="Z92" s="2925"/>
      <c r="AA92" s="2925"/>
      <c r="AB92" s="2925"/>
      <c r="AC92" s="2925"/>
      <c r="AD92" s="2925"/>
      <c r="AE92" s="2925"/>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33"/>
      <c r="O93" s="2933"/>
      <c r="P93" s="2957"/>
      <c r="Q93" s="2924"/>
      <c r="R93" s="2925"/>
      <c r="S93" s="2925"/>
      <c r="T93" s="2925"/>
      <c r="U93" s="2925"/>
      <c r="V93" s="2925"/>
      <c r="W93" s="2925"/>
      <c r="X93" s="2925"/>
      <c r="Y93" s="2925"/>
      <c r="Z93" s="2925"/>
      <c r="AA93" s="2925"/>
      <c r="AB93" s="2925"/>
      <c r="AC93" s="2925"/>
      <c r="AD93" s="2925"/>
      <c r="AE93" s="292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0"/>
      <c r="B97" s="494" t="s">
        <v>2271</v>
      </c>
      <c r="C97" s="510"/>
      <c r="D97" s="510"/>
      <c r="E97" s="510"/>
      <c r="F97" s="510"/>
      <c r="G97" s="510"/>
      <c r="H97" s="539"/>
      <c r="I97" s="539"/>
      <c r="J97" s="539"/>
      <c r="K97" s="540"/>
      <c r="L97" s="541"/>
      <c r="M97" s="542"/>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0"/>
      <c r="B99" s="494" t="s">
        <v>2330</v>
      </c>
      <c r="C99" s="539"/>
      <c r="D99" s="539"/>
      <c r="E99" s="539"/>
      <c r="F99" s="539"/>
      <c r="G99" s="539"/>
      <c r="H99" s="539"/>
      <c r="I99" s="539"/>
      <c r="J99" s="539"/>
      <c r="K99" s="540"/>
      <c r="L99" s="541"/>
      <c r="M99" s="542"/>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0"/>
      <c r="B101" s="502">
        <f>B31</f>
        <v>111</v>
      </c>
      <c r="C101" s="510"/>
      <c r="D101" s="510"/>
      <c r="E101" s="510"/>
      <c r="F101" s="510"/>
      <c r="G101" s="543"/>
      <c r="H101" s="543"/>
      <c r="I101" s="543"/>
      <c r="J101" s="543"/>
      <c r="K101" s="544"/>
      <c r="L101" s="545"/>
      <c r="M101" s="546"/>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0"/>
      <c r="B102" s="525"/>
      <c r="C102" s="516"/>
      <c r="D102" s="492"/>
      <c r="E102" s="492"/>
      <c r="F102" s="492"/>
      <c r="G102" s="547"/>
      <c r="H102" s="547"/>
      <c r="I102" s="547"/>
      <c r="J102" s="547"/>
      <c r="K102" s="547"/>
      <c r="L102" s="547"/>
      <c r="M102" s="548"/>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4">
        <f>B32</f>
        <v>111</v>
      </c>
      <c r="C103" s="510"/>
      <c r="D103" s="510"/>
      <c r="E103" s="510"/>
      <c r="F103" s="510"/>
      <c r="G103" s="539"/>
      <c r="H103" s="539"/>
      <c r="I103" s="539"/>
      <c r="J103" s="539"/>
      <c r="K103" s="540"/>
      <c r="L103" s="541"/>
      <c r="M103" s="542"/>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0"/>
      <c r="B104" s="499"/>
      <c r="C104" s="516"/>
      <c r="D104" s="516"/>
      <c r="E104" s="516"/>
      <c r="F104" s="516"/>
      <c r="G104" s="492"/>
      <c r="H104" s="492"/>
      <c r="I104" s="492"/>
      <c r="J104" s="492"/>
      <c r="K104" s="492"/>
      <c r="L104" s="492"/>
      <c r="M104" s="493"/>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29" customFormat="1" ht="15" thickTop="1">
      <c r="A105" s="549"/>
      <c r="B105" s="550">
        <f>B33</f>
        <v>111</v>
      </c>
      <c r="C105" s="479"/>
      <c r="D105" s="479"/>
      <c r="E105" s="479"/>
      <c r="F105" s="479"/>
      <c r="G105" s="551"/>
      <c r="H105" s="551"/>
      <c r="I105" s="551"/>
      <c r="J105" s="552"/>
      <c r="K105" s="552"/>
      <c r="L105" s="553"/>
      <c r="M105" s="554"/>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29" customFormat="1" ht="15.75" thickBot="1">
      <c r="A106" s="509"/>
      <c r="B106" s="502"/>
      <c r="C106" s="526"/>
      <c r="D106" s="526"/>
      <c r="E106" s="526"/>
      <c r="F106" s="526"/>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0"/>
      <c r="B108" s="502"/>
      <c r="C108" s="551"/>
      <c r="D108" s="551"/>
      <c r="E108" s="551"/>
      <c r="F108" s="551"/>
      <c r="G108" s="551"/>
      <c r="H108" s="551"/>
      <c r="I108" s="551"/>
      <c r="J108" s="552"/>
      <c r="K108" s="552"/>
      <c r="L108" s="553"/>
      <c r="M108" s="554"/>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0"/>
      <c r="B109" s="499"/>
      <c r="C109" s="526"/>
      <c r="D109" s="547"/>
      <c r="E109" s="547"/>
      <c r="F109" s="547"/>
      <c r="G109" s="547"/>
      <c r="H109" s="547"/>
      <c r="I109" s="547"/>
      <c r="J109" s="547"/>
      <c r="K109" s="547"/>
      <c r="L109" s="547"/>
      <c r="M109" s="548"/>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5"/>
      <c r="B110" s="494" t="s">
        <v>2371</v>
      </c>
      <c r="C110" s="539"/>
      <c r="D110" s="539"/>
      <c r="E110" s="539"/>
      <c r="F110" s="539"/>
      <c r="G110" s="539"/>
      <c r="H110" s="539"/>
      <c r="I110" s="539"/>
      <c r="J110" s="539"/>
      <c r="K110" s="540"/>
      <c r="L110" s="541"/>
      <c r="M110" s="542"/>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29" customFormat="1" ht="15" thickTop="1">
      <c r="A112" s="549"/>
      <c r="B112" s="494" t="s">
        <v>2373</v>
      </c>
      <c r="C112" s="510"/>
      <c r="D112" s="510"/>
      <c r="E112" s="510"/>
      <c r="F112" s="510"/>
      <c r="G112" s="510"/>
      <c r="H112" s="539"/>
      <c r="I112" s="539"/>
      <c r="J112" s="539"/>
      <c r="K112" s="540"/>
      <c r="L112" s="541"/>
      <c r="M112" s="542"/>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5"/>
      <c r="B114" s="494" t="s">
        <v>2374</v>
      </c>
      <c r="C114" s="510"/>
      <c r="D114" s="510"/>
      <c r="E114" s="539"/>
      <c r="F114" s="539"/>
      <c r="G114" s="539"/>
      <c r="H114" s="539"/>
      <c r="I114" s="539"/>
      <c r="J114" s="539"/>
      <c r="K114" s="540"/>
      <c r="L114" s="541"/>
      <c r="M114" s="542"/>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5"/>
      <c r="B116" s="494">
        <f>B38</f>
        <v>111</v>
      </c>
      <c r="C116" s="510"/>
      <c r="D116" s="510"/>
      <c r="E116" s="510"/>
      <c r="F116" s="510"/>
      <c r="G116" s="510"/>
      <c r="H116" s="539"/>
      <c r="I116" s="539"/>
      <c r="J116" s="539"/>
      <c r="K116" s="540"/>
      <c r="L116" s="541"/>
      <c r="M116" s="542"/>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0"/>
      <c r="B117" s="499"/>
      <c r="C117" s="516"/>
      <c r="D117" s="492"/>
      <c r="E117" s="492"/>
      <c r="F117" s="492"/>
      <c r="G117" s="492"/>
      <c r="H117" s="492"/>
      <c r="I117" s="492"/>
      <c r="J117" s="492"/>
      <c r="K117" s="492"/>
      <c r="L117" s="492"/>
      <c r="M117" s="493"/>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5"/>
      <c r="B118" s="494">
        <f>B39</f>
        <v>111</v>
      </c>
      <c r="C118" s="510"/>
      <c r="D118" s="510"/>
      <c r="E118" s="510"/>
      <c r="F118" s="510"/>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0"/>
      <c r="B119" s="499"/>
      <c r="C119" s="516"/>
      <c r="D119" s="516"/>
      <c r="E119" s="516"/>
      <c r="F119" s="516"/>
      <c r="G119" s="492"/>
      <c r="H119" s="492"/>
      <c r="I119" s="492"/>
      <c r="J119" s="492"/>
      <c r="K119" s="492"/>
      <c r="L119" s="492"/>
      <c r="M119" s="493"/>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29" customFormat="1" ht="15" thickTop="1">
      <c r="A120" s="549"/>
      <c r="B120" s="494">
        <f>B40</f>
        <v>111</v>
      </c>
      <c r="C120" s="479"/>
      <c r="D120" s="479"/>
      <c r="E120" s="479"/>
      <c r="F120" s="479"/>
      <c r="G120" s="511"/>
      <c r="H120" s="511"/>
      <c r="I120" s="511"/>
      <c r="J120" s="511"/>
      <c r="K120" s="511"/>
      <c r="L120" s="512"/>
      <c r="M120" s="513"/>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29" customFormat="1" ht="15.75" thickBot="1">
      <c r="A121" s="524"/>
      <c r="B121" s="655"/>
      <c r="C121" s="526"/>
      <c r="D121" s="526"/>
      <c r="E121" s="526"/>
      <c r="F121" s="526"/>
      <c r="G121" s="547"/>
      <c r="H121" s="547"/>
      <c r="I121" s="547"/>
      <c r="J121" s="547"/>
      <c r="K121" s="547"/>
      <c r="L121" s="547"/>
      <c r="M121" s="548"/>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2383</v>
      </c>
      <c r="B1" s="202"/>
      <c r="C1" s="206" t="s">
        <v>2384</v>
      </c>
      <c r="D1" s="347">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5" t="s">
        <v>2398</v>
      </c>
      <c r="D3" s="2136" t="s">
        <v>2399</v>
      </c>
      <c r="E3" s="2141"/>
      <c r="F3" s="2142" t="s">
        <v>2400</v>
      </c>
      <c r="G3" s="836">
        <f>IF(F3="宗地容积率",'数据-汇总表'!I4,IF(F3="估价对象容积率",'数据-汇总表'!I6,'数据-汇总表'!I7))</f>
        <v>0</v>
      </c>
      <c r="H3" s="174"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66"/>
      <c r="B4" s="3567"/>
      <c r="C4" s="3567"/>
      <c r="D4" s="3568"/>
      <c r="E4" s="3568"/>
      <c r="F4" s="3568"/>
      <c r="G4" s="3568"/>
      <c r="H4" s="3568"/>
      <c r="I4" s="3568"/>
      <c r="J4" s="3569"/>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47"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f>G3</f>
        <v>0</v>
      </c>
      <c r="AA7" s="1330"/>
      <c r="AB7" s="1330"/>
      <c r="AC7" s="1331"/>
      <c r="AD7" s="1332"/>
      <c r="AE7" s="1332"/>
      <c r="AF7" s="1332"/>
      <c r="AG7" s="1332"/>
      <c r="AH7" s="1332"/>
      <c r="AI7" s="1332"/>
      <c r="AJ7" s="1333"/>
    </row>
    <row r="8" spans="1:36" ht="15">
      <c r="A8" s="3570"/>
      <c r="B8" s="174"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63" t="s">
        <v>2419</v>
      </c>
      <c r="X8" s="3564"/>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70"/>
      <c r="B9" s="174" t="s">
        <v>2432</v>
      </c>
      <c r="C9" s="842">
        <f>SUMIF(修正!C71:C138,C8,修正!E71:E138)</f>
        <v>0</v>
      </c>
      <c r="D9" s="175" t="s">
        <v>140</v>
      </c>
      <c r="E9" s="175"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65"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70"/>
      <c r="B10" s="174" t="s">
        <v>2437</v>
      </c>
      <c r="C10" s="175">
        <f>SUMIF(修正!C71:C138,C8,修正!F71:F138)</f>
        <v>0</v>
      </c>
      <c r="D10" s="175" t="s">
        <v>141</v>
      </c>
      <c r="E10" s="175"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65"/>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70"/>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65" t="s">
        <v>2443</v>
      </c>
      <c r="X11" s="1338" t="s">
        <v>2444</v>
      </c>
      <c r="Y11" s="1339">
        <f>$G$3</f>
        <v>0</v>
      </c>
      <c r="Z11" s="1339">
        <f t="shared" ref="Z11:AJ11" si="3">$G$3</f>
        <v>0</v>
      </c>
      <c r="AA11" s="1339">
        <f t="shared" si="3"/>
        <v>0</v>
      </c>
      <c r="AB11" s="1339">
        <f t="shared" si="3"/>
        <v>0</v>
      </c>
      <c r="AC11" s="1339">
        <f t="shared" si="3"/>
        <v>0</v>
      </c>
      <c r="AD11" s="1339">
        <f t="shared" si="3"/>
        <v>0</v>
      </c>
      <c r="AE11" s="1339">
        <f t="shared" si="3"/>
        <v>0</v>
      </c>
      <c r="AF11" s="1339">
        <f t="shared" si="3"/>
        <v>0</v>
      </c>
      <c r="AG11" s="1339">
        <f t="shared" si="3"/>
        <v>0</v>
      </c>
      <c r="AH11" s="1339">
        <f t="shared" si="3"/>
        <v>0</v>
      </c>
      <c r="AI11" s="1339">
        <f t="shared" si="3"/>
        <v>0</v>
      </c>
      <c r="AJ11" s="1339">
        <f t="shared" si="3"/>
        <v>0</v>
      </c>
    </row>
    <row r="12" spans="1:36" ht="25.5" thickBot="1">
      <c r="A12" s="3547"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65"/>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71"/>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65"/>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5">
      <c r="A14" s="3571"/>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72"/>
      <c r="B15" s="2190" t="s">
        <v>2457</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47" t="s">
        <v>2462</v>
      </c>
      <c r="B16" s="2159" t="s">
        <v>2463</v>
      </c>
      <c r="C16" s="2321" t="e">
        <f>ROUND(IF(F17="与级别开发程度一致",0,(G17-E17)/C17),0)</f>
        <v>#DIV/0!</v>
      </c>
      <c r="D16" s="3560" t="s">
        <v>2467</v>
      </c>
      <c r="E16" s="3561"/>
      <c r="F16" s="3560" t="s">
        <v>2464</v>
      </c>
      <c r="G16" s="3561"/>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48"/>
      <c r="B17" s="2332" t="s">
        <v>2466</v>
      </c>
      <c r="C17" s="2333">
        <f>SUMPRODUCT((修正!A2:A7=E2)*(修正!B1:M1=G2)*(修正!B2:M7))</f>
        <v>0</v>
      </c>
      <c r="D17" s="192"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44698</v>
      </c>
      <c r="H19" s="2202"/>
      <c r="I19" s="847" t="str">
        <f>IF(H19="季度增幅（自定义）",SUMIF(N21:N24,E2,O21:O24),"")</f>
        <v/>
      </c>
      <c r="J19" s="2199"/>
      <c r="K19" s="1239"/>
      <c r="L19" s="2203" t="s">
        <v>2473</v>
      </c>
      <c r="M19" s="1448">
        <f>ROUND(SUMIF(地价!B2:F2,E2,地价!B37:F37),0)</f>
        <v>0</v>
      </c>
      <c r="N19" s="2204" t="s">
        <v>2474</v>
      </c>
      <c r="O19" s="848">
        <f>ROUNDDOWN(DATEDIF(E19,G19,"M")/3,0)</f>
        <v>33</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存贷款利率!E20/100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t="e">
        <f>IF(B21="容积率修正",IF(G3&lt;=10,D22,J22),C23)</f>
        <v>#DIV/0!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t="b">
        <f>IF(E22=G22,F22,IF(G3&lt;=10,ROUND(F22+(H22-F22)*(G3-E22)/(G22-E22),4),"——"))</f>
        <v>0</v>
      </c>
      <c r="E22" s="836">
        <f>ROUNDDOWN(G3,1)</f>
        <v>0</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0</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7" t="str">
        <f>IF(G3&gt;10,D113,"——")</f>
        <v>——</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t="e">
        <f>ROUND(IF(G3&gt;1,IF(I3&lt;7,SUMPRODUCT((B93:B98=I3)*(C92:N92=G2)*(C93:N98)),SUMIF(C92:N92,G2,C100:N100)),IF(I3&lt;7,SUMPRODUCT((B102:B107=I3)*(C92:N92=G2)*(C102:N107)),SUMIF(C92:N92,G2,C109:N109))),4)</f>
        <v>#DIV/0!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79"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2"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2498</v>
      </c>
      <c r="D32" s="454" t="s">
        <v>2499</v>
      </c>
      <c r="E32" s="454" t="s">
        <v>2500</v>
      </c>
      <c r="F32" s="347" t="s">
        <v>2508</v>
      </c>
      <c r="G32" s="2261" t="s">
        <v>2498</v>
      </c>
      <c r="H32" s="2261" t="s">
        <v>2499</v>
      </c>
      <c r="I32" s="2261"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57"/>
      <c r="B33" s="2262" t="s">
        <v>2509</v>
      </c>
      <c r="C33" s="179" t="e">
        <f>ROUND(D5*C19*C20*C24*F33,0)</f>
        <v>#DIV/0!</v>
      </c>
      <c r="D33" s="2246"/>
      <c r="E33" s="175" t="e">
        <f>ROUND(C33*D33/10000,0)</f>
        <v>#DIV/0!</v>
      </c>
      <c r="F33" s="175">
        <f>SUMIF(修正!A57:A68,G2,修正!B57:B68)</f>
        <v>0</v>
      </c>
      <c r="G33" s="175" t="e">
        <f t="shared" ref="G33" si="6">ROUND(IF(E2="工业",C33*$M$39,C33*$M$38),0)</f>
        <v>#DIV/0!</v>
      </c>
      <c r="H33" s="175">
        <f>D33</f>
        <v>0</v>
      </c>
      <c r="I33" s="175" t="e">
        <f>ROUND(G33*H33/10000,0)</f>
        <v>#DIV/0!</v>
      </c>
      <c r="J33" s="3562"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58"/>
      <c r="B34" s="2179" t="s">
        <v>2510</v>
      </c>
      <c r="C34" s="179" t="e">
        <f>ROUND(D5*C19*C20*C24*F34,0)</f>
        <v>#DIV/0!</v>
      </c>
      <c r="D34" s="2246"/>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58"/>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58"/>
      <c r="B35" s="2179" t="s">
        <v>2511</v>
      </c>
      <c r="C35" s="179" t="e">
        <f>ROUND(D5*C19*C20*C24*F35,0)</f>
        <v>#DIV/0!</v>
      </c>
      <c r="D35" s="2246"/>
      <c r="E35" s="175" t="e">
        <f t="shared" si="7"/>
        <v>#DIV/0!</v>
      </c>
      <c r="F35" s="175">
        <f>SUMIF(修正!A57:A68,G2,修正!D57:D68)</f>
        <v>0</v>
      </c>
      <c r="G35" s="175" t="e">
        <f>ROUND(IF(E2="工业",C35*$M$39,C35*$M$38),0)</f>
        <v>#DIV/0!</v>
      </c>
      <c r="H35" s="175">
        <f t="shared" si="8"/>
        <v>0</v>
      </c>
      <c r="I35" s="175" t="e">
        <f t="shared" si="9"/>
        <v>#DIV/0!</v>
      </c>
      <c r="J35" s="3558"/>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59"/>
      <c r="B36" s="2179" t="s">
        <v>2512</v>
      </c>
      <c r="C36" s="179" t="e">
        <f>ROUND(D5*C19*C20*C24*F36,0)</f>
        <v>#DIV/0!</v>
      </c>
      <c r="D36" s="2246"/>
      <c r="E36" s="175" t="e">
        <f t="shared" si="7"/>
        <v>#DIV/0!</v>
      </c>
      <c r="F36" s="175" t="e">
        <f>SUMIF(修正!A57:A68,G2,修正!#REF!)</f>
        <v>#REF!</v>
      </c>
      <c r="G36" s="175" t="e">
        <f>ROUND(IF(E2="工业",C36*$M$39,C36*$M$38),0)</f>
        <v>#DIV/0!</v>
      </c>
      <c r="H36" s="175">
        <f t="shared" si="8"/>
        <v>0</v>
      </c>
      <c r="I36" s="175" t="e">
        <f t="shared" si="9"/>
        <v>#DIV/0!</v>
      </c>
      <c r="J36" s="3559"/>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5" t="e">
        <f>ROUND(D5*C19*C20*C24*F37,0)</f>
        <v>#DIV/0!</v>
      </c>
      <c r="D37" s="2246"/>
      <c r="E37" s="175" t="e">
        <f t="shared" si="7"/>
        <v>#DIV/0!</v>
      </c>
      <c r="F37" s="179">
        <f>SUMIF(修正!A57:A68,G2,修正!E57:E68)</f>
        <v>0</v>
      </c>
      <c r="G37" s="175" t="e">
        <f>ROUND(IF(E2="工业",C37*$M$39,C37*$M$38),0)</f>
        <v>#DIV/0!</v>
      </c>
      <c r="H37" s="175">
        <f t="shared" si="8"/>
        <v>0</v>
      </c>
      <c r="I37" s="175"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5" t="e">
        <f>ROUND(D5*C19*C41*C24*F38,0)</f>
        <v>#DIV/0!</v>
      </c>
      <c r="D38" s="2246"/>
      <c r="E38" s="175" t="e">
        <f t="shared" si="7"/>
        <v>#DIV/0!</v>
      </c>
      <c r="F38" s="179">
        <f>SUMIF(修正!A57:A68,G2,修正!F57:F68)</f>
        <v>0</v>
      </c>
      <c r="G38" s="175" t="e">
        <f>ROUND(IF(E2="工业",C38*$M$39,C38*$M$38),0)</f>
        <v>#DIV/0!</v>
      </c>
      <c r="H38" s="175">
        <f t="shared" si="8"/>
        <v>0</v>
      </c>
      <c r="I38" s="175"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2" t="e">
        <f>ROUND(D5*C19*C41*C24*F39,0)</f>
        <v>#DIV/0!</v>
      </c>
      <c r="D39" s="2252"/>
      <c r="E39" s="192" t="e">
        <f t="shared" si="7"/>
        <v>#DIV/0!</v>
      </c>
      <c r="F39" s="852">
        <f>SUMIF(修正!A57:A68,G2,修正!G57:G68)</f>
        <v>0</v>
      </c>
      <c r="G39" s="192" t="e">
        <f>ROUND(IF(E2="工业",C39*$M$39,C39*$M$38),0)</f>
        <v>#DIV/0!</v>
      </c>
      <c r="H39" s="192">
        <f t="shared" si="8"/>
        <v>0</v>
      </c>
      <c r="I39" s="192"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2621</v>
      </c>
      <c r="C41" s="347" t="e">
        <f>ROUND(POWER(1+E41,H41-G41)*(POWER(1+E41,G41)-1)/(POWER(1+E41,H41)-1),4)</f>
        <v>#DIV/0!</v>
      </c>
      <c r="D41" s="175" t="s">
        <v>2468</v>
      </c>
      <c r="E41" s="2319">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59" t="s">
        <v>2177</v>
      </c>
      <c r="K80" s="559" t="s">
        <v>2178</v>
      </c>
      <c r="L80" s="559" t="s">
        <v>2179</v>
      </c>
      <c r="M80" s="559" t="s">
        <v>2180</v>
      </c>
      <c r="N80" s="559"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49" t="s">
        <v>2550</v>
      </c>
      <c r="B90" s="3549"/>
      <c r="C90" s="3549"/>
      <c r="D90" s="3549"/>
      <c r="E90" s="3549"/>
      <c r="F90" s="3549"/>
      <c r="G90" s="3549"/>
      <c r="H90" s="3549"/>
      <c r="I90" s="3549"/>
      <c r="J90" s="3549"/>
      <c r="K90" s="2293"/>
      <c r="L90" s="2293"/>
      <c r="M90" s="2293"/>
      <c r="N90" s="2293"/>
    </row>
    <row r="91" spans="1:37">
      <c r="A91" s="3551" t="s">
        <v>2551</v>
      </c>
      <c r="B91" s="3551" t="s">
        <v>2552</v>
      </c>
      <c r="C91" s="2247" t="s">
        <v>2553</v>
      </c>
      <c r="D91" s="2248"/>
      <c r="E91" s="2248"/>
      <c r="F91" s="2248"/>
      <c r="G91" s="2248"/>
      <c r="H91" s="2248"/>
      <c r="I91" s="2248"/>
      <c r="J91" s="2294"/>
      <c r="K91" s="2295"/>
      <c r="L91" s="2295"/>
      <c r="M91" s="2295"/>
      <c r="N91" s="2295"/>
    </row>
    <row r="92" spans="1:37">
      <c r="A92" s="3551"/>
      <c r="B92" s="3551"/>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52"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53"/>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53"/>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53"/>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53"/>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53"/>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53"/>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54"/>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52" t="s">
        <v>2555</v>
      </c>
      <c r="B101" s="2300" t="s">
        <v>2556</v>
      </c>
      <c r="C101" s="2301">
        <f>$G$3</f>
        <v>0</v>
      </c>
      <c r="D101" s="2301">
        <f t="shared" ref="D101:N101" si="31">$G$3</f>
        <v>0</v>
      </c>
      <c r="E101" s="2301">
        <f t="shared" si="31"/>
        <v>0</v>
      </c>
      <c r="F101" s="2301">
        <f t="shared" si="31"/>
        <v>0</v>
      </c>
      <c r="G101" s="2301">
        <f t="shared" si="31"/>
        <v>0</v>
      </c>
      <c r="H101" s="2301">
        <f t="shared" si="31"/>
        <v>0</v>
      </c>
      <c r="I101" s="2301">
        <f t="shared" si="31"/>
        <v>0</v>
      </c>
      <c r="J101" s="2301">
        <f t="shared" si="31"/>
        <v>0</v>
      </c>
      <c r="K101" s="2301">
        <f t="shared" si="31"/>
        <v>0</v>
      </c>
      <c r="L101" s="2301">
        <f t="shared" si="31"/>
        <v>0</v>
      </c>
      <c r="M101" s="2301">
        <f t="shared" si="31"/>
        <v>0</v>
      </c>
      <c r="N101" s="2301">
        <f t="shared" si="31"/>
        <v>0</v>
      </c>
    </row>
    <row r="102" spans="1:14">
      <c r="A102" s="3553"/>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c r="A103" s="3553"/>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c r="A104" s="3553"/>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c r="A105" s="3553"/>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c r="A106" s="3553"/>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c r="A107" s="3553"/>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c r="A108" s="3553"/>
      <c r="B108" s="3555"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54"/>
      <c r="B109" s="3556"/>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c r="A110" s="3550" t="s">
        <v>2558</v>
      </c>
      <c r="B110" s="3550"/>
      <c r="C110" s="3550"/>
      <c r="D110" s="3550"/>
      <c r="E110" s="3550"/>
      <c r="F110" s="3550"/>
      <c r="G110" s="3550"/>
      <c r="H110" s="3550"/>
      <c r="I110" s="3550"/>
      <c r="J110" s="3550"/>
      <c r="K110" s="2302"/>
      <c r="L110" s="2302"/>
      <c r="M110" s="2302"/>
      <c r="N110" s="2302"/>
    </row>
    <row r="112" spans="1:14" ht="13.5" thickBot="1"/>
    <row r="113" spans="1:13" ht="25.5" thickBot="1">
      <c r="A113" s="823" t="s">
        <v>2559</v>
      </c>
      <c r="B113" s="1177">
        <f>G3</f>
        <v>0</v>
      </c>
      <c r="C113" s="824" t="s">
        <v>2560</v>
      </c>
      <c r="D113" s="825">
        <f>SUMPRODUCT((A115:A118=F113)*(B114:M114=H113)*B115:M118)</f>
        <v>0</v>
      </c>
      <c r="E113" s="2138" t="s">
        <v>2393</v>
      </c>
      <c r="F113" s="2304">
        <f>E2</f>
        <v>0</v>
      </c>
      <c r="G113" s="2138" t="s">
        <v>2394</v>
      </c>
      <c r="H113" s="2304">
        <f>G2</f>
        <v>0</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f>ROUND(0.9335-0.0094*B113,4)</f>
        <v>0.9335</v>
      </c>
      <c r="C115" s="830">
        <f>B115</f>
        <v>0.9335</v>
      </c>
      <c r="D115" s="830">
        <f>ROUND(0.8331-0.0109*B113,4)</f>
        <v>0.83309999999999995</v>
      </c>
      <c r="E115" s="830">
        <f>D115</f>
        <v>0.83309999999999995</v>
      </c>
      <c r="F115" s="830">
        <f>E115</f>
        <v>0.83309999999999995</v>
      </c>
      <c r="G115" s="830">
        <f>F115</f>
        <v>0.83309999999999995</v>
      </c>
      <c r="H115" s="830">
        <f>G115</f>
        <v>0.83309999999999995</v>
      </c>
      <c r="I115" s="830">
        <f>ROUND(0.689-0.0155*B113,4)</f>
        <v>0.68899999999999995</v>
      </c>
      <c r="J115" s="830">
        <f t="shared" ref="J115:M118" si="33">I115</f>
        <v>0.68899999999999995</v>
      </c>
      <c r="K115" s="830">
        <f t="shared" si="33"/>
        <v>0.68899999999999995</v>
      </c>
      <c r="L115" s="830">
        <f t="shared" si="33"/>
        <v>0.68899999999999995</v>
      </c>
      <c r="M115" s="831">
        <f t="shared" si="33"/>
        <v>0.68899999999999995</v>
      </c>
    </row>
    <row r="116" spans="1:13">
      <c r="A116" s="829" t="s">
        <v>2459</v>
      </c>
      <c r="B116" s="830">
        <f>ROUND(0.949-0.012*B113,4)</f>
        <v>0.94899999999999995</v>
      </c>
      <c r="C116" s="830">
        <f>B116</f>
        <v>0.94899999999999995</v>
      </c>
      <c r="D116" s="830">
        <f>ROUND(0.8567-0.013*B113,4)</f>
        <v>0.85670000000000002</v>
      </c>
      <c r="E116" s="830">
        <f t="shared" ref="E116:H117" si="34">D116</f>
        <v>0.85670000000000002</v>
      </c>
      <c r="F116" s="830">
        <f t="shared" si="34"/>
        <v>0.85670000000000002</v>
      </c>
      <c r="G116" s="830">
        <f t="shared" si="34"/>
        <v>0.85670000000000002</v>
      </c>
      <c r="H116" s="830">
        <f t="shared" si="34"/>
        <v>0.85670000000000002</v>
      </c>
      <c r="I116" s="830">
        <f>ROUND(0.7694-0.014*B113,4)</f>
        <v>0.76939999999999997</v>
      </c>
      <c r="J116" s="830">
        <f t="shared" si="33"/>
        <v>0.76939999999999997</v>
      </c>
      <c r="K116" s="830">
        <f t="shared" si="33"/>
        <v>0.76939999999999997</v>
      </c>
      <c r="L116" s="830">
        <f t="shared" si="33"/>
        <v>0.76939999999999997</v>
      </c>
      <c r="M116" s="831">
        <f t="shared" si="33"/>
        <v>0.76939999999999997</v>
      </c>
    </row>
    <row r="117" spans="1:13">
      <c r="A117" s="829" t="s">
        <v>2460</v>
      </c>
      <c r="B117" s="830">
        <f>ROUND(0.8808-0.006*B113,4)</f>
        <v>0.88080000000000003</v>
      </c>
      <c r="C117" s="830">
        <f>B117</f>
        <v>0.88080000000000003</v>
      </c>
      <c r="D117" s="830">
        <f>ROUND(0.8748-0.008*B113,4)</f>
        <v>0.87480000000000002</v>
      </c>
      <c r="E117" s="830">
        <f t="shared" si="34"/>
        <v>0.87480000000000002</v>
      </c>
      <c r="F117" s="830">
        <f t="shared" si="34"/>
        <v>0.87480000000000002</v>
      </c>
      <c r="G117" s="830">
        <f t="shared" si="34"/>
        <v>0.87480000000000002</v>
      </c>
      <c r="H117" s="830">
        <f t="shared" si="34"/>
        <v>0.87480000000000002</v>
      </c>
      <c r="I117" s="830">
        <f>ROUND(0.7412-0.0095*B113,4)</f>
        <v>0.74119999999999997</v>
      </c>
      <c r="J117" s="830">
        <f t="shared" si="33"/>
        <v>0.74119999999999997</v>
      </c>
      <c r="K117" s="830">
        <f t="shared" si="33"/>
        <v>0.74119999999999997</v>
      </c>
      <c r="L117" s="830">
        <f t="shared" si="33"/>
        <v>0.74119999999999997</v>
      </c>
      <c r="M117" s="831">
        <f t="shared" si="33"/>
        <v>0.74119999999999997</v>
      </c>
    </row>
    <row r="118" spans="1:13" ht="13.5" thickBot="1">
      <c r="A118" s="669" t="s">
        <v>2461</v>
      </c>
      <c r="B118" s="832">
        <f>ROUND(0.7275-0.01*B113,4)</f>
        <v>0.72750000000000004</v>
      </c>
      <c r="C118" s="832">
        <f>B118</f>
        <v>0.72750000000000004</v>
      </c>
      <c r="D118" s="832">
        <f>ROUND(0.7043-0.012*B113,4)</f>
        <v>0.70430000000000004</v>
      </c>
      <c r="E118" s="832">
        <f>D118</f>
        <v>0.70430000000000004</v>
      </c>
      <c r="F118" s="832">
        <f>E118</f>
        <v>0.70430000000000004</v>
      </c>
      <c r="G118" s="832">
        <f>ROUND(0.6299-0.0122*B113,4)</f>
        <v>0.62990000000000002</v>
      </c>
      <c r="H118" s="832">
        <f>G118</f>
        <v>0.62990000000000002</v>
      </c>
      <c r="I118" s="832">
        <f>ROUND(0.5667-0.0136*B113,4)</f>
        <v>0.56669999999999998</v>
      </c>
      <c r="J118" s="832">
        <f t="shared" si="33"/>
        <v>0.56669999999999998</v>
      </c>
      <c r="K118" s="832">
        <f t="shared" si="33"/>
        <v>0.56669999999999998</v>
      </c>
      <c r="L118" s="832">
        <f t="shared" si="33"/>
        <v>0.56669999999999998</v>
      </c>
      <c r="M118" s="833">
        <f t="shared" si="33"/>
        <v>0.56669999999999998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203" t="s">
        <v>2944</v>
      </c>
      <c r="B2" s="3204">
        <v>3.5</v>
      </c>
      <c r="C2" s="3204">
        <v>3.5</v>
      </c>
      <c r="D2" s="3205">
        <v>2.5</v>
      </c>
      <c r="E2" s="3205">
        <v>2.5</v>
      </c>
      <c r="F2" s="3205">
        <v>2.5</v>
      </c>
      <c r="G2" s="3205">
        <v>2.5</v>
      </c>
      <c r="H2" s="3205">
        <v>2.5</v>
      </c>
      <c r="I2" s="3204">
        <v>2</v>
      </c>
      <c r="J2" s="3204">
        <v>2</v>
      </c>
      <c r="K2" s="3204">
        <v>2</v>
      </c>
      <c r="L2" s="3204">
        <v>2</v>
      </c>
      <c r="M2" s="3206">
        <v>2</v>
      </c>
    </row>
    <row r="3" spans="1:13" ht="19.5" customHeight="1">
      <c r="A3" s="3207" t="s">
        <v>2945</v>
      </c>
      <c r="B3" s="3208">
        <v>3.5</v>
      </c>
      <c r="C3" s="3208">
        <v>3.5</v>
      </c>
      <c r="D3" s="3209">
        <v>2.5</v>
      </c>
      <c r="E3" s="3209">
        <v>2.5</v>
      </c>
      <c r="F3" s="3209">
        <v>2.5</v>
      </c>
      <c r="G3" s="3209">
        <v>2.5</v>
      </c>
      <c r="H3" s="3209">
        <v>2.5</v>
      </c>
      <c r="I3" s="3208">
        <v>2</v>
      </c>
      <c r="J3" s="3208">
        <v>2</v>
      </c>
      <c r="K3" s="3208">
        <v>2</v>
      </c>
      <c r="L3" s="3208">
        <v>2</v>
      </c>
      <c r="M3" s="3210">
        <v>2</v>
      </c>
    </row>
    <row r="4" spans="1:13" ht="19.5" customHeight="1">
      <c r="A4" s="3207" t="s">
        <v>2946</v>
      </c>
      <c r="B4" s="3209">
        <v>2.5</v>
      </c>
      <c r="C4" s="3209">
        <v>2.5</v>
      </c>
      <c r="D4" s="3209">
        <v>2.5</v>
      </c>
      <c r="E4" s="3209">
        <v>2.5</v>
      </c>
      <c r="F4" s="3209">
        <v>2.5</v>
      </c>
      <c r="G4" s="3209">
        <v>2.5</v>
      </c>
      <c r="H4" s="3209">
        <v>2.5</v>
      </c>
      <c r="I4" s="3208">
        <v>1.5</v>
      </c>
      <c r="J4" s="3208">
        <v>1.5</v>
      </c>
      <c r="K4" s="3208">
        <v>1.5</v>
      </c>
      <c r="L4" s="3208">
        <v>1.5</v>
      </c>
      <c r="M4" s="3210">
        <v>1.5</v>
      </c>
    </row>
    <row r="5" spans="1:13" ht="19.5" customHeight="1">
      <c r="A5" s="3211" t="s">
        <v>2947</v>
      </c>
      <c r="B5" s="3208">
        <v>1.5</v>
      </c>
      <c r="C5" s="3208">
        <v>1.5</v>
      </c>
      <c r="D5" s="3208">
        <v>1.5</v>
      </c>
      <c r="E5" s="3208">
        <v>1.5</v>
      </c>
      <c r="F5" s="3208">
        <v>1.5</v>
      </c>
      <c r="G5" s="3208">
        <v>1.2</v>
      </c>
      <c r="H5" s="3208">
        <v>1.2</v>
      </c>
      <c r="I5" s="3208">
        <v>1</v>
      </c>
      <c r="J5" s="3208">
        <v>1</v>
      </c>
      <c r="K5" s="3208">
        <v>1</v>
      </c>
      <c r="L5" s="3208">
        <v>1</v>
      </c>
      <c r="M5" s="3210">
        <v>1</v>
      </c>
    </row>
    <row r="6" spans="1:13" ht="19.5" customHeight="1">
      <c r="A6" s="3212" t="s">
        <v>2948</v>
      </c>
      <c r="B6" s="3213">
        <v>2.5</v>
      </c>
      <c r="C6" s="3213">
        <v>2.5</v>
      </c>
      <c r="D6" s="3213">
        <v>2</v>
      </c>
      <c r="E6" s="3213">
        <v>2</v>
      </c>
      <c r="F6" s="3213">
        <v>2</v>
      </c>
      <c r="G6" s="3213">
        <v>2</v>
      </c>
      <c r="H6" s="3213">
        <v>2</v>
      </c>
      <c r="I6" s="3214">
        <v>1.5</v>
      </c>
      <c r="J6" s="3214">
        <v>1.5</v>
      </c>
      <c r="K6" s="3214">
        <v>1.5</v>
      </c>
      <c r="L6" s="3214">
        <v>1.5</v>
      </c>
      <c r="M6" s="3215">
        <v>1.5</v>
      </c>
    </row>
    <row r="7" spans="1:13" ht="19.5" customHeight="1" thickBot="1">
      <c r="A7" s="3216" t="s">
        <v>2949</v>
      </c>
      <c r="B7" s="3217">
        <v>2.5</v>
      </c>
      <c r="C7" s="3217">
        <v>2.5</v>
      </c>
      <c r="D7" s="3217">
        <v>2</v>
      </c>
      <c r="E7" s="3217">
        <v>2</v>
      </c>
      <c r="F7" s="3217">
        <v>2</v>
      </c>
      <c r="G7" s="3217">
        <v>2</v>
      </c>
      <c r="H7" s="3217">
        <v>2</v>
      </c>
      <c r="I7" s="3218">
        <v>1.5</v>
      </c>
      <c r="J7" s="3218">
        <v>1.5</v>
      </c>
      <c r="K7" s="3218">
        <v>1.5</v>
      </c>
      <c r="L7" s="3218">
        <v>1.5</v>
      </c>
      <c r="M7" s="3219">
        <v>1.5</v>
      </c>
    </row>
    <row r="8" spans="1:13" ht="19.5" customHeight="1">
      <c r="A8" s="795" t="s">
        <v>546</v>
      </c>
      <c r="B8" s="3220">
        <v>80</v>
      </c>
      <c r="C8" s="3220">
        <v>80</v>
      </c>
      <c r="D8" s="3220">
        <v>70</v>
      </c>
      <c r="E8" s="3220">
        <v>70</v>
      </c>
      <c r="F8" s="3220">
        <v>70</v>
      </c>
      <c r="G8" s="3220">
        <v>70</v>
      </c>
      <c r="H8" s="3220">
        <v>70</v>
      </c>
      <c r="I8" s="3220">
        <v>60</v>
      </c>
      <c r="J8" s="3220">
        <v>60</v>
      </c>
      <c r="K8" s="3220">
        <v>60</v>
      </c>
      <c r="L8" s="3220">
        <v>60</v>
      </c>
      <c r="M8" s="3221">
        <v>60</v>
      </c>
    </row>
    <row r="9" spans="1:13" ht="19.5" customHeight="1">
      <c r="A9" s="755" t="s">
        <v>547</v>
      </c>
      <c r="B9" s="3222">
        <v>70</v>
      </c>
      <c r="C9" s="3222">
        <v>70</v>
      </c>
      <c r="D9" s="3222">
        <v>60</v>
      </c>
      <c r="E9" s="3222">
        <v>60</v>
      </c>
      <c r="F9" s="3222">
        <v>60</v>
      </c>
      <c r="G9" s="3222">
        <v>60</v>
      </c>
      <c r="H9" s="3222">
        <v>60</v>
      </c>
      <c r="I9" s="3222">
        <v>50</v>
      </c>
      <c r="J9" s="3222">
        <v>50</v>
      </c>
      <c r="K9" s="3222">
        <v>50</v>
      </c>
      <c r="L9" s="3222">
        <v>50</v>
      </c>
      <c r="M9" s="3223">
        <v>50</v>
      </c>
    </row>
    <row r="10" spans="1:13" ht="19.5" customHeight="1">
      <c r="A10" s="755" t="s">
        <v>548</v>
      </c>
      <c r="B10" s="3222">
        <v>20</v>
      </c>
      <c r="C10" s="3222">
        <v>20</v>
      </c>
      <c r="D10" s="3222">
        <v>15</v>
      </c>
      <c r="E10" s="3222">
        <v>15</v>
      </c>
      <c r="F10" s="3222">
        <v>15</v>
      </c>
      <c r="G10" s="3222">
        <v>15</v>
      </c>
      <c r="H10" s="3222">
        <v>15</v>
      </c>
      <c r="I10" s="3222">
        <v>10</v>
      </c>
      <c r="J10" s="3222">
        <v>10</v>
      </c>
      <c r="K10" s="3222">
        <v>10</v>
      </c>
      <c r="L10" s="3222">
        <v>10</v>
      </c>
      <c r="M10" s="3223">
        <v>10</v>
      </c>
    </row>
    <row r="11" spans="1:13" ht="19.5" customHeight="1">
      <c r="A11" s="755" t="s">
        <v>549</v>
      </c>
      <c r="B11" s="3222">
        <v>30</v>
      </c>
      <c r="C11" s="3222">
        <v>30</v>
      </c>
      <c r="D11" s="3222">
        <v>25</v>
      </c>
      <c r="E11" s="3222">
        <v>25</v>
      </c>
      <c r="F11" s="3222">
        <v>25</v>
      </c>
      <c r="G11" s="3222">
        <v>25</v>
      </c>
      <c r="H11" s="3222">
        <v>25</v>
      </c>
      <c r="I11" s="3222">
        <v>20</v>
      </c>
      <c r="J11" s="3222">
        <v>20</v>
      </c>
      <c r="K11" s="3222">
        <v>20</v>
      </c>
      <c r="L11" s="3222">
        <v>20</v>
      </c>
      <c r="M11" s="3223">
        <v>20</v>
      </c>
    </row>
    <row r="12" spans="1:13" ht="19.5" customHeight="1">
      <c r="A12" s="755" t="s">
        <v>550</v>
      </c>
      <c r="B12" s="3222">
        <v>45</v>
      </c>
      <c r="C12" s="3222">
        <v>45</v>
      </c>
      <c r="D12" s="3222">
        <v>40</v>
      </c>
      <c r="E12" s="3222">
        <v>40</v>
      </c>
      <c r="F12" s="3222">
        <v>40</v>
      </c>
      <c r="G12" s="3222">
        <v>40</v>
      </c>
      <c r="H12" s="3222">
        <v>40</v>
      </c>
      <c r="I12" s="3222">
        <v>35</v>
      </c>
      <c r="J12" s="3222">
        <v>35</v>
      </c>
      <c r="K12" s="3222">
        <v>35</v>
      </c>
      <c r="L12" s="3222">
        <v>35</v>
      </c>
      <c r="M12" s="3223">
        <v>35</v>
      </c>
    </row>
    <row r="13" spans="1:13" ht="19.5" customHeight="1">
      <c r="A13" s="755" t="s">
        <v>551</v>
      </c>
      <c r="B13" s="3222">
        <v>60</v>
      </c>
      <c r="C13" s="3222">
        <v>60</v>
      </c>
      <c r="D13" s="3222">
        <v>50</v>
      </c>
      <c r="E13" s="3222">
        <v>50</v>
      </c>
      <c r="F13" s="3222">
        <v>50</v>
      </c>
      <c r="G13" s="3222">
        <v>50</v>
      </c>
      <c r="H13" s="3222">
        <v>50</v>
      </c>
      <c r="I13" s="3222">
        <v>40</v>
      </c>
      <c r="J13" s="3222">
        <v>40</v>
      </c>
      <c r="K13" s="3222">
        <v>40</v>
      </c>
      <c r="L13" s="3222">
        <v>40</v>
      </c>
      <c r="M13" s="3223">
        <v>40</v>
      </c>
    </row>
    <row r="14" spans="1:13" ht="19.5" customHeight="1">
      <c r="A14" s="755" t="s">
        <v>552</v>
      </c>
      <c r="B14" s="3222">
        <v>50</v>
      </c>
      <c r="C14" s="3222">
        <v>50</v>
      </c>
      <c r="D14" s="3222">
        <v>40</v>
      </c>
      <c r="E14" s="3222">
        <v>40</v>
      </c>
      <c r="F14" s="3222">
        <v>40</v>
      </c>
      <c r="G14" s="3222">
        <v>40</v>
      </c>
      <c r="H14" s="3222">
        <v>40</v>
      </c>
      <c r="I14" s="3222">
        <v>30</v>
      </c>
      <c r="J14" s="3222">
        <v>30</v>
      </c>
      <c r="K14" s="3222">
        <v>30</v>
      </c>
      <c r="L14" s="3222">
        <v>30</v>
      </c>
      <c r="M14" s="3223">
        <v>30</v>
      </c>
    </row>
    <row r="15" spans="1:13" ht="19.5" customHeight="1">
      <c r="A15" s="796" t="s">
        <v>553</v>
      </c>
      <c r="B15" s="3224">
        <v>20</v>
      </c>
      <c r="C15" s="3224">
        <v>20</v>
      </c>
      <c r="D15" s="3224">
        <v>15</v>
      </c>
      <c r="E15" s="3224">
        <v>15</v>
      </c>
      <c r="F15" s="3224">
        <v>15</v>
      </c>
      <c r="G15" s="3224">
        <v>15</v>
      </c>
      <c r="H15" s="3224">
        <v>15</v>
      </c>
      <c r="I15" s="3224">
        <v>10</v>
      </c>
      <c r="J15" s="3224">
        <v>10</v>
      </c>
      <c r="K15" s="3224">
        <v>10</v>
      </c>
      <c r="L15" s="3224">
        <v>10</v>
      </c>
      <c r="M15" s="3225">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24" t="s">
        <v>2950</v>
      </c>
      <c r="B19" s="3226" t="s">
        <v>2951</v>
      </c>
      <c r="C19" s="3227" t="s">
        <v>2952</v>
      </c>
      <c r="D19" s="3228"/>
      <c r="E19" s="3222" t="s">
        <v>2953</v>
      </c>
      <c r="F19" s="802"/>
      <c r="G19" s="802"/>
    </row>
    <row r="20" spans="1:13" s="807" customFormat="1" ht="19.5" customHeight="1">
      <c r="A20" s="3580" t="s">
        <v>2954</v>
      </c>
      <c r="B20" s="3573" t="s">
        <v>2955</v>
      </c>
      <c r="C20" s="3229" t="s">
        <v>2956</v>
      </c>
      <c r="D20" s="3230"/>
      <c r="E20" s="3231">
        <v>1</v>
      </c>
      <c r="F20" s="3232" t="s">
        <v>2957</v>
      </c>
      <c r="G20" s="806"/>
      <c r="H20" s="800"/>
      <c r="I20" s="800"/>
    </row>
    <row r="21" spans="1:13" s="807" customFormat="1" ht="19.5" customHeight="1">
      <c r="A21" s="3581"/>
      <c r="B21" s="3574"/>
      <c r="C21" s="804" t="s">
        <v>2958</v>
      </c>
      <c r="D21" s="805"/>
      <c r="E21" s="3233">
        <v>1</v>
      </c>
      <c r="F21" s="3232" t="s">
        <v>2959</v>
      </c>
      <c r="G21" s="806"/>
      <c r="H21" s="800"/>
      <c r="I21" s="800"/>
    </row>
    <row r="22" spans="1:13" s="807" customFormat="1" ht="19.5" customHeight="1">
      <c r="A22" s="3581"/>
      <c r="B22" s="3574"/>
      <c r="C22" s="804" t="s">
        <v>2960</v>
      </c>
      <c r="D22" s="805"/>
      <c r="E22" s="3233">
        <v>0.9</v>
      </c>
      <c r="F22" s="3232" t="s">
        <v>2961</v>
      </c>
      <c r="G22" s="806"/>
      <c r="H22" s="800"/>
      <c r="I22" s="800"/>
    </row>
    <row r="23" spans="1:13" s="807" customFormat="1" ht="19.5" customHeight="1">
      <c r="A23" s="3581"/>
      <c r="B23" s="3574"/>
      <c r="C23" s="804" t="s">
        <v>2962</v>
      </c>
      <c r="D23" s="805"/>
      <c r="E23" s="3233">
        <v>0.9</v>
      </c>
      <c r="F23" s="3232" t="s">
        <v>2963</v>
      </c>
      <c r="G23" s="806"/>
      <c r="H23" s="800"/>
      <c r="I23" s="800"/>
    </row>
    <row r="24" spans="1:13" s="807" customFormat="1" ht="19.5" customHeight="1">
      <c r="A24" s="3581"/>
      <c r="B24" s="3574"/>
      <c r="C24" s="804" t="s">
        <v>2964</v>
      </c>
      <c r="D24" s="805"/>
      <c r="E24" s="3233">
        <v>0.8</v>
      </c>
      <c r="F24" s="3232" t="s">
        <v>2965</v>
      </c>
      <c r="G24" s="806"/>
      <c r="H24" s="800"/>
      <c r="I24" s="800"/>
    </row>
    <row r="25" spans="1:13" s="807" customFormat="1" ht="19.5" customHeight="1" thickBot="1">
      <c r="A25" s="3582"/>
      <c r="B25" s="3575"/>
      <c r="C25" s="3234" t="s">
        <v>2966</v>
      </c>
      <c r="D25" s="3235"/>
      <c r="E25" s="3236">
        <v>0.8</v>
      </c>
      <c r="F25" s="3232" t="s">
        <v>2967</v>
      </c>
      <c r="G25" s="806"/>
      <c r="H25" s="800"/>
      <c r="I25" s="800"/>
    </row>
    <row r="26" spans="1:13" s="807" customFormat="1" ht="19.5" customHeight="1" thickBot="1">
      <c r="A26" s="3237" t="s">
        <v>2968</v>
      </c>
      <c r="B26" s="3238" t="s">
        <v>2955</v>
      </c>
      <c r="C26" s="3239" t="s">
        <v>2969</v>
      </c>
      <c r="D26" s="3240"/>
      <c r="E26" s="3241">
        <v>1</v>
      </c>
      <c r="F26" s="3232" t="s">
        <v>2970</v>
      </c>
      <c r="G26" s="806"/>
      <c r="H26" s="800"/>
      <c r="I26" s="800"/>
    </row>
    <row r="27" spans="1:13" s="807" customFormat="1" ht="19.5" customHeight="1">
      <c r="A27" s="3576" t="s">
        <v>2971</v>
      </c>
      <c r="B27" s="3573" t="s">
        <v>2971</v>
      </c>
      <c r="C27" s="3229" t="s">
        <v>2972</v>
      </c>
      <c r="D27" s="3230"/>
      <c r="E27" s="3231">
        <v>1</v>
      </c>
      <c r="F27" s="3232" t="s">
        <v>2973</v>
      </c>
      <c r="G27" s="806"/>
      <c r="H27" s="800"/>
      <c r="I27" s="800"/>
    </row>
    <row r="28" spans="1:13" s="807" customFormat="1" ht="19.5" customHeight="1">
      <c r="A28" s="3577"/>
      <c r="B28" s="3574"/>
      <c r="C28" s="804" t="s">
        <v>2974</v>
      </c>
      <c r="D28" s="805"/>
      <c r="E28" s="3233">
        <v>1</v>
      </c>
      <c r="F28" s="3232" t="s">
        <v>2975</v>
      </c>
      <c r="G28" s="806"/>
      <c r="H28" s="800"/>
      <c r="I28" s="800"/>
    </row>
    <row r="29" spans="1:13" s="807" customFormat="1" ht="19.5" customHeight="1">
      <c r="A29" s="3577"/>
      <c r="B29" s="3574"/>
      <c r="C29" s="804" t="s">
        <v>2976</v>
      </c>
      <c r="D29" s="805"/>
      <c r="E29" s="3233">
        <v>0.8</v>
      </c>
      <c r="F29" s="3232" t="s">
        <v>2977</v>
      </c>
      <c r="G29" s="806"/>
      <c r="H29" s="800"/>
      <c r="I29" s="800"/>
    </row>
    <row r="30" spans="1:13" s="807" customFormat="1" ht="19.5" customHeight="1">
      <c r="A30" s="3577"/>
      <c r="B30" s="3574"/>
      <c r="C30" s="804" t="s">
        <v>2978</v>
      </c>
      <c r="D30" s="805"/>
      <c r="E30" s="3233">
        <v>0.8</v>
      </c>
      <c r="F30" s="3232" t="s">
        <v>2979</v>
      </c>
      <c r="G30" s="806"/>
      <c r="H30" s="800"/>
      <c r="I30" s="800"/>
    </row>
    <row r="31" spans="1:13" s="807" customFormat="1" ht="19.5" customHeight="1">
      <c r="A31" s="3577"/>
      <c r="B31" s="3574"/>
      <c r="C31" s="804" t="s">
        <v>2980</v>
      </c>
      <c r="D31" s="805"/>
      <c r="E31" s="3233">
        <v>0.8</v>
      </c>
      <c r="F31" s="3232" t="s">
        <v>2981</v>
      </c>
      <c r="G31" s="806"/>
      <c r="H31" s="800"/>
      <c r="I31" s="800"/>
    </row>
    <row r="32" spans="1:13" s="807" customFormat="1" ht="19.5" customHeight="1">
      <c r="A32" s="3577"/>
      <c r="B32" s="3574"/>
      <c r="C32" s="804" t="s">
        <v>2982</v>
      </c>
      <c r="D32" s="805"/>
      <c r="E32" s="3233">
        <v>0.7</v>
      </c>
      <c r="F32" s="3232" t="s">
        <v>2983</v>
      </c>
      <c r="G32" s="806"/>
      <c r="H32" s="800"/>
      <c r="I32" s="800"/>
    </row>
    <row r="33" spans="1:9" s="807" customFormat="1" ht="19.5" customHeight="1">
      <c r="A33" s="3577"/>
      <c r="B33" s="3574"/>
      <c r="C33" s="804" t="s">
        <v>2984</v>
      </c>
      <c r="D33" s="805"/>
      <c r="E33" s="3233">
        <v>0.8</v>
      </c>
      <c r="F33" s="3232" t="s">
        <v>2985</v>
      </c>
      <c r="G33" s="806"/>
      <c r="H33" s="800"/>
      <c r="I33" s="800"/>
    </row>
    <row r="34" spans="1:9" s="807" customFormat="1" ht="19.5" customHeight="1">
      <c r="A34" s="3577"/>
      <c r="B34" s="3574"/>
      <c r="C34" s="804" t="s">
        <v>2986</v>
      </c>
      <c r="D34" s="805"/>
      <c r="E34" s="3233">
        <v>0.6</v>
      </c>
      <c r="F34" s="3232" t="s">
        <v>2987</v>
      </c>
      <c r="G34" s="806"/>
      <c r="H34" s="800"/>
      <c r="I34" s="800"/>
    </row>
    <row r="35" spans="1:9" s="807" customFormat="1" ht="19.5" customHeight="1">
      <c r="A35" s="3577"/>
      <c r="B35" s="3574"/>
      <c r="C35" s="804" t="s">
        <v>2988</v>
      </c>
      <c r="D35" s="805"/>
      <c r="E35" s="3233">
        <v>0.2</v>
      </c>
      <c r="F35" s="3232" t="s">
        <v>2989</v>
      </c>
      <c r="G35" s="806"/>
      <c r="H35" s="800"/>
      <c r="I35" s="800"/>
    </row>
    <row r="36" spans="1:9" s="807" customFormat="1" ht="19.5" customHeight="1">
      <c r="A36" s="3577"/>
      <c r="B36" s="3574"/>
      <c r="C36" s="804" t="s">
        <v>2990</v>
      </c>
      <c r="D36" s="805"/>
      <c r="E36" s="3233">
        <v>0.2</v>
      </c>
      <c r="F36" s="3232" t="s">
        <v>2991</v>
      </c>
      <c r="G36" s="806"/>
      <c r="H36" s="800"/>
      <c r="I36" s="800"/>
    </row>
    <row r="37" spans="1:9" s="807" customFormat="1" ht="19.5" customHeight="1">
      <c r="A37" s="3577"/>
      <c r="B37" s="3579" t="s">
        <v>2992</v>
      </c>
      <c r="C37" s="804" t="s">
        <v>2993</v>
      </c>
      <c r="D37" s="805"/>
      <c r="E37" s="3233">
        <v>0.6</v>
      </c>
      <c r="F37" s="3232" t="s">
        <v>2994</v>
      </c>
      <c r="G37" s="806"/>
      <c r="H37" s="800"/>
      <c r="I37" s="800"/>
    </row>
    <row r="38" spans="1:9" s="807" customFormat="1" ht="19.5" customHeight="1">
      <c r="A38" s="3577"/>
      <c r="B38" s="3574"/>
      <c r="C38" s="804" t="s">
        <v>2995</v>
      </c>
      <c r="D38" s="805"/>
      <c r="E38" s="3233">
        <v>0.6</v>
      </c>
      <c r="F38" s="3232" t="s">
        <v>2996</v>
      </c>
      <c r="G38" s="806"/>
      <c r="H38" s="800"/>
      <c r="I38" s="800"/>
    </row>
    <row r="39" spans="1:9" s="807" customFormat="1" ht="19.5" customHeight="1" thickBot="1">
      <c r="A39" s="3578"/>
      <c r="B39" s="3575"/>
      <c r="C39" s="3234" t="s">
        <v>2997</v>
      </c>
      <c r="D39" s="3235"/>
      <c r="E39" s="3236">
        <v>0.6</v>
      </c>
      <c r="F39" s="3232" t="s">
        <v>2998</v>
      </c>
      <c r="G39" s="806"/>
      <c r="H39" s="800"/>
      <c r="I39" s="800"/>
    </row>
    <row r="40" spans="1:9" s="807" customFormat="1" ht="19.5" customHeight="1" thickBot="1">
      <c r="A40" s="3237" t="s">
        <v>2999</v>
      </c>
      <c r="B40" s="3238" t="s">
        <v>2999</v>
      </c>
      <c r="C40" s="3239" t="s">
        <v>3000</v>
      </c>
      <c r="D40" s="3240"/>
      <c r="E40" s="3241">
        <v>1</v>
      </c>
      <c r="F40" s="3232" t="s">
        <v>3001</v>
      </c>
      <c r="G40" s="806"/>
      <c r="H40" s="800"/>
      <c r="I40" s="800"/>
    </row>
    <row r="41" spans="1:9" s="807" customFormat="1" ht="19.5" customHeight="1">
      <c r="A41" s="3580" t="s">
        <v>3002</v>
      </c>
      <c r="B41" s="3573" t="s">
        <v>3003</v>
      </c>
      <c r="C41" s="3229" t="s">
        <v>3004</v>
      </c>
      <c r="D41" s="3230"/>
      <c r="E41" s="3231">
        <v>1</v>
      </c>
      <c r="F41" s="3232" t="s">
        <v>3005</v>
      </c>
      <c r="G41" s="806"/>
      <c r="H41" s="800"/>
      <c r="I41" s="800"/>
    </row>
    <row r="42" spans="1:9" s="807" customFormat="1" ht="19.5" customHeight="1">
      <c r="A42" s="3581"/>
      <c r="B42" s="3574"/>
      <c r="C42" s="804" t="s">
        <v>3006</v>
      </c>
      <c r="D42" s="805"/>
      <c r="E42" s="3233">
        <v>1</v>
      </c>
      <c r="F42" s="3232" t="s">
        <v>3007</v>
      </c>
      <c r="G42" s="806"/>
      <c r="H42" s="800"/>
      <c r="I42" s="800"/>
    </row>
    <row r="43" spans="1:9" s="807" customFormat="1" ht="19.5" customHeight="1">
      <c r="A43" s="3581"/>
      <c r="B43" s="3583"/>
      <c r="C43" s="804" t="s">
        <v>3008</v>
      </c>
      <c r="D43" s="805"/>
      <c r="E43" s="3233">
        <v>1.5</v>
      </c>
      <c r="F43" s="3232" t="s">
        <v>3009</v>
      </c>
      <c r="G43" s="806"/>
      <c r="H43" s="800"/>
      <c r="I43" s="800"/>
    </row>
    <row r="44" spans="1:9" s="807" customFormat="1" ht="19.5" customHeight="1">
      <c r="A44" s="3581"/>
      <c r="B44" s="3242" t="s">
        <v>2971</v>
      </c>
      <c r="C44" s="804" t="s">
        <v>3010</v>
      </c>
      <c r="D44" s="805"/>
      <c r="E44" s="3233">
        <v>2</v>
      </c>
      <c r="F44" s="3232" t="s">
        <v>3011</v>
      </c>
      <c r="G44" s="806"/>
      <c r="H44" s="800"/>
      <c r="I44" s="800"/>
    </row>
    <row r="45" spans="1:9" s="807" customFormat="1" ht="19.5" customHeight="1">
      <c r="A45" s="3581"/>
      <c r="B45" s="3579" t="s">
        <v>3012</v>
      </c>
      <c r="C45" s="804" t="s">
        <v>3013</v>
      </c>
      <c r="D45" s="805"/>
      <c r="E45" s="3233">
        <v>1</v>
      </c>
      <c r="F45" s="3232" t="s">
        <v>3014</v>
      </c>
      <c r="G45" s="806"/>
      <c r="H45" s="800"/>
      <c r="I45" s="800"/>
    </row>
    <row r="46" spans="1:9" s="807" customFormat="1" ht="19.5" customHeight="1">
      <c r="A46" s="3581"/>
      <c r="B46" s="3574"/>
      <c r="C46" s="804" t="s">
        <v>3015</v>
      </c>
      <c r="D46" s="805"/>
      <c r="E46" s="3233">
        <v>1</v>
      </c>
      <c r="F46" s="3232" t="s">
        <v>3016</v>
      </c>
      <c r="G46" s="806"/>
      <c r="H46" s="800"/>
      <c r="I46" s="800"/>
    </row>
    <row r="47" spans="1:9" s="807" customFormat="1" ht="19.5" customHeight="1">
      <c r="A47" s="3581"/>
      <c r="B47" s="3574"/>
      <c r="C47" s="804" t="s">
        <v>3017</v>
      </c>
      <c r="D47" s="805"/>
      <c r="E47" s="3233">
        <v>1</v>
      </c>
      <c r="F47" s="3232" t="s">
        <v>3018</v>
      </c>
      <c r="G47" s="806"/>
      <c r="H47" s="800"/>
      <c r="I47" s="800"/>
    </row>
    <row r="48" spans="1:9" s="807" customFormat="1" ht="19.5" customHeight="1">
      <c r="A48" s="3581"/>
      <c r="B48" s="3574"/>
      <c r="C48" s="804" t="s">
        <v>3019</v>
      </c>
      <c r="D48" s="805"/>
      <c r="E48" s="3233">
        <v>1</v>
      </c>
      <c r="F48" s="3232" t="s">
        <v>3020</v>
      </c>
      <c r="G48" s="806"/>
      <c r="H48" s="800"/>
      <c r="I48" s="800"/>
    </row>
    <row r="49" spans="1:9" s="807" customFormat="1" ht="19.5" customHeight="1">
      <c r="A49" s="3581"/>
      <c r="B49" s="3574"/>
      <c r="C49" s="804" t="s">
        <v>3021</v>
      </c>
      <c r="D49" s="805"/>
      <c r="E49" s="3233">
        <v>1</v>
      </c>
      <c r="F49" s="3232" t="s">
        <v>3022</v>
      </c>
      <c r="G49" s="806"/>
      <c r="H49" s="800"/>
      <c r="I49" s="800"/>
    </row>
    <row r="50" spans="1:9" s="807" customFormat="1" ht="19.5" customHeight="1">
      <c r="A50" s="3581"/>
      <c r="B50" s="3574"/>
      <c r="C50" s="804" t="s">
        <v>3023</v>
      </c>
      <c r="D50" s="805"/>
      <c r="E50" s="3233">
        <v>1</v>
      </c>
      <c r="F50" s="3232" t="s">
        <v>3024</v>
      </c>
      <c r="G50" s="806"/>
      <c r="H50" s="800"/>
      <c r="I50" s="800"/>
    </row>
    <row r="51" spans="1:9" s="807" customFormat="1" ht="19.5" customHeight="1" thickBot="1">
      <c r="A51" s="3582"/>
      <c r="B51" s="3575"/>
      <c r="C51" s="3234" t="s">
        <v>3025</v>
      </c>
      <c r="D51" s="3235"/>
      <c r="E51" s="3236">
        <v>1</v>
      </c>
      <c r="F51" s="3232"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22">
        <v>0.7</v>
      </c>
      <c r="C57" s="3222">
        <v>0.4</v>
      </c>
      <c r="D57" s="3222">
        <v>0.3</v>
      </c>
      <c r="E57" s="3228">
        <v>0.3</v>
      </c>
      <c r="F57" s="3222">
        <v>0.3</v>
      </c>
      <c r="G57" s="3222">
        <v>0.2</v>
      </c>
      <c r="I57" s="754"/>
    </row>
    <row r="58" spans="1:9" ht="19.5" customHeight="1">
      <c r="A58" s="813" t="s">
        <v>158</v>
      </c>
      <c r="B58" s="3222">
        <v>0.7</v>
      </c>
      <c r="C58" s="3222">
        <v>0.4</v>
      </c>
      <c r="D58" s="3222">
        <v>0.3</v>
      </c>
      <c r="E58" s="3222">
        <v>0.3</v>
      </c>
      <c r="F58" s="3222">
        <v>0.3</v>
      </c>
      <c r="G58" s="3222">
        <v>0.2</v>
      </c>
      <c r="I58" s="754"/>
    </row>
    <row r="59" spans="1:9" ht="19.5" customHeight="1">
      <c r="A59" s="813" t="s">
        <v>159</v>
      </c>
      <c r="B59" s="3222">
        <v>0.6</v>
      </c>
      <c r="C59" s="3222">
        <v>0.3</v>
      </c>
      <c r="D59" s="3222">
        <v>0.25</v>
      </c>
      <c r="E59" s="3222">
        <v>0.25</v>
      </c>
      <c r="F59" s="3222">
        <v>0.25</v>
      </c>
      <c r="G59" s="3222">
        <v>0.15</v>
      </c>
      <c r="I59" s="754"/>
    </row>
    <row r="60" spans="1:9" ht="19.5" customHeight="1">
      <c r="A60" s="813" t="s">
        <v>160</v>
      </c>
      <c r="B60" s="3222">
        <v>0.6</v>
      </c>
      <c r="C60" s="3222">
        <v>0.3</v>
      </c>
      <c r="D60" s="3222">
        <v>0.25</v>
      </c>
      <c r="E60" s="3222">
        <v>0.25</v>
      </c>
      <c r="F60" s="3222">
        <v>0.25</v>
      </c>
      <c r="G60" s="3222">
        <v>0.15</v>
      </c>
      <c r="I60" s="754"/>
    </row>
    <row r="61" spans="1:9" s="800" customFormat="1" ht="19.5" customHeight="1">
      <c r="A61" s="813" t="s">
        <v>161</v>
      </c>
      <c r="B61" s="3222">
        <v>0.6</v>
      </c>
      <c r="C61" s="3222">
        <v>0.3</v>
      </c>
      <c r="D61" s="3222">
        <v>0.25</v>
      </c>
      <c r="E61" s="3222">
        <v>0.25</v>
      </c>
      <c r="F61" s="3222">
        <v>0.25</v>
      </c>
      <c r="G61" s="3222">
        <v>0.15</v>
      </c>
    </row>
    <row r="62" spans="1:9" s="800" customFormat="1" ht="19.5" customHeight="1">
      <c r="A62" s="813" t="s">
        <v>162</v>
      </c>
      <c r="B62" s="3222">
        <v>0.6</v>
      </c>
      <c r="C62" s="3222">
        <v>0.3</v>
      </c>
      <c r="D62" s="3222">
        <v>0.25</v>
      </c>
      <c r="E62" s="3222">
        <v>0.25</v>
      </c>
      <c r="F62" s="3222">
        <v>0.25</v>
      </c>
      <c r="G62" s="3222">
        <v>0.15</v>
      </c>
    </row>
    <row r="63" spans="1:9" s="800" customFormat="1" ht="19.5" customHeight="1">
      <c r="A63" s="813" t="s">
        <v>163</v>
      </c>
      <c r="B63" s="3222">
        <v>0.6</v>
      </c>
      <c r="C63" s="3222">
        <v>0.3</v>
      </c>
      <c r="D63" s="3222">
        <v>0.25</v>
      </c>
      <c r="E63" s="3222">
        <v>0.25</v>
      </c>
      <c r="F63" s="3222">
        <v>0.25</v>
      </c>
      <c r="G63" s="3222">
        <v>0.15</v>
      </c>
    </row>
    <row r="64" spans="1:9" s="800" customFormat="1" ht="19.5" customHeight="1">
      <c r="A64" s="813" t="s">
        <v>164</v>
      </c>
      <c r="B64" s="3222">
        <v>0.5</v>
      </c>
      <c r="C64" s="3222">
        <v>0.2</v>
      </c>
      <c r="D64" s="3222">
        <v>0.2</v>
      </c>
      <c r="E64" s="3222">
        <v>0.2</v>
      </c>
      <c r="F64" s="3222">
        <v>0.2</v>
      </c>
      <c r="G64" s="3222">
        <v>0.1</v>
      </c>
    </row>
    <row r="65" spans="1:7" s="800" customFormat="1" ht="19.5" customHeight="1">
      <c r="A65" s="813" t="s">
        <v>165</v>
      </c>
      <c r="B65" s="3222">
        <v>0.5</v>
      </c>
      <c r="C65" s="3222">
        <v>0.2</v>
      </c>
      <c r="D65" s="3222">
        <v>0.2</v>
      </c>
      <c r="E65" s="3222">
        <v>0.2</v>
      </c>
      <c r="F65" s="3222">
        <v>0.2</v>
      </c>
      <c r="G65" s="3222">
        <v>0.1</v>
      </c>
    </row>
    <row r="66" spans="1:7" s="800" customFormat="1" ht="19.5" customHeight="1">
      <c r="A66" s="813" t="s">
        <v>166</v>
      </c>
      <c r="B66" s="3222">
        <v>0.5</v>
      </c>
      <c r="C66" s="3222">
        <v>0.2</v>
      </c>
      <c r="D66" s="3222">
        <v>0.2</v>
      </c>
      <c r="E66" s="3222">
        <v>0.2</v>
      </c>
      <c r="F66" s="3222">
        <v>0.2</v>
      </c>
      <c r="G66" s="3222">
        <v>0.1</v>
      </c>
    </row>
    <row r="67" spans="1:7" s="800" customFormat="1" ht="19.5" customHeight="1">
      <c r="A67" s="813" t="s">
        <v>167</v>
      </c>
      <c r="B67" s="3222">
        <v>0.5</v>
      </c>
      <c r="C67" s="3222">
        <v>0.2</v>
      </c>
      <c r="D67" s="3222">
        <v>0.2</v>
      </c>
      <c r="E67" s="3222">
        <v>0.2</v>
      </c>
      <c r="F67" s="3222">
        <v>0.2</v>
      </c>
      <c r="G67" s="3222">
        <v>0.1</v>
      </c>
    </row>
    <row r="68" spans="1:7" s="800" customFormat="1" ht="19.5" customHeight="1">
      <c r="A68" s="813" t="s">
        <v>168</v>
      </c>
      <c r="B68" s="3222">
        <v>0.5</v>
      </c>
      <c r="C68" s="3222">
        <v>0.2</v>
      </c>
      <c r="D68" s="3222">
        <v>0.2</v>
      </c>
      <c r="E68" s="3222">
        <v>0.2</v>
      </c>
      <c r="F68" s="3222">
        <v>0.2</v>
      </c>
      <c r="G68" s="3222">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3027</v>
      </c>
      <c r="D72" s="858"/>
      <c r="E72" s="815" t="s">
        <v>1</v>
      </c>
      <c r="F72" s="858" t="s">
        <v>1</v>
      </c>
    </row>
    <row r="73" spans="1:7" s="800" customFormat="1" ht="13.5">
      <c r="A73" s="3242">
        <v>1</v>
      </c>
      <c r="B73" s="3579" t="s">
        <v>3028</v>
      </c>
      <c r="C73" s="3222" t="s">
        <v>3029</v>
      </c>
      <c r="D73" s="3222" t="s">
        <v>3030</v>
      </c>
      <c r="E73" s="3243">
        <v>0.2</v>
      </c>
      <c r="F73" s="3242">
        <v>25</v>
      </c>
    </row>
    <row r="74" spans="1:7" s="800" customFormat="1" ht="24">
      <c r="A74" s="3242">
        <v>2</v>
      </c>
      <c r="B74" s="3574"/>
      <c r="C74" s="3222" t="s">
        <v>3031</v>
      </c>
      <c r="D74" s="3222" t="s">
        <v>3032</v>
      </c>
      <c r="E74" s="3243">
        <v>0.2</v>
      </c>
      <c r="F74" s="3242">
        <v>25</v>
      </c>
    </row>
    <row r="75" spans="1:7" s="800" customFormat="1" ht="24">
      <c r="A75" s="3242">
        <v>3</v>
      </c>
      <c r="B75" s="3574"/>
      <c r="C75" s="3222" t="s">
        <v>3033</v>
      </c>
      <c r="D75" s="3222" t="s">
        <v>3034</v>
      </c>
      <c r="E75" s="3243">
        <v>0.2</v>
      </c>
      <c r="F75" s="3242">
        <v>25</v>
      </c>
    </row>
    <row r="76" spans="1:7" s="800" customFormat="1" ht="13.5">
      <c r="A76" s="3242">
        <v>4</v>
      </c>
      <c r="B76" s="3574"/>
      <c r="C76" s="3222" t="s">
        <v>3035</v>
      </c>
      <c r="D76" s="3222" t="s">
        <v>3036</v>
      </c>
      <c r="E76" s="3243">
        <v>0.15</v>
      </c>
      <c r="F76" s="3242">
        <v>20</v>
      </c>
    </row>
    <row r="77" spans="1:7" s="800" customFormat="1" ht="24">
      <c r="A77" s="3242">
        <v>5</v>
      </c>
      <c r="B77" s="3574"/>
      <c r="C77" s="3222" t="s">
        <v>3037</v>
      </c>
      <c r="D77" s="3222" t="s">
        <v>3038</v>
      </c>
      <c r="E77" s="3243">
        <v>0.15</v>
      </c>
      <c r="F77" s="3242">
        <v>20</v>
      </c>
    </row>
    <row r="78" spans="1:7" s="800" customFormat="1" ht="24">
      <c r="A78" s="3242">
        <v>6</v>
      </c>
      <c r="B78" s="3574"/>
      <c r="C78" s="3222" t="s">
        <v>3039</v>
      </c>
      <c r="D78" s="3222" t="s">
        <v>3040</v>
      </c>
      <c r="E78" s="3243">
        <v>0.15</v>
      </c>
      <c r="F78" s="3242">
        <v>20</v>
      </c>
    </row>
    <row r="79" spans="1:7" s="800" customFormat="1" ht="24">
      <c r="A79" s="3242">
        <v>7</v>
      </c>
      <c r="B79" s="3574"/>
      <c r="C79" s="3222" t="s">
        <v>3041</v>
      </c>
      <c r="D79" s="3222" t="s">
        <v>3042</v>
      </c>
      <c r="E79" s="3243">
        <v>0.15</v>
      </c>
      <c r="F79" s="3242">
        <v>20</v>
      </c>
    </row>
    <row r="80" spans="1:7" s="800" customFormat="1" ht="24">
      <c r="A80" s="3242">
        <v>8</v>
      </c>
      <c r="B80" s="3574"/>
      <c r="C80" s="3222" t="s">
        <v>3043</v>
      </c>
      <c r="D80" s="3222" t="s">
        <v>3044</v>
      </c>
      <c r="E80" s="3243">
        <v>0.1</v>
      </c>
      <c r="F80" s="3242">
        <v>15</v>
      </c>
    </row>
    <row r="81" spans="1:6" s="800" customFormat="1" ht="24">
      <c r="A81" s="3242">
        <v>9</v>
      </c>
      <c r="B81" s="3574"/>
      <c r="C81" s="3222" t="s">
        <v>3045</v>
      </c>
      <c r="D81" s="3222" t="s">
        <v>3046</v>
      </c>
      <c r="E81" s="3243">
        <v>0.1</v>
      </c>
      <c r="F81" s="3242">
        <v>15</v>
      </c>
    </row>
    <row r="82" spans="1:6" s="800" customFormat="1" ht="24">
      <c r="A82" s="3242">
        <v>10</v>
      </c>
      <c r="B82" s="3574"/>
      <c r="C82" s="3222" t="s">
        <v>3047</v>
      </c>
      <c r="D82" s="3222" t="s">
        <v>3048</v>
      </c>
      <c r="E82" s="3243">
        <v>0.1</v>
      </c>
      <c r="F82" s="3242">
        <v>15</v>
      </c>
    </row>
    <row r="83" spans="1:6" s="800" customFormat="1" ht="24">
      <c r="A83" s="3242">
        <v>11</v>
      </c>
      <c r="B83" s="3574"/>
      <c r="C83" s="3222" t="s">
        <v>3049</v>
      </c>
      <c r="D83" s="3222" t="s">
        <v>3050</v>
      </c>
      <c r="E83" s="3243">
        <v>0.1</v>
      </c>
      <c r="F83" s="3242">
        <v>15</v>
      </c>
    </row>
    <row r="84" spans="1:6" s="800" customFormat="1" ht="24">
      <c r="A84" s="3242">
        <v>12</v>
      </c>
      <c r="B84" s="3574"/>
      <c r="C84" s="3222" t="s">
        <v>3051</v>
      </c>
      <c r="D84" s="3222" t="s">
        <v>3052</v>
      </c>
      <c r="E84" s="3243">
        <v>0.1</v>
      </c>
      <c r="F84" s="3242">
        <v>15</v>
      </c>
    </row>
    <row r="85" spans="1:6" s="800" customFormat="1" ht="13.5">
      <c r="A85" s="3242">
        <v>13</v>
      </c>
      <c r="B85" s="3574"/>
      <c r="C85" s="3222" t="s">
        <v>3053</v>
      </c>
      <c r="D85" s="3222" t="s">
        <v>3054</v>
      </c>
      <c r="E85" s="3243">
        <v>0.1</v>
      </c>
      <c r="F85" s="3242">
        <v>15</v>
      </c>
    </row>
    <row r="86" spans="1:6" s="800" customFormat="1" ht="13.5">
      <c r="A86" s="3242">
        <v>14</v>
      </c>
      <c r="B86" s="3574"/>
      <c r="C86" s="3222" t="s">
        <v>3055</v>
      </c>
      <c r="D86" s="3222" t="s">
        <v>3056</v>
      </c>
      <c r="E86" s="3243">
        <v>0.1</v>
      </c>
      <c r="F86" s="3242">
        <v>15</v>
      </c>
    </row>
    <row r="87" spans="1:6" s="800" customFormat="1" ht="13.5">
      <c r="A87" s="3242">
        <v>15</v>
      </c>
      <c r="B87" s="3574"/>
      <c r="C87" s="3222" t="s">
        <v>3057</v>
      </c>
      <c r="D87" s="3222" t="s">
        <v>3058</v>
      </c>
      <c r="E87" s="3243">
        <v>0.1</v>
      </c>
      <c r="F87" s="3242">
        <v>15</v>
      </c>
    </row>
    <row r="88" spans="1:6" s="800" customFormat="1" ht="24">
      <c r="A88" s="3242">
        <v>16</v>
      </c>
      <c r="B88" s="3574"/>
      <c r="C88" s="3222" t="s">
        <v>3059</v>
      </c>
      <c r="D88" s="3222" t="s">
        <v>3060</v>
      </c>
      <c r="E88" s="3243">
        <v>0.1</v>
      </c>
      <c r="F88" s="3242">
        <v>15</v>
      </c>
    </row>
    <row r="89" spans="1:6" s="800" customFormat="1" ht="24">
      <c r="A89" s="3242">
        <v>17</v>
      </c>
      <c r="B89" s="3583"/>
      <c r="C89" s="3222" t="s">
        <v>3061</v>
      </c>
      <c r="D89" s="3222" t="s">
        <v>3062</v>
      </c>
      <c r="E89" s="3243">
        <v>0.1</v>
      </c>
      <c r="F89" s="3242">
        <v>15</v>
      </c>
    </row>
    <row r="90" spans="1:6" s="800" customFormat="1" ht="13.5">
      <c r="A90" s="3242">
        <v>18</v>
      </c>
      <c r="B90" s="3579" t="s">
        <v>3063</v>
      </c>
      <c r="C90" s="3222" t="s">
        <v>3064</v>
      </c>
      <c r="D90" s="3222" t="s">
        <v>3065</v>
      </c>
      <c r="E90" s="3243">
        <v>0.2</v>
      </c>
      <c r="F90" s="3242">
        <v>25</v>
      </c>
    </row>
    <row r="91" spans="1:6" s="800" customFormat="1" ht="24">
      <c r="A91" s="3242">
        <v>19</v>
      </c>
      <c r="B91" s="3574"/>
      <c r="C91" s="3222" t="s">
        <v>3066</v>
      </c>
      <c r="D91" s="3222" t="s">
        <v>3067</v>
      </c>
      <c r="E91" s="3243">
        <v>0.2</v>
      </c>
      <c r="F91" s="3242">
        <v>25</v>
      </c>
    </row>
    <row r="92" spans="1:6" s="800" customFormat="1" ht="13.5">
      <c r="A92" s="3242">
        <v>20</v>
      </c>
      <c r="B92" s="3574"/>
      <c r="C92" s="3222" t="s">
        <v>3068</v>
      </c>
      <c r="D92" s="3222" t="s">
        <v>3069</v>
      </c>
      <c r="E92" s="3243">
        <v>0.15</v>
      </c>
      <c r="F92" s="3242">
        <v>20</v>
      </c>
    </row>
    <row r="93" spans="1:6" s="800" customFormat="1" ht="24">
      <c r="A93" s="3242">
        <v>21</v>
      </c>
      <c r="B93" s="3574"/>
      <c r="C93" s="3222" t="s">
        <v>3070</v>
      </c>
      <c r="D93" s="3222" t="s">
        <v>3071</v>
      </c>
      <c r="E93" s="3243">
        <v>0.15</v>
      </c>
      <c r="F93" s="3242">
        <v>20</v>
      </c>
    </row>
    <row r="94" spans="1:6" s="800" customFormat="1" ht="24">
      <c r="A94" s="3242">
        <v>22</v>
      </c>
      <c r="B94" s="3574"/>
      <c r="C94" s="3222" t="s">
        <v>3072</v>
      </c>
      <c r="D94" s="3222" t="s">
        <v>3073</v>
      </c>
      <c r="E94" s="3243">
        <v>0.15</v>
      </c>
      <c r="F94" s="3242">
        <v>20</v>
      </c>
    </row>
    <row r="95" spans="1:6" s="800" customFormat="1" ht="36">
      <c r="A95" s="3242">
        <v>23</v>
      </c>
      <c r="B95" s="3574"/>
      <c r="C95" s="3222" t="s">
        <v>3074</v>
      </c>
      <c r="D95" s="3222" t="s">
        <v>3075</v>
      </c>
      <c r="E95" s="3243">
        <v>0.15</v>
      </c>
      <c r="F95" s="3242">
        <v>20</v>
      </c>
    </row>
    <row r="96" spans="1:6" s="800" customFormat="1" ht="13.5">
      <c r="A96" s="3242">
        <v>24</v>
      </c>
      <c r="B96" s="3574"/>
      <c r="C96" s="3222" t="s">
        <v>3076</v>
      </c>
      <c r="D96" s="3222" t="s">
        <v>3077</v>
      </c>
      <c r="E96" s="3243">
        <v>0.1</v>
      </c>
      <c r="F96" s="3242">
        <v>15</v>
      </c>
    </row>
    <row r="97" spans="1:6" s="800" customFormat="1" ht="24">
      <c r="A97" s="3242">
        <v>25</v>
      </c>
      <c r="B97" s="3574"/>
      <c r="C97" s="3222" t="s">
        <v>3078</v>
      </c>
      <c r="D97" s="3222" t="s">
        <v>3079</v>
      </c>
      <c r="E97" s="3243">
        <v>0.1</v>
      </c>
      <c r="F97" s="3242">
        <v>15</v>
      </c>
    </row>
    <row r="98" spans="1:6" s="800" customFormat="1" ht="24">
      <c r="A98" s="3242">
        <v>26</v>
      </c>
      <c r="B98" s="3574"/>
      <c r="C98" s="3222" t="s">
        <v>3080</v>
      </c>
      <c r="D98" s="3222" t="s">
        <v>3081</v>
      </c>
      <c r="E98" s="3243">
        <v>0.1</v>
      </c>
      <c r="F98" s="3242">
        <v>15</v>
      </c>
    </row>
    <row r="99" spans="1:6" s="800" customFormat="1" ht="24">
      <c r="A99" s="3242">
        <v>27</v>
      </c>
      <c r="B99" s="3574"/>
      <c r="C99" s="3222" t="s">
        <v>3082</v>
      </c>
      <c r="D99" s="3222" t="s">
        <v>3083</v>
      </c>
      <c r="E99" s="3243">
        <v>0.1</v>
      </c>
      <c r="F99" s="3242">
        <v>15</v>
      </c>
    </row>
    <row r="100" spans="1:6" s="800" customFormat="1" ht="24">
      <c r="A100" s="3242">
        <v>28</v>
      </c>
      <c r="B100" s="3574"/>
      <c r="C100" s="3222" t="s">
        <v>3084</v>
      </c>
      <c r="D100" s="3222" t="s">
        <v>3085</v>
      </c>
      <c r="E100" s="3243">
        <v>0.1</v>
      </c>
      <c r="F100" s="3242">
        <v>15</v>
      </c>
    </row>
    <row r="101" spans="1:6" s="800" customFormat="1" ht="24">
      <c r="A101" s="3242">
        <v>29</v>
      </c>
      <c r="B101" s="3574"/>
      <c r="C101" s="3222" t="s">
        <v>3086</v>
      </c>
      <c r="D101" s="3222" t="s">
        <v>3087</v>
      </c>
      <c r="E101" s="3243">
        <v>0.1</v>
      </c>
      <c r="F101" s="3242">
        <v>15</v>
      </c>
    </row>
    <row r="102" spans="1:6" s="800" customFormat="1" ht="24">
      <c r="A102" s="3242">
        <v>30</v>
      </c>
      <c r="B102" s="3574"/>
      <c r="C102" s="3222" t="s">
        <v>3088</v>
      </c>
      <c r="D102" s="3222" t="s">
        <v>3089</v>
      </c>
      <c r="E102" s="3243">
        <v>0.1</v>
      </c>
      <c r="F102" s="3242">
        <v>15</v>
      </c>
    </row>
    <row r="103" spans="1:6" s="800" customFormat="1" ht="24">
      <c r="A103" s="3242">
        <v>31</v>
      </c>
      <c r="B103" s="3574"/>
      <c r="C103" s="3222" t="s">
        <v>3090</v>
      </c>
      <c r="D103" s="3222" t="s">
        <v>3091</v>
      </c>
      <c r="E103" s="3243">
        <v>0.1</v>
      </c>
      <c r="F103" s="3242">
        <v>15</v>
      </c>
    </row>
    <row r="104" spans="1:6" s="800" customFormat="1" ht="24">
      <c r="A104" s="3242">
        <v>32</v>
      </c>
      <c r="B104" s="3574"/>
      <c r="C104" s="3222" t="s">
        <v>3092</v>
      </c>
      <c r="D104" s="3222" t="s">
        <v>3093</v>
      </c>
      <c r="E104" s="3243">
        <v>0.1</v>
      </c>
      <c r="F104" s="3242">
        <v>15</v>
      </c>
    </row>
    <row r="105" spans="1:6" s="800" customFormat="1" ht="24">
      <c r="A105" s="3242">
        <v>33</v>
      </c>
      <c r="B105" s="3574"/>
      <c r="C105" s="3222" t="s">
        <v>3094</v>
      </c>
      <c r="D105" s="3222" t="s">
        <v>3095</v>
      </c>
      <c r="E105" s="3243">
        <v>0.1</v>
      </c>
      <c r="F105" s="3242">
        <v>15</v>
      </c>
    </row>
    <row r="106" spans="1:6" s="800" customFormat="1" ht="24">
      <c r="A106" s="3242">
        <v>34</v>
      </c>
      <c r="B106" s="3583"/>
      <c r="C106" s="3222" t="s">
        <v>3096</v>
      </c>
      <c r="D106" s="3222" t="s">
        <v>3097</v>
      </c>
      <c r="E106" s="3243">
        <v>0.1</v>
      </c>
      <c r="F106" s="3242">
        <v>15</v>
      </c>
    </row>
    <row r="107" spans="1:6" s="800" customFormat="1" ht="24">
      <c r="A107" s="3242">
        <v>35</v>
      </c>
      <c r="B107" s="3579" t="s">
        <v>3098</v>
      </c>
      <c r="C107" s="3242" t="s">
        <v>3099</v>
      </c>
      <c r="D107" s="3222" t="s">
        <v>3100</v>
      </c>
      <c r="E107" s="3243">
        <v>0.15</v>
      </c>
      <c r="F107" s="3242">
        <v>20</v>
      </c>
    </row>
    <row r="108" spans="1:6" s="800" customFormat="1" ht="24">
      <c r="A108" s="3242">
        <v>36</v>
      </c>
      <c r="B108" s="3574"/>
      <c r="C108" s="3242" t="s">
        <v>3101</v>
      </c>
      <c r="D108" s="3222" t="s">
        <v>3102</v>
      </c>
      <c r="E108" s="3243">
        <v>0.15</v>
      </c>
      <c r="F108" s="3242">
        <v>20</v>
      </c>
    </row>
    <row r="109" spans="1:6" s="800" customFormat="1" ht="24">
      <c r="A109" s="3242">
        <v>37</v>
      </c>
      <c r="B109" s="3574"/>
      <c r="C109" s="3242" t="s">
        <v>3103</v>
      </c>
      <c r="D109" s="3222" t="s">
        <v>3104</v>
      </c>
      <c r="E109" s="3243">
        <v>0.15</v>
      </c>
      <c r="F109" s="3242">
        <v>20</v>
      </c>
    </row>
    <row r="110" spans="1:6" s="800" customFormat="1" ht="13.5">
      <c r="A110" s="3242">
        <v>38</v>
      </c>
      <c r="B110" s="3574"/>
      <c r="C110" s="3242" t="s">
        <v>3105</v>
      </c>
      <c r="D110" s="3222" t="s">
        <v>3106</v>
      </c>
      <c r="E110" s="3243">
        <v>0.1</v>
      </c>
      <c r="F110" s="3242">
        <v>15</v>
      </c>
    </row>
    <row r="111" spans="1:6" s="800" customFormat="1" ht="24">
      <c r="A111" s="3242">
        <v>39</v>
      </c>
      <c r="B111" s="3574"/>
      <c r="C111" s="3242" t="s">
        <v>3107</v>
      </c>
      <c r="D111" s="3222" t="s">
        <v>3108</v>
      </c>
      <c r="E111" s="3243">
        <v>0.1</v>
      </c>
      <c r="F111" s="3242">
        <v>15</v>
      </c>
    </row>
    <row r="112" spans="1:6" s="800" customFormat="1" ht="24">
      <c r="A112" s="3242">
        <v>40</v>
      </c>
      <c r="B112" s="3583"/>
      <c r="C112" s="3242" t="s">
        <v>3109</v>
      </c>
      <c r="D112" s="3222" t="s">
        <v>3110</v>
      </c>
      <c r="E112" s="3243">
        <v>0.1</v>
      </c>
      <c r="F112" s="3242">
        <v>15</v>
      </c>
    </row>
    <row r="113" spans="1:6" s="800" customFormat="1" ht="24">
      <c r="A113" s="3242">
        <v>41</v>
      </c>
      <c r="B113" s="3584" t="s">
        <v>3111</v>
      </c>
      <c r="C113" s="3242" t="s">
        <v>3112</v>
      </c>
      <c r="D113" s="3222" t="s">
        <v>3113</v>
      </c>
      <c r="E113" s="3243">
        <v>0.1</v>
      </c>
      <c r="F113" s="3242">
        <v>15</v>
      </c>
    </row>
    <row r="114" spans="1:6" s="800" customFormat="1" ht="13.5">
      <c r="A114" s="3242">
        <v>42</v>
      </c>
      <c r="B114" s="3584"/>
      <c r="C114" s="3242" t="s">
        <v>3114</v>
      </c>
      <c r="D114" s="3222" t="s">
        <v>3115</v>
      </c>
      <c r="E114" s="3243">
        <v>0.1</v>
      </c>
      <c r="F114" s="3242">
        <v>15</v>
      </c>
    </row>
    <row r="115" spans="1:6" s="800" customFormat="1" ht="24">
      <c r="A115" s="3242">
        <v>43</v>
      </c>
      <c r="B115" s="3584"/>
      <c r="C115" s="3242" t="s">
        <v>3116</v>
      </c>
      <c r="D115" s="3222" t="s">
        <v>3117</v>
      </c>
      <c r="E115" s="3243">
        <v>0.1</v>
      </c>
      <c r="F115" s="3242">
        <v>15</v>
      </c>
    </row>
    <row r="116" spans="1:6" s="800" customFormat="1" ht="24">
      <c r="A116" s="3242">
        <v>44</v>
      </c>
      <c r="B116" s="3579" t="s">
        <v>3118</v>
      </c>
      <c r="C116" s="3242" t="s">
        <v>3119</v>
      </c>
      <c r="D116" s="3222" t="s">
        <v>3120</v>
      </c>
      <c r="E116" s="3243">
        <v>0.1</v>
      </c>
      <c r="F116" s="3242">
        <v>15</v>
      </c>
    </row>
    <row r="117" spans="1:6" s="800" customFormat="1" ht="24">
      <c r="A117" s="3242">
        <v>45</v>
      </c>
      <c r="B117" s="3583"/>
      <c r="C117" s="3222" t="s">
        <v>3121</v>
      </c>
      <c r="D117" s="3222" t="s">
        <v>3122</v>
      </c>
      <c r="E117" s="3243">
        <v>0.1</v>
      </c>
      <c r="F117" s="3242">
        <v>15</v>
      </c>
    </row>
    <row r="118" spans="1:6" s="800" customFormat="1" ht="24">
      <c r="A118" s="3242">
        <v>46</v>
      </c>
      <c r="B118" s="3579" t="s">
        <v>3123</v>
      </c>
      <c r="C118" s="3242" t="s">
        <v>3124</v>
      </c>
      <c r="D118" s="3222" t="s">
        <v>3125</v>
      </c>
      <c r="E118" s="3243">
        <v>0.1</v>
      </c>
      <c r="F118" s="3242">
        <v>15</v>
      </c>
    </row>
    <row r="119" spans="1:6" s="800" customFormat="1" ht="24">
      <c r="A119" s="3242">
        <v>47</v>
      </c>
      <c r="B119" s="3583"/>
      <c r="C119" s="3242" t="s">
        <v>3126</v>
      </c>
      <c r="D119" s="3222" t="s">
        <v>3127</v>
      </c>
      <c r="E119" s="3243">
        <v>0.1</v>
      </c>
      <c r="F119" s="3242">
        <v>15</v>
      </c>
    </row>
    <row r="120" spans="1:6" s="800" customFormat="1" ht="24">
      <c r="A120" s="3242">
        <v>48</v>
      </c>
      <c r="B120" s="3579" t="s">
        <v>3128</v>
      </c>
      <c r="C120" s="3242" t="s">
        <v>3129</v>
      </c>
      <c r="D120" s="3222" t="s">
        <v>3130</v>
      </c>
      <c r="E120" s="3243">
        <v>0.1</v>
      </c>
      <c r="F120" s="3242">
        <v>15</v>
      </c>
    </row>
    <row r="121" spans="1:6" s="800" customFormat="1" ht="13.5">
      <c r="A121" s="3242">
        <v>49</v>
      </c>
      <c r="B121" s="3583"/>
      <c r="C121" s="3242" t="s">
        <v>3131</v>
      </c>
      <c r="D121" s="3222" t="s">
        <v>3132</v>
      </c>
      <c r="E121" s="3243">
        <v>0.1</v>
      </c>
      <c r="F121" s="3242">
        <v>15</v>
      </c>
    </row>
    <row r="122" spans="1:6" s="800" customFormat="1" ht="24">
      <c r="A122" s="3242">
        <v>50</v>
      </c>
      <c r="B122" s="3584" t="s">
        <v>3133</v>
      </c>
      <c r="C122" s="3242" t="s">
        <v>3134</v>
      </c>
      <c r="D122" s="3222" t="s">
        <v>3135</v>
      </c>
      <c r="E122" s="3243">
        <v>0.1</v>
      </c>
      <c r="F122" s="3242">
        <v>15</v>
      </c>
    </row>
    <row r="123" spans="1:6" s="800" customFormat="1" ht="24">
      <c r="A123" s="3242">
        <v>51</v>
      </c>
      <c r="B123" s="3584"/>
      <c r="C123" s="3242" t="s">
        <v>3136</v>
      </c>
      <c r="D123" s="3222" t="s">
        <v>3137</v>
      </c>
      <c r="E123" s="3243">
        <v>0.1</v>
      </c>
      <c r="F123" s="3242">
        <v>15</v>
      </c>
    </row>
    <row r="124" spans="1:6" s="800" customFormat="1" ht="24">
      <c r="A124" s="3242">
        <v>52</v>
      </c>
      <c r="B124" s="3584" t="s">
        <v>3138</v>
      </c>
      <c r="C124" s="3242" t="s">
        <v>3139</v>
      </c>
      <c r="D124" s="3222" t="s">
        <v>3140</v>
      </c>
      <c r="E124" s="3243">
        <v>0.1</v>
      </c>
      <c r="F124" s="3242">
        <v>15</v>
      </c>
    </row>
    <row r="125" spans="1:6" s="800" customFormat="1" ht="24">
      <c r="A125" s="3242">
        <v>53</v>
      </c>
      <c r="B125" s="3584"/>
      <c r="C125" s="3242" t="s">
        <v>3141</v>
      </c>
      <c r="D125" s="3222" t="s">
        <v>3142</v>
      </c>
      <c r="E125" s="3243">
        <v>0.1</v>
      </c>
      <c r="F125" s="3242">
        <v>15</v>
      </c>
    </row>
    <row r="126" spans="1:6" ht="24">
      <c r="A126" s="3242">
        <v>54</v>
      </c>
      <c r="B126" s="3242" t="s">
        <v>3143</v>
      </c>
      <c r="C126" s="3242" t="s">
        <v>3144</v>
      </c>
      <c r="D126" s="3222" t="s">
        <v>3145</v>
      </c>
      <c r="E126" s="3243">
        <v>0.1</v>
      </c>
      <c r="F126" s="3242">
        <v>15</v>
      </c>
    </row>
    <row r="127" spans="1:6" ht="13.5">
      <c r="A127" s="3242">
        <v>55</v>
      </c>
      <c r="B127" s="3584" t="s">
        <v>3146</v>
      </c>
      <c r="C127" s="3242" t="s">
        <v>3147</v>
      </c>
      <c r="D127" s="3222" t="s">
        <v>3148</v>
      </c>
      <c r="E127" s="3243">
        <v>0.1</v>
      </c>
      <c r="F127" s="3242">
        <v>15</v>
      </c>
    </row>
    <row r="128" spans="1:6" ht="13.5">
      <c r="A128" s="3242">
        <v>56</v>
      </c>
      <c r="B128" s="3584"/>
      <c r="C128" s="3242" t="s">
        <v>3149</v>
      </c>
      <c r="D128" s="3222" t="s">
        <v>3150</v>
      </c>
      <c r="E128" s="3243">
        <v>0.1</v>
      </c>
      <c r="F128" s="3242">
        <v>15</v>
      </c>
    </row>
    <row r="129" spans="1:6" ht="24">
      <c r="A129" s="3242">
        <v>57</v>
      </c>
      <c r="B129" s="3584"/>
      <c r="C129" s="3242" t="s">
        <v>3151</v>
      </c>
      <c r="D129" s="3222" t="s">
        <v>3152</v>
      </c>
      <c r="E129" s="3243">
        <v>0.1</v>
      </c>
      <c r="F129" s="3242">
        <v>15</v>
      </c>
    </row>
    <row r="130" spans="1:6" ht="24">
      <c r="A130" s="3242">
        <v>58</v>
      </c>
      <c r="B130" s="3584" t="s">
        <v>3153</v>
      </c>
      <c r="C130" s="3242" t="s">
        <v>3154</v>
      </c>
      <c r="D130" s="3222" t="s">
        <v>3155</v>
      </c>
      <c r="E130" s="3243">
        <v>0.1</v>
      </c>
      <c r="F130" s="3242">
        <v>15</v>
      </c>
    </row>
    <row r="131" spans="1:6" ht="24">
      <c r="A131" s="3242">
        <v>59</v>
      </c>
      <c r="B131" s="3584"/>
      <c r="C131" s="3242" t="s">
        <v>3156</v>
      </c>
      <c r="D131" s="3222" t="s">
        <v>3157</v>
      </c>
      <c r="E131" s="3243">
        <v>0.1</v>
      </c>
      <c r="F131" s="3242">
        <v>15</v>
      </c>
    </row>
    <row r="132" spans="1:6" ht="24">
      <c r="A132" s="3242">
        <v>60</v>
      </c>
      <c r="B132" s="3579" t="s">
        <v>3158</v>
      </c>
      <c r="C132" s="3242" t="s">
        <v>3159</v>
      </c>
      <c r="D132" s="3222" t="s">
        <v>3160</v>
      </c>
      <c r="E132" s="3243">
        <v>0.1</v>
      </c>
      <c r="F132" s="3242">
        <v>15</v>
      </c>
    </row>
    <row r="133" spans="1:6" ht="24">
      <c r="A133" s="3242">
        <v>61</v>
      </c>
      <c r="B133" s="3583"/>
      <c r="C133" s="3242" t="s">
        <v>3161</v>
      </c>
      <c r="D133" s="3222" t="s">
        <v>3162</v>
      </c>
      <c r="E133" s="3243">
        <v>0.1</v>
      </c>
      <c r="F133" s="3242">
        <v>15</v>
      </c>
    </row>
    <row r="134" spans="1:6" ht="24">
      <c r="A134" s="3242">
        <v>62</v>
      </c>
      <c r="B134" s="3242" t="s">
        <v>3163</v>
      </c>
      <c r="C134" s="3242" t="s">
        <v>3164</v>
      </c>
      <c r="D134" s="3222" t="s">
        <v>3165</v>
      </c>
      <c r="E134" s="3243">
        <v>0.1</v>
      </c>
      <c r="F134" s="3242">
        <v>15</v>
      </c>
    </row>
    <row r="135" spans="1:6" ht="24">
      <c r="A135" s="3242">
        <v>63</v>
      </c>
      <c r="B135" s="3584" t="s">
        <v>3166</v>
      </c>
      <c r="C135" s="3242" t="s">
        <v>3167</v>
      </c>
      <c r="D135" s="3222" t="s">
        <v>3168</v>
      </c>
      <c r="E135" s="3243">
        <v>0.1</v>
      </c>
      <c r="F135" s="3242">
        <v>15</v>
      </c>
    </row>
    <row r="136" spans="1:6" ht="13.5">
      <c r="A136" s="3242">
        <v>64</v>
      </c>
      <c r="B136" s="3584"/>
      <c r="C136" s="3242" t="s">
        <v>3169</v>
      </c>
      <c r="D136" s="3222" t="s">
        <v>3170</v>
      </c>
      <c r="E136" s="3243">
        <v>0.1</v>
      </c>
      <c r="F136" s="3242">
        <v>15</v>
      </c>
    </row>
    <row r="137" spans="1:6" ht="24">
      <c r="A137" s="3242">
        <v>65</v>
      </c>
      <c r="B137" s="3242" t="s">
        <v>3171</v>
      </c>
      <c r="C137" s="3242" t="s">
        <v>3172</v>
      </c>
      <c r="D137" s="3222" t="s">
        <v>3173</v>
      </c>
      <c r="E137" s="3243">
        <v>0.1</v>
      </c>
      <c r="F137" s="3242">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90" t="s">
        <v>877</v>
      </c>
      <c r="C1" s="3590"/>
      <c r="D1" s="3590"/>
      <c r="E1" s="3590"/>
      <c r="F1" s="3590"/>
      <c r="G1" s="3586" t="s">
        <v>878</v>
      </c>
      <c r="H1" s="3586"/>
      <c r="I1" s="3586"/>
      <c r="J1" s="3586"/>
      <c r="K1" s="3586"/>
      <c r="L1" s="3586"/>
      <c r="N1" s="3586" t="s">
        <v>879</v>
      </c>
      <c r="O1" s="3586"/>
      <c r="P1" s="3586"/>
      <c r="Q1" s="3586"/>
      <c r="S1" s="3586" t="s">
        <v>880</v>
      </c>
      <c r="T1" s="3586"/>
      <c r="U1" s="3586"/>
      <c r="V1" s="3586"/>
      <c r="X1" s="3585" t="s">
        <v>881</v>
      </c>
      <c r="Y1" s="3586"/>
      <c r="Z1" s="3586"/>
      <c r="AA1" s="3586"/>
      <c r="AB1" s="3586"/>
      <c r="AD1" s="3585" t="s">
        <v>882</v>
      </c>
      <c r="AE1" s="3586"/>
      <c r="AF1" s="3586"/>
      <c r="AG1" s="3586"/>
      <c r="AH1" s="3586"/>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88">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88"/>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88"/>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95"/>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591">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88"/>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88"/>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95"/>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91">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88"/>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88"/>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89"/>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87">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88"/>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88"/>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89"/>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87">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88"/>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88"/>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89"/>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92">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93"/>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93"/>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94"/>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87">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88"/>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88"/>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89"/>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87">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88">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88">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89">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87">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88">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88">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89">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87">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88">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88">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89">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87">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88">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88">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89">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87">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88">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88">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89">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87">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88">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88">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89">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87">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88">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88">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89">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87">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88">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88">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89">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87">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88">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88">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89">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87">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88">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88">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89">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4"/>
      <c r="C2" s="3264"/>
      <c r="D2" s="3264"/>
      <c r="E2" s="3264"/>
    </row>
    <row r="3" spans="1:5" ht="18">
      <c r="A3" s="3265" t="str">
        <f>IF(项目基本情况!B9="房地产市场价值","估价结果一览表（市场价值不需“结果表-1”）","估价结果一览表")</f>
        <v>估价结果一览表</v>
      </c>
      <c r="B3" s="3265"/>
      <c r="C3" s="3265"/>
      <c r="D3" s="3265"/>
      <c r="E3" s="3265"/>
    </row>
    <row r="4" spans="1:5" ht="19.5" thickBot="1">
      <c r="A4" s="1628"/>
      <c r="B4" s="3263" t="s">
        <v>1354</v>
      </c>
      <c r="C4" s="3263"/>
      <c r="D4" s="3263"/>
      <c r="E4" s="1628"/>
    </row>
    <row r="5" spans="1:5" ht="16.5" thickTop="1">
      <c r="A5" s="1626"/>
      <c r="B5" s="3261" t="s">
        <v>1346</v>
      </c>
      <c r="C5" s="1629" t="s">
        <v>1347</v>
      </c>
      <c r="D5" s="939">
        <f ca="1">结果表!H101</f>
        <v>18313</v>
      </c>
      <c r="E5" s="1626"/>
    </row>
    <row r="6" spans="1:5" ht="15.75">
      <c r="A6" s="1626"/>
      <c r="B6" s="3261"/>
      <c r="C6" s="1629" t="s">
        <v>1348</v>
      </c>
      <c r="D6" s="939" t="str">
        <f ca="1">NUMBERSTRING(INT(D5*10000),2)&amp;"元整"</f>
        <v>壹亿捌仟叁佰壹拾叁万元整</v>
      </c>
      <c r="E6" s="1626"/>
    </row>
    <row r="7" spans="1:5" ht="15.75">
      <c r="A7" s="1626"/>
      <c r="B7" s="3266"/>
      <c r="C7" s="1630" t="s">
        <v>1349</v>
      </c>
      <c r="D7" s="940">
        <f ca="1">结果表!H102</f>
        <v>5686</v>
      </c>
      <c r="E7" s="1626"/>
    </row>
    <row r="8" spans="1:5" ht="15.75">
      <c r="A8" s="1626"/>
      <c r="B8" s="3267" t="str">
        <f>结果表!E103</f>
        <v>2.估价师知悉的法定优先受偿款</v>
      </c>
      <c r="C8" s="1631" t="s">
        <v>1350</v>
      </c>
      <c r="D8" s="940">
        <f>结果表!H103</f>
        <v>0</v>
      </c>
      <c r="E8" s="1626"/>
    </row>
    <row r="9" spans="1:5" ht="15.75">
      <c r="A9" s="1626"/>
      <c r="B9" s="3269"/>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60" t="str">
        <f>结果表!E107</f>
        <v>3.房地产抵押价值</v>
      </c>
      <c r="C13" s="1634" t="s">
        <v>1347</v>
      </c>
      <c r="D13" s="942">
        <f ca="1">结果表!H107</f>
        <v>18313</v>
      </c>
      <c r="E13" s="1626"/>
    </row>
    <row r="14" spans="1:5" ht="15.75">
      <c r="A14" s="1626"/>
      <c r="B14" s="3261"/>
      <c r="C14" s="1629" t="s">
        <v>1348</v>
      </c>
      <c r="D14" s="939" t="str">
        <f ca="1">NUMBERSTRING(INT(D13*10000),2)&amp;"元整"</f>
        <v>壹亿捌仟叁佰壹拾叁万元整</v>
      </c>
      <c r="E14" s="1626"/>
    </row>
    <row r="15" spans="1:5" ht="15">
      <c r="A15" s="1626"/>
      <c r="B15" s="3266"/>
      <c r="C15" s="1630" t="s">
        <v>1358</v>
      </c>
      <c r="D15" s="948">
        <f ca="1">结果表!H108</f>
        <v>5686</v>
      </c>
      <c r="E15" s="1626"/>
    </row>
    <row r="16" spans="1:5" ht="15">
      <c r="A16" s="1626"/>
      <c r="B16" s="3267" t="str">
        <f>结果表!E109</f>
        <v>——</v>
      </c>
      <c r="C16" s="1634" t="s">
        <v>1359</v>
      </c>
      <c r="D16" s="1635" t="str">
        <f>结果表!H109</f>
        <v>——</v>
      </c>
      <c r="E16" s="1626"/>
    </row>
    <row r="17" spans="1:5" ht="15.75">
      <c r="A17" s="1626"/>
      <c r="B17" s="3268"/>
      <c r="C17" s="1629" t="s">
        <v>1360</v>
      </c>
      <c r="D17" s="939" t="e">
        <f>NUMBERSTRING(INT(D16*10000),2)&amp;"元整"</f>
        <v>#VALUE!</v>
      </c>
      <c r="E17" s="1626"/>
    </row>
    <row r="18" spans="1:5" ht="15">
      <c r="A18" s="1626"/>
      <c r="B18" s="3269"/>
      <c r="C18" s="1630" t="s">
        <v>1349</v>
      </c>
      <c r="D18" s="948" t="str">
        <f>结果表!H110</f>
        <v>——</v>
      </c>
      <c r="E18" s="1626"/>
    </row>
    <row r="19" spans="1:5" ht="15.75">
      <c r="A19" s="1626"/>
      <c r="B19" s="3260" t="str">
        <f>结果表!E111</f>
        <v>——</v>
      </c>
      <c r="C19" s="1634" t="s">
        <v>1347</v>
      </c>
      <c r="D19" s="940" t="str">
        <f>结果表!H111</f>
        <v>——</v>
      </c>
      <c r="E19" s="1626"/>
    </row>
    <row r="20" spans="1:5" ht="15.75">
      <c r="A20" s="1626"/>
      <c r="B20" s="3261"/>
      <c r="C20" s="1629" t="s">
        <v>1360</v>
      </c>
      <c r="D20" s="939" t="e">
        <f>NUMBERSTRING(INT(D19*10000),2)&amp;"元整"</f>
        <v>#VALUE!</v>
      </c>
      <c r="E20" s="1626"/>
    </row>
    <row r="21" spans="1:5" ht="15.75" thickBot="1">
      <c r="A21" s="1626"/>
      <c r="B21" s="3262"/>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953"/>
  <sheetViews>
    <sheetView zoomScale="90" zoomScaleNormal="90" workbookViewId="0">
      <pane ySplit="24" topLeftCell="A25" activePane="bottomLeft" state="frozen"/>
      <selection activeCell="C50" sqref="C50"/>
      <selection pane="bottomLeft" activeCell="B928" sqref="B92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2583</v>
      </c>
      <c r="C1" s="3599" t="s">
        <v>2584</v>
      </c>
      <c r="D1" s="3600"/>
      <c r="E1" s="3600"/>
      <c r="F1" s="3600"/>
      <c r="G1" s="3600"/>
      <c r="H1" s="3600"/>
      <c r="I1" s="3600"/>
      <c r="J1" s="3600"/>
      <c r="K1" s="3600"/>
      <c r="L1" s="3600"/>
      <c r="M1" s="3600"/>
      <c r="N1" s="3600"/>
      <c r="O1" s="3600"/>
      <c r="P1" s="3600"/>
      <c r="Q1" s="3600"/>
      <c r="R1" s="3600"/>
      <c r="S1" s="3601"/>
      <c r="T1" s="1094" t="s">
        <v>2585</v>
      </c>
    </row>
    <row r="2" spans="1:45" s="662" customFormat="1" ht="25.5">
      <c r="A2" s="1095"/>
      <c r="B2" s="658" t="s">
        <v>2586</v>
      </c>
      <c r="C2" s="659" t="str">
        <f t="shared" ref="C2:L2" si="0">C3&amp;"(含)"&amp;"-"&amp;D3</f>
        <v>0(含)-25</v>
      </c>
      <c r="D2" s="660" t="str">
        <f t="shared" si="0"/>
        <v>25(含)-30</v>
      </c>
      <c r="E2" s="660" t="str">
        <f t="shared" si="0"/>
        <v>30(含)-35</v>
      </c>
      <c r="F2" s="660" t="str">
        <f t="shared" si="0"/>
        <v>35(含)-45</v>
      </c>
      <c r="G2" s="660" t="str">
        <f t="shared" si="0"/>
        <v>45(含)-50</v>
      </c>
      <c r="H2" s="660" t="str">
        <f t="shared" si="0"/>
        <v>50(含)-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v>0</v>
      </c>
      <c r="D3" s="665">
        <v>25</v>
      </c>
      <c r="E3" s="665">
        <v>30</v>
      </c>
      <c r="F3" s="1425">
        <v>35</v>
      </c>
      <c r="G3" s="1425">
        <v>45</v>
      </c>
      <c r="H3" s="1425">
        <v>50</v>
      </c>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v>98</v>
      </c>
      <c r="D4" s="1101">
        <v>99</v>
      </c>
      <c r="E4" s="1101">
        <v>100</v>
      </c>
      <c r="F4" s="1429">
        <v>99</v>
      </c>
      <c r="G4" s="1429">
        <v>98</v>
      </c>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2595</v>
      </c>
      <c r="E19" s="1474"/>
      <c r="F19" s="1474"/>
      <c r="G19" s="1474"/>
      <c r="H19" s="1170"/>
      <c r="I19" s="163"/>
      <c r="J19" s="163"/>
      <c r="K19" s="163"/>
      <c r="L19" s="163"/>
      <c r="M19" s="163"/>
      <c r="N19" s="163"/>
      <c r="O19" s="163"/>
      <c r="P19" s="163"/>
      <c r="Q19" s="163"/>
      <c r="R19" s="726"/>
      <c r="S19" s="133"/>
    </row>
    <row r="20" spans="1:45" ht="16.5" thickBot="1">
      <c r="A20" s="670" t="s">
        <v>2596</v>
      </c>
      <c r="B20" s="299">
        <f ca="1">IF(D20="——",S22,S22-F20)</f>
        <v>18313</v>
      </c>
      <c r="C20" s="163"/>
      <c r="D20" s="2317" t="s">
        <v>70</v>
      </c>
      <c r="E20" s="1475"/>
      <c r="F20" s="1094" t="e">
        <f ca="1">SUMIF(INDIRECT("'"&amp;H20&amp;"'"&amp;"!A:A"),"承租人权益价值",INDIRECT("'"&amp;H20&amp;"'"&amp;"!c:c"))</f>
        <v>#REF!</v>
      </c>
      <c r="G20" s="1094" t="s">
        <v>2597</v>
      </c>
      <c r="H20" s="2318"/>
      <c r="I20" s="163"/>
      <c r="J20" s="163"/>
      <c r="K20" s="163"/>
      <c r="L20" s="163"/>
      <c r="M20" s="163"/>
      <c r="N20" s="163"/>
      <c r="O20" s="163"/>
      <c r="P20" s="163"/>
      <c r="Q20" s="163"/>
      <c r="R20" s="726"/>
      <c r="S20" s="133"/>
    </row>
    <row r="21" spans="1:45" ht="15.75">
      <c r="A21" s="670" t="s">
        <v>2598</v>
      </c>
      <c r="B21" s="299">
        <f ca="1">ROUND(B20*10000/B22,0)</f>
        <v>5686</v>
      </c>
      <c r="C21" s="163"/>
      <c r="D21" s="163"/>
      <c r="E21" s="163"/>
      <c r="F21" s="163"/>
      <c r="G21" s="163"/>
      <c r="H21" s="163"/>
      <c r="I21" s="163"/>
      <c r="J21" s="163"/>
      <c r="K21" s="163"/>
      <c r="L21" s="163"/>
      <c r="M21" s="163"/>
      <c r="N21" s="163"/>
      <c r="O21" s="163"/>
      <c r="P21" s="163"/>
      <c r="Q21" s="163"/>
      <c r="R21" s="726"/>
      <c r="S21" s="133"/>
    </row>
    <row r="22" spans="1:45">
      <c r="A22" s="321" t="s">
        <v>2599</v>
      </c>
      <c r="B22" s="24">
        <f>SUM(B24:B10000)</f>
        <v>32206.89000000029</v>
      </c>
      <c r="C22" s="3596" t="s">
        <v>33</v>
      </c>
      <c r="D22" s="3597"/>
      <c r="E22" s="3597"/>
      <c r="F22" s="3597"/>
      <c r="G22" s="3597"/>
      <c r="H22" s="3597"/>
      <c r="I22" s="3597"/>
      <c r="J22" s="3597"/>
      <c r="K22" s="3597"/>
      <c r="L22" s="3597"/>
      <c r="M22" s="3597"/>
      <c r="N22" s="3597"/>
      <c r="O22" s="3597"/>
      <c r="P22" s="3597"/>
      <c r="Q22" s="3598"/>
      <c r="R22" s="671">
        <f ca="1">ROUND(S22*10000/B22,0)</f>
        <v>5686</v>
      </c>
      <c r="S22" s="24">
        <f ca="1">SUM(S24:S10000)</f>
        <v>18313</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Sheet1!E2</f>
        <v>B078</v>
      </c>
      <c r="B24" s="673">
        <f>Sheet1!F2</f>
        <v>33.93</v>
      </c>
      <c r="C24" s="2990">
        <v>1</v>
      </c>
      <c r="D24" s="2991"/>
      <c r="E24" s="2990">
        <v>1</v>
      </c>
      <c r="F24" s="2991"/>
      <c r="G24" s="2990">
        <v>1</v>
      </c>
      <c r="H24" s="2991"/>
      <c r="I24" s="2990">
        <v>1</v>
      </c>
      <c r="J24" s="2991"/>
      <c r="K24" s="2990">
        <v>1</v>
      </c>
      <c r="L24" s="2991"/>
      <c r="M24" s="2990">
        <v>1</v>
      </c>
      <c r="N24" s="2991"/>
      <c r="O24" s="2990">
        <v>1</v>
      </c>
      <c r="P24" s="2991"/>
      <c r="Q24" s="2990">
        <v>1</v>
      </c>
      <c r="R24" s="676">
        <f ca="1">'结果表-基准'!G20</f>
        <v>5760</v>
      </c>
      <c r="S24" s="674">
        <f t="shared" ref="S24:S54" ca="1" si="11">ROUND(R24*B24/10000,0)</f>
        <v>20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Sheet1!E3</f>
        <v>B089</v>
      </c>
      <c r="B25" s="673">
        <f>Sheet1!F3</f>
        <v>33.93</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5760</v>
      </c>
      <c r="S25" s="321">
        <f t="shared" ca="1" si="11"/>
        <v>20</v>
      </c>
    </row>
    <row r="26" spans="1:45">
      <c r="A26" s="673" t="str">
        <f>Sheet1!E4</f>
        <v>D097</v>
      </c>
      <c r="B26" s="673">
        <f>Sheet1!F4</f>
        <v>33.93</v>
      </c>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5760</v>
      </c>
      <c r="S26" s="321">
        <f t="shared" ca="1" si="11"/>
        <v>20</v>
      </c>
    </row>
    <row r="27" spans="1:45">
      <c r="A27" s="673" t="str">
        <f>Sheet1!E5</f>
        <v>D101</v>
      </c>
      <c r="B27" s="673">
        <f>Sheet1!F5</f>
        <v>33.93</v>
      </c>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ca="1" si="20"/>
        <v>5760</v>
      </c>
      <c r="S27" s="321">
        <f t="shared" ca="1" si="11"/>
        <v>20</v>
      </c>
    </row>
    <row r="28" spans="1:45">
      <c r="A28" s="673" t="str">
        <f>Sheet1!E6</f>
        <v>F051</v>
      </c>
      <c r="B28" s="673">
        <f>Sheet1!F6</f>
        <v>33.93</v>
      </c>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ca="1" si="20"/>
        <v>5760</v>
      </c>
      <c r="S28" s="321">
        <f t="shared" ca="1" si="11"/>
        <v>20</v>
      </c>
    </row>
    <row r="29" spans="1:45">
      <c r="A29" s="673" t="str">
        <f>Sheet1!E7</f>
        <v>G004</v>
      </c>
      <c r="B29" s="673">
        <f>Sheet1!F7</f>
        <v>33.93</v>
      </c>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ca="1" si="20"/>
        <v>5760</v>
      </c>
      <c r="S29" s="321">
        <f t="shared" ca="1" si="11"/>
        <v>20</v>
      </c>
    </row>
    <row r="30" spans="1:45">
      <c r="A30" s="673" t="str">
        <f>Sheet1!E8</f>
        <v>G005</v>
      </c>
      <c r="B30" s="673">
        <f>Sheet1!F8</f>
        <v>33.93</v>
      </c>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ca="1" si="20"/>
        <v>5760</v>
      </c>
      <c r="S30" s="321">
        <f t="shared" ca="1" si="11"/>
        <v>20</v>
      </c>
    </row>
    <row r="31" spans="1:45">
      <c r="A31" s="673" t="str">
        <f>Sheet1!E9</f>
        <v>G006</v>
      </c>
      <c r="B31" s="673">
        <f>Sheet1!F9</f>
        <v>33.93</v>
      </c>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ca="1" si="20"/>
        <v>5760</v>
      </c>
      <c r="S31" s="321">
        <f t="shared" ca="1" si="11"/>
        <v>20</v>
      </c>
    </row>
    <row r="32" spans="1:45">
      <c r="A32" s="673" t="str">
        <f>Sheet1!E10</f>
        <v>G007</v>
      </c>
      <c r="B32" s="673">
        <f>Sheet1!F10</f>
        <v>33.93</v>
      </c>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ca="1" si="20"/>
        <v>5760</v>
      </c>
      <c r="S32" s="321">
        <f t="shared" ca="1" si="11"/>
        <v>20</v>
      </c>
    </row>
    <row r="33" spans="1:19">
      <c r="A33" s="673" t="str">
        <f>Sheet1!E11</f>
        <v>G093</v>
      </c>
      <c r="B33" s="673">
        <f>Sheet1!F11</f>
        <v>33.93</v>
      </c>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ca="1" si="20"/>
        <v>5760</v>
      </c>
      <c r="S33" s="321">
        <f t="shared" ca="1" si="11"/>
        <v>20</v>
      </c>
    </row>
    <row r="34" spans="1:19">
      <c r="A34" s="673" t="str">
        <f>Sheet1!E12</f>
        <v>G094</v>
      </c>
      <c r="B34" s="673">
        <f>Sheet1!F12</f>
        <v>33.93</v>
      </c>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ca="1" si="20"/>
        <v>5760</v>
      </c>
      <c r="S34" s="321">
        <f t="shared" ca="1" si="11"/>
        <v>20</v>
      </c>
    </row>
    <row r="35" spans="1:19">
      <c r="A35" s="673" t="str">
        <f>Sheet1!E13</f>
        <v>G095</v>
      </c>
      <c r="B35" s="673">
        <f>Sheet1!F13</f>
        <v>33.93</v>
      </c>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ca="1" si="20"/>
        <v>5760</v>
      </c>
      <c r="S35" s="321">
        <f t="shared" ca="1" si="11"/>
        <v>20</v>
      </c>
    </row>
    <row r="36" spans="1:19">
      <c r="A36" s="673" t="str">
        <f>Sheet1!E14</f>
        <v>H027</v>
      </c>
      <c r="B36" s="673">
        <f>Sheet1!F14</f>
        <v>33.93</v>
      </c>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ca="1" si="20"/>
        <v>5760</v>
      </c>
      <c r="S36" s="321">
        <f t="shared" ca="1" si="11"/>
        <v>20</v>
      </c>
    </row>
    <row r="37" spans="1:19">
      <c r="A37" s="673" t="str">
        <f>Sheet1!E15</f>
        <v>H032</v>
      </c>
      <c r="B37" s="673">
        <f>Sheet1!F15</f>
        <v>33.93</v>
      </c>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ca="1" si="20"/>
        <v>5760</v>
      </c>
      <c r="S37" s="321">
        <f t="shared" ca="1" si="11"/>
        <v>20</v>
      </c>
    </row>
    <row r="38" spans="1:19">
      <c r="A38" s="673" t="str">
        <f>Sheet1!E16</f>
        <v>K113</v>
      </c>
      <c r="B38" s="673">
        <f>Sheet1!F16</f>
        <v>32.58</v>
      </c>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ca="1" si="20"/>
        <v>5760</v>
      </c>
      <c r="S38" s="321">
        <f t="shared" ca="1" si="11"/>
        <v>19</v>
      </c>
    </row>
    <row r="39" spans="1:19">
      <c r="A39" s="673" t="str">
        <f>Sheet1!E17</f>
        <v>K114</v>
      </c>
      <c r="B39" s="673">
        <f>Sheet1!F17</f>
        <v>33.93</v>
      </c>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ca="1" si="20"/>
        <v>5760</v>
      </c>
      <c r="S39" s="321">
        <f t="shared" ca="1" si="11"/>
        <v>20</v>
      </c>
    </row>
    <row r="40" spans="1:19">
      <c r="A40" s="673" t="str">
        <f>Sheet1!E18</f>
        <v>K123</v>
      </c>
      <c r="B40" s="673">
        <f>Sheet1!F18</f>
        <v>33.93</v>
      </c>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ca="1" si="20"/>
        <v>5760</v>
      </c>
      <c r="S40" s="321">
        <f t="shared" ca="1" si="11"/>
        <v>20</v>
      </c>
    </row>
    <row r="41" spans="1:19">
      <c r="A41" s="673" t="str">
        <f>Sheet1!E19</f>
        <v>K124</v>
      </c>
      <c r="B41" s="673">
        <f>Sheet1!F19</f>
        <v>33.93</v>
      </c>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ca="1" si="20"/>
        <v>5760</v>
      </c>
      <c r="S41" s="321">
        <f t="shared" ca="1" si="11"/>
        <v>20</v>
      </c>
    </row>
    <row r="42" spans="1:19">
      <c r="A42" s="673" t="str">
        <f>Sheet1!E20</f>
        <v>K125</v>
      </c>
      <c r="B42" s="673">
        <f>Sheet1!F20</f>
        <v>33.93</v>
      </c>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ca="1" si="20"/>
        <v>5760</v>
      </c>
      <c r="S42" s="321">
        <f t="shared" ca="1" si="11"/>
        <v>20</v>
      </c>
    </row>
    <row r="43" spans="1:19">
      <c r="A43" s="673" t="str">
        <f>Sheet1!E21</f>
        <v>K126</v>
      </c>
      <c r="B43" s="673">
        <f>Sheet1!F21</f>
        <v>33.93</v>
      </c>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ca="1" si="20"/>
        <v>5760</v>
      </c>
      <c r="S43" s="321">
        <f t="shared" ca="1" si="11"/>
        <v>20</v>
      </c>
    </row>
    <row r="44" spans="1:19">
      <c r="A44" s="673" t="str">
        <f>Sheet1!E22</f>
        <v>L006</v>
      </c>
      <c r="B44" s="673">
        <f>Sheet1!F22</f>
        <v>32.58</v>
      </c>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ca="1" si="20"/>
        <v>5760</v>
      </c>
      <c r="S44" s="321">
        <f t="shared" ca="1" si="11"/>
        <v>19</v>
      </c>
    </row>
    <row r="45" spans="1:19">
      <c r="A45" s="673" t="str">
        <f>Sheet1!E23</f>
        <v>L090</v>
      </c>
      <c r="B45" s="673">
        <f>Sheet1!F23</f>
        <v>33.93</v>
      </c>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ca="1" si="20"/>
        <v>5760</v>
      </c>
      <c r="S45" s="321">
        <f t="shared" ca="1" si="11"/>
        <v>20</v>
      </c>
    </row>
    <row r="46" spans="1:19">
      <c r="A46" s="673" t="str">
        <f>Sheet1!E24</f>
        <v>L096</v>
      </c>
      <c r="B46" s="673">
        <f>Sheet1!F24</f>
        <v>33.93</v>
      </c>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ca="1" si="20"/>
        <v>5760</v>
      </c>
      <c r="S46" s="321">
        <f t="shared" ca="1" si="11"/>
        <v>20</v>
      </c>
    </row>
    <row r="47" spans="1:19">
      <c r="A47" s="673" t="str">
        <f>Sheet1!E25</f>
        <v>L098</v>
      </c>
      <c r="B47" s="673">
        <f>Sheet1!F25</f>
        <v>33.93</v>
      </c>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ca="1" si="20"/>
        <v>5760</v>
      </c>
      <c r="S47" s="321">
        <f t="shared" ca="1" si="11"/>
        <v>20</v>
      </c>
    </row>
    <row r="48" spans="1:19">
      <c r="A48" s="673" t="str">
        <f>Sheet1!E26</f>
        <v>M001</v>
      </c>
      <c r="B48" s="673">
        <f>Sheet1!F26</f>
        <v>32.58</v>
      </c>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ca="1" si="20"/>
        <v>5760</v>
      </c>
      <c r="S48" s="321">
        <f t="shared" ca="1" si="11"/>
        <v>19</v>
      </c>
    </row>
    <row r="49" spans="1:19">
      <c r="A49" s="673" t="str">
        <f>Sheet1!E27</f>
        <v>M002</v>
      </c>
      <c r="B49" s="673">
        <f>Sheet1!F27</f>
        <v>32.58</v>
      </c>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ca="1" si="20"/>
        <v>5760</v>
      </c>
      <c r="S49" s="321">
        <f t="shared" ca="1" si="11"/>
        <v>19</v>
      </c>
    </row>
    <row r="50" spans="1:19">
      <c r="A50" s="673" t="str">
        <f>Sheet1!E28</f>
        <v>M003</v>
      </c>
      <c r="B50" s="673">
        <f>Sheet1!F28</f>
        <v>32.58</v>
      </c>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ca="1" si="20"/>
        <v>5760</v>
      </c>
      <c r="S50" s="321">
        <f t="shared" ca="1" si="11"/>
        <v>19</v>
      </c>
    </row>
    <row r="51" spans="1:19">
      <c r="A51" s="673" t="str">
        <f>Sheet1!E29</f>
        <v>M004</v>
      </c>
      <c r="B51" s="673">
        <f>Sheet1!F29</f>
        <v>32.58</v>
      </c>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ca="1" si="20"/>
        <v>5760</v>
      </c>
      <c r="S51" s="321">
        <f t="shared" ca="1" si="11"/>
        <v>19</v>
      </c>
    </row>
    <row r="52" spans="1:19">
      <c r="A52" s="673" t="str">
        <f>Sheet1!E30</f>
        <v>M005</v>
      </c>
      <c r="B52" s="673">
        <f>Sheet1!F30</f>
        <v>32.58</v>
      </c>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ca="1" si="20"/>
        <v>5760</v>
      </c>
      <c r="S52" s="321">
        <f t="shared" ca="1" si="11"/>
        <v>19</v>
      </c>
    </row>
    <row r="53" spans="1:19">
      <c r="A53" s="673" t="str">
        <f>Sheet1!E31</f>
        <v>M006</v>
      </c>
      <c r="B53" s="673">
        <f>Sheet1!F31</f>
        <v>32.58</v>
      </c>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ca="1" si="20"/>
        <v>5760</v>
      </c>
      <c r="S53" s="321">
        <f t="shared" ca="1" si="11"/>
        <v>19</v>
      </c>
    </row>
    <row r="54" spans="1:19">
      <c r="A54" s="673" t="str">
        <f>Sheet1!E32</f>
        <v>M007</v>
      </c>
      <c r="B54" s="673">
        <f>Sheet1!F32</f>
        <v>32.58</v>
      </c>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ca="1" si="20"/>
        <v>5760</v>
      </c>
      <c r="S54" s="321">
        <f t="shared" ca="1" si="11"/>
        <v>19</v>
      </c>
    </row>
    <row r="55" spans="1:19">
      <c r="A55" s="673" t="str">
        <f>Sheet1!E33</f>
        <v>M008</v>
      </c>
      <c r="B55" s="673">
        <f>Sheet1!F33</f>
        <v>32.58</v>
      </c>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ca="1" si="20"/>
        <v>5760</v>
      </c>
      <c r="S55" s="321">
        <f t="shared" ref="S55:S77" ca="1" si="21">ROUND(R55*B55/10000,0)</f>
        <v>19</v>
      </c>
    </row>
    <row r="56" spans="1:19">
      <c r="A56" s="673" t="str">
        <f>Sheet1!E34</f>
        <v>M009</v>
      </c>
      <c r="B56" s="673">
        <f>Sheet1!F34</f>
        <v>32.58</v>
      </c>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ca="1" si="20"/>
        <v>5760</v>
      </c>
      <c r="S56" s="321">
        <f t="shared" ca="1" si="21"/>
        <v>19</v>
      </c>
    </row>
    <row r="57" spans="1:19">
      <c r="A57" s="673" t="str">
        <f>Sheet1!E35</f>
        <v>M010</v>
      </c>
      <c r="B57" s="673">
        <f>Sheet1!F35</f>
        <v>32.58</v>
      </c>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ca="1" si="20"/>
        <v>5760</v>
      </c>
      <c r="S57" s="321">
        <f t="shared" ca="1" si="21"/>
        <v>19</v>
      </c>
    </row>
    <row r="58" spans="1:19">
      <c r="A58" s="673" t="str">
        <f>Sheet1!E36</f>
        <v>M011</v>
      </c>
      <c r="B58" s="673">
        <f>Sheet1!F36</f>
        <v>32.58</v>
      </c>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ca="1" si="20"/>
        <v>5760</v>
      </c>
      <c r="S58" s="321">
        <f t="shared" ca="1" si="21"/>
        <v>19</v>
      </c>
    </row>
    <row r="59" spans="1:19">
      <c r="A59" s="673" t="str">
        <f>Sheet1!E37</f>
        <v>M012</v>
      </c>
      <c r="B59" s="673">
        <f>Sheet1!F37</f>
        <v>32.58</v>
      </c>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ca="1" si="20"/>
        <v>5760</v>
      </c>
      <c r="S59" s="321">
        <f t="shared" ca="1" si="21"/>
        <v>19</v>
      </c>
    </row>
    <row r="60" spans="1:19">
      <c r="A60" s="673" t="str">
        <f>Sheet1!E38</f>
        <v>M013</v>
      </c>
      <c r="B60" s="673">
        <f>Sheet1!F38</f>
        <v>32.58</v>
      </c>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ca="1" si="20"/>
        <v>5760</v>
      </c>
      <c r="S60" s="321">
        <f t="shared" ca="1" si="21"/>
        <v>19</v>
      </c>
    </row>
    <row r="61" spans="1:19">
      <c r="A61" s="673" t="str">
        <f>Sheet1!E39</f>
        <v>M014</v>
      </c>
      <c r="B61" s="673">
        <f>Sheet1!F39</f>
        <v>32.58</v>
      </c>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ca="1" si="20"/>
        <v>5760</v>
      </c>
      <c r="S61" s="321">
        <f t="shared" ca="1" si="21"/>
        <v>19</v>
      </c>
    </row>
    <row r="62" spans="1:19">
      <c r="A62" s="673" t="str">
        <f>Sheet1!E40</f>
        <v>M015</v>
      </c>
      <c r="B62" s="673">
        <f>Sheet1!F40</f>
        <v>32.58</v>
      </c>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ca="1" si="20"/>
        <v>5760</v>
      </c>
      <c r="S62" s="321">
        <f t="shared" ca="1" si="21"/>
        <v>19</v>
      </c>
    </row>
    <row r="63" spans="1:19">
      <c r="A63" s="673" t="str">
        <f>Sheet1!E41</f>
        <v>M016</v>
      </c>
      <c r="B63" s="673">
        <f>Sheet1!F41</f>
        <v>32.58</v>
      </c>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ca="1" si="20"/>
        <v>5760</v>
      </c>
      <c r="S63" s="321">
        <f t="shared" ca="1" si="21"/>
        <v>19</v>
      </c>
    </row>
    <row r="64" spans="1:19">
      <c r="A64" s="673" t="str">
        <f>Sheet1!E42</f>
        <v>M034</v>
      </c>
      <c r="B64" s="673">
        <f>Sheet1!F42</f>
        <v>32.58</v>
      </c>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ca="1" si="20"/>
        <v>5760</v>
      </c>
      <c r="S64" s="321">
        <f t="shared" ca="1" si="21"/>
        <v>19</v>
      </c>
    </row>
    <row r="65" spans="1:19">
      <c r="A65" s="673" t="str">
        <f>Sheet1!E43</f>
        <v>M035</v>
      </c>
      <c r="B65" s="673">
        <f>Sheet1!F43</f>
        <v>32.58</v>
      </c>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ca="1" si="20"/>
        <v>5760</v>
      </c>
      <c r="S65" s="321">
        <f t="shared" ca="1" si="21"/>
        <v>19</v>
      </c>
    </row>
    <row r="66" spans="1:19">
      <c r="A66" s="673" t="str">
        <f>Sheet1!E44</f>
        <v>M036</v>
      </c>
      <c r="B66" s="673">
        <f>Sheet1!F44</f>
        <v>32.58</v>
      </c>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ca="1" si="20"/>
        <v>5760</v>
      </c>
      <c r="S66" s="321">
        <f t="shared" ca="1" si="21"/>
        <v>19</v>
      </c>
    </row>
    <row r="67" spans="1:19">
      <c r="A67" s="673" t="str">
        <f>Sheet1!E45</f>
        <v>M037</v>
      </c>
      <c r="B67" s="673">
        <f>Sheet1!F45</f>
        <v>32.58</v>
      </c>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ca="1" si="20"/>
        <v>5760</v>
      </c>
      <c r="S67" s="321">
        <f t="shared" ca="1" si="21"/>
        <v>19</v>
      </c>
    </row>
    <row r="68" spans="1:19">
      <c r="A68" s="673" t="str">
        <f>Sheet1!E46</f>
        <v>M038</v>
      </c>
      <c r="B68" s="673">
        <f>Sheet1!F46</f>
        <v>32.58</v>
      </c>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ca="1" si="20"/>
        <v>5760</v>
      </c>
      <c r="S68" s="321">
        <f t="shared" ca="1" si="21"/>
        <v>19</v>
      </c>
    </row>
    <row r="69" spans="1:19">
      <c r="A69" s="673" t="str">
        <f>Sheet1!E47</f>
        <v>M040</v>
      </c>
      <c r="B69" s="673">
        <f>Sheet1!F47</f>
        <v>32.58</v>
      </c>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ca="1" si="20"/>
        <v>5760</v>
      </c>
      <c r="S69" s="321">
        <f t="shared" ca="1" si="21"/>
        <v>19</v>
      </c>
    </row>
    <row r="70" spans="1:19">
      <c r="A70" s="673" t="str">
        <f>Sheet1!E48</f>
        <v>M041</v>
      </c>
      <c r="B70" s="673">
        <f>Sheet1!F48</f>
        <v>32.58</v>
      </c>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ca="1" si="20"/>
        <v>5760</v>
      </c>
      <c r="S70" s="321">
        <f t="shared" ca="1" si="21"/>
        <v>19</v>
      </c>
    </row>
    <row r="71" spans="1:19">
      <c r="A71" s="673" t="str">
        <f>Sheet1!E49</f>
        <v>M043</v>
      </c>
      <c r="B71" s="673">
        <f>Sheet1!F49</f>
        <v>32.58</v>
      </c>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ca="1" si="20"/>
        <v>5760</v>
      </c>
      <c r="S71" s="321">
        <f t="shared" ca="1" si="21"/>
        <v>19</v>
      </c>
    </row>
    <row r="72" spans="1:19">
      <c r="A72" s="673" t="str">
        <f>Sheet1!E50</f>
        <v>M044</v>
      </c>
      <c r="B72" s="673">
        <f>Sheet1!F50</f>
        <v>32.58</v>
      </c>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ca="1" si="20"/>
        <v>5760</v>
      </c>
      <c r="S72" s="321">
        <f t="shared" ca="1" si="21"/>
        <v>19</v>
      </c>
    </row>
    <row r="73" spans="1:19">
      <c r="A73" s="673" t="str">
        <f>Sheet1!E51</f>
        <v>M050</v>
      </c>
      <c r="B73" s="673">
        <f>Sheet1!F51</f>
        <v>32.58</v>
      </c>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ca="1" si="20"/>
        <v>5760</v>
      </c>
      <c r="S73" s="321">
        <f t="shared" ca="1" si="21"/>
        <v>19</v>
      </c>
    </row>
    <row r="74" spans="1:19">
      <c r="A74" s="673" t="str">
        <f>Sheet1!E52</f>
        <v>M054</v>
      </c>
      <c r="B74" s="673">
        <f>Sheet1!F52</f>
        <v>32.58</v>
      </c>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ca="1" si="20"/>
        <v>5760</v>
      </c>
      <c r="S74" s="321">
        <f t="shared" ca="1" si="21"/>
        <v>19</v>
      </c>
    </row>
    <row r="75" spans="1:19">
      <c r="A75" s="673" t="str">
        <f>Sheet1!E53</f>
        <v>M058</v>
      </c>
      <c r="B75" s="673">
        <f>Sheet1!F53</f>
        <v>32.58</v>
      </c>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ca="1" si="20"/>
        <v>5760</v>
      </c>
      <c r="S75" s="321">
        <f t="shared" ca="1" si="21"/>
        <v>19</v>
      </c>
    </row>
    <row r="76" spans="1:19">
      <c r="A76" s="673" t="str">
        <f>Sheet1!E54</f>
        <v>M059</v>
      </c>
      <c r="B76" s="673">
        <f>Sheet1!F54</f>
        <v>32.58</v>
      </c>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ca="1" si="20"/>
        <v>5760</v>
      </c>
      <c r="S76" s="321">
        <f t="shared" ca="1" si="21"/>
        <v>19</v>
      </c>
    </row>
    <row r="77" spans="1:19">
      <c r="A77" s="673" t="str">
        <f>Sheet1!E55</f>
        <v>M071</v>
      </c>
      <c r="B77" s="673">
        <f>Sheet1!F55</f>
        <v>32.58</v>
      </c>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ca="1" si="20"/>
        <v>5760</v>
      </c>
      <c r="S77" s="321">
        <f t="shared" ca="1" si="21"/>
        <v>19</v>
      </c>
    </row>
    <row r="78" spans="1:19">
      <c r="A78" s="673" t="str">
        <f>Sheet1!E56</f>
        <v>M072</v>
      </c>
      <c r="B78" s="673">
        <f>Sheet1!F56</f>
        <v>32.58</v>
      </c>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ca="1" si="20"/>
        <v>5760</v>
      </c>
      <c r="S78" s="321">
        <f t="shared" ref="S78:S122" ca="1" si="22">ROUND(R78*B78/10000,0)</f>
        <v>19</v>
      </c>
    </row>
    <row r="79" spans="1:19">
      <c r="A79" s="673" t="str">
        <f>Sheet1!E57</f>
        <v>M073</v>
      </c>
      <c r="B79" s="673">
        <f>Sheet1!F57</f>
        <v>32.58</v>
      </c>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ca="1" si="20"/>
        <v>5760</v>
      </c>
      <c r="S79" s="321">
        <f t="shared" ca="1" si="22"/>
        <v>19</v>
      </c>
    </row>
    <row r="80" spans="1:19">
      <c r="A80" s="673" t="str">
        <f>Sheet1!E58</f>
        <v>M074</v>
      </c>
      <c r="B80" s="673">
        <f>Sheet1!F58</f>
        <v>32.58</v>
      </c>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ca="1" si="20"/>
        <v>5760</v>
      </c>
      <c r="S80" s="321">
        <f t="shared" ca="1" si="22"/>
        <v>19</v>
      </c>
    </row>
    <row r="81" spans="1:19">
      <c r="A81" s="673" t="str">
        <f>Sheet1!E59</f>
        <v>M075</v>
      </c>
      <c r="B81" s="673">
        <f>Sheet1!F59</f>
        <v>32.58</v>
      </c>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ca="1" si="20"/>
        <v>5760</v>
      </c>
      <c r="S81" s="321">
        <f t="shared" ca="1" si="22"/>
        <v>19</v>
      </c>
    </row>
    <row r="82" spans="1:19">
      <c r="A82" s="673" t="str">
        <f>Sheet1!E60</f>
        <v>M076</v>
      </c>
      <c r="B82" s="673">
        <f>Sheet1!F60</f>
        <v>32.58</v>
      </c>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ca="1" si="20"/>
        <v>5760</v>
      </c>
      <c r="S82" s="321">
        <f t="shared" ca="1" si="22"/>
        <v>19</v>
      </c>
    </row>
    <row r="83" spans="1:19">
      <c r="A83" s="673" t="str">
        <f>Sheet1!E61</f>
        <v>M077</v>
      </c>
      <c r="B83" s="673">
        <f>Sheet1!F61</f>
        <v>32.58</v>
      </c>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ca="1" si="20"/>
        <v>5760</v>
      </c>
      <c r="S83" s="321">
        <f t="shared" ca="1" si="22"/>
        <v>19</v>
      </c>
    </row>
    <row r="84" spans="1:19">
      <c r="A84" s="673" t="str">
        <f>Sheet1!E62</f>
        <v>M078</v>
      </c>
      <c r="B84" s="673">
        <f>Sheet1!F62</f>
        <v>32.58</v>
      </c>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ca="1" si="20"/>
        <v>5760</v>
      </c>
      <c r="S84" s="321">
        <f t="shared" ca="1" si="22"/>
        <v>19</v>
      </c>
    </row>
    <row r="85" spans="1:19">
      <c r="A85" s="673" t="str">
        <f>Sheet1!E63</f>
        <v>M079</v>
      </c>
      <c r="B85" s="673">
        <f>Sheet1!F63</f>
        <v>32.58</v>
      </c>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ca="1" si="20"/>
        <v>5760</v>
      </c>
      <c r="S85" s="321">
        <f t="shared" ca="1" si="22"/>
        <v>19</v>
      </c>
    </row>
    <row r="86" spans="1:19">
      <c r="A86" s="673" t="str">
        <f>Sheet1!E64</f>
        <v>M081</v>
      </c>
      <c r="B86" s="673">
        <f>Sheet1!F64</f>
        <v>32.58</v>
      </c>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ca="1" si="20"/>
        <v>5760</v>
      </c>
      <c r="S86" s="321">
        <f t="shared" ca="1" si="22"/>
        <v>19</v>
      </c>
    </row>
    <row r="87" spans="1:19">
      <c r="A87" s="673" t="str">
        <f>Sheet1!E65</f>
        <v>M082</v>
      </c>
      <c r="B87" s="673">
        <f>Sheet1!F65</f>
        <v>32.58</v>
      </c>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ca="1" si="20"/>
        <v>5760</v>
      </c>
      <c r="S87" s="321">
        <f t="shared" ca="1" si="22"/>
        <v>19</v>
      </c>
    </row>
    <row r="88" spans="1:19">
      <c r="A88" s="673" t="str">
        <f>Sheet1!E66</f>
        <v>M084</v>
      </c>
      <c r="B88" s="673">
        <f>Sheet1!F66</f>
        <v>32.58</v>
      </c>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ca="1" si="20"/>
        <v>5760</v>
      </c>
      <c r="S88" s="321">
        <f t="shared" ca="1" si="22"/>
        <v>19</v>
      </c>
    </row>
    <row r="89" spans="1:19">
      <c r="A89" s="673" t="str">
        <f>Sheet1!E67</f>
        <v>M085</v>
      </c>
      <c r="B89" s="673">
        <f>Sheet1!F67</f>
        <v>32.58</v>
      </c>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ca="1" si="20"/>
        <v>5760</v>
      </c>
      <c r="S89" s="321">
        <f t="shared" ca="1" si="22"/>
        <v>19</v>
      </c>
    </row>
    <row r="90" spans="1:19">
      <c r="A90" s="673" t="str">
        <f>Sheet1!E68</f>
        <v>M091</v>
      </c>
      <c r="B90" s="673">
        <f>Sheet1!F68</f>
        <v>32.58</v>
      </c>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ca="1" si="31">IF(B90="",0,ROUND($R$24*C90*E90*G90*I90*K90*M90*O90*Q90,0))</f>
        <v>5760</v>
      </c>
      <c r="S90" s="321">
        <f t="shared" ca="1" si="22"/>
        <v>19</v>
      </c>
    </row>
    <row r="91" spans="1:19">
      <c r="A91" s="673" t="str">
        <f>Sheet1!E69</f>
        <v>M094</v>
      </c>
      <c r="B91" s="673">
        <f>Sheet1!F69</f>
        <v>32.58</v>
      </c>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ca="1" si="31"/>
        <v>5760</v>
      </c>
      <c r="S91" s="321">
        <f t="shared" ca="1" si="22"/>
        <v>19</v>
      </c>
    </row>
    <row r="92" spans="1:19">
      <c r="A92" s="673" t="str">
        <f>Sheet1!E70</f>
        <v>M095</v>
      </c>
      <c r="B92" s="673">
        <f>Sheet1!F70</f>
        <v>32.58</v>
      </c>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ca="1" si="31"/>
        <v>5760</v>
      </c>
      <c r="S92" s="321">
        <f t="shared" ca="1" si="22"/>
        <v>19</v>
      </c>
    </row>
    <row r="93" spans="1:19">
      <c r="A93" s="673" t="str">
        <f>Sheet1!E71</f>
        <v>M097</v>
      </c>
      <c r="B93" s="673">
        <f>Sheet1!F71</f>
        <v>32.58</v>
      </c>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ca="1" si="31"/>
        <v>5760</v>
      </c>
      <c r="S93" s="321">
        <f t="shared" ca="1" si="22"/>
        <v>19</v>
      </c>
    </row>
    <row r="94" spans="1:19">
      <c r="A94" s="673" t="str">
        <f>Sheet1!E72</f>
        <v>M099</v>
      </c>
      <c r="B94" s="673">
        <f>Sheet1!F72</f>
        <v>32.58</v>
      </c>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ca="1" si="31"/>
        <v>5760</v>
      </c>
      <c r="S94" s="321">
        <f t="shared" ca="1" si="22"/>
        <v>19</v>
      </c>
    </row>
    <row r="95" spans="1:19">
      <c r="A95" s="673" t="str">
        <f>Sheet1!E73</f>
        <v>M100</v>
      </c>
      <c r="B95" s="673">
        <f>Sheet1!F73</f>
        <v>32.58</v>
      </c>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ca="1" si="31"/>
        <v>5760</v>
      </c>
      <c r="S95" s="321">
        <f t="shared" ca="1" si="22"/>
        <v>19</v>
      </c>
    </row>
    <row r="96" spans="1:19">
      <c r="A96" s="673" t="str">
        <f>Sheet1!E74</f>
        <v>M103</v>
      </c>
      <c r="B96" s="673">
        <f>Sheet1!F74</f>
        <v>32.58</v>
      </c>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ca="1" si="31"/>
        <v>5760</v>
      </c>
      <c r="S96" s="321">
        <f t="shared" ca="1" si="22"/>
        <v>19</v>
      </c>
    </row>
    <row r="97" spans="1:19">
      <c r="A97" s="673" t="str">
        <f>Sheet1!E75</f>
        <v>M109</v>
      </c>
      <c r="B97" s="673">
        <f>Sheet1!F75</f>
        <v>32.58</v>
      </c>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ca="1" si="31"/>
        <v>5760</v>
      </c>
      <c r="S97" s="321">
        <f t="shared" ca="1" si="22"/>
        <v>19</v>
      </c>
    </row>
    <row r="98" spans="1:19">
      <c r="A98" s="673" t="str">
        <f>Sheet1!E76</f>
        <v>M111</v>
      </c>
      <c r="B98" s="673">
        <f>Sheet1!F76</f>
        <v>33.93</v>
      </c>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ca="1" si="31"/>
        <v>5760</v>
      </c>
      <c r="S98" s="321">
        <f t="shared" ca="1" si="22"/>
        <v>20</v>
      </c>
    </row>
    <row r="99" spans="1:19">
      <c r="A99" s="673" t="str">
        <f>Sheet1!E77</f>
        <v>M112</v>
      </c>
      <c r="B99" s="673">
        <f>Sheet1!F77</f>
        <v>33.93</v>
      </c>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ca="1" si="31"/>
        <v>5760</v>
      </c>
      <c r="S99" s="321">
        <f t="shared" ca="1" si="22"/>
        <v>20</v>
      </c>
    </row>
    <row r="100" spans="1:19">
      <c r="A100" s="673" t="str">
        <f>Sheet1!E78</f>
        <v>M113</v>
      </c>
      <c r="B100" s="673">
        <f>Sheet1!F78</f>
        <v>33.93</v>
      </c>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ca="1" si="31"/>
        <v>5760</v>
      </c>
      <c r="S100" s="321">
        <f t="shared" ca="1" si="22"/>
        <v>20</v>
      </c>
    </row>
    <row r="101" spans="1:19">
      <c r="A101" s="673" t="str">
        <f>Sheet1!E79</f>
        <v>M114</v>
      </c>
      <c r="B101" s="673">
        <f>Sheet1!F79</f>
        <v>33.93</v>
      </c>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ca="1" si="31"/>
        <v>5760</v>
      </c>
      <c r="S101" s="321">
        <f t="shared" ca="1" si="22"/>
        <v>20</v>
      </c>
    </row>
    <row r="102" spans="1:19">
      <c r="A102" s="673" t="str">
        <f>Sheet1!E80</f>
        <v>M115</v>
      </c>
      <c r="B102" s="673">
        <f>Sheet1!F80</f>
        <v>33.93</v>
      </c>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ca="1" si="31"/>
        <v>5760</v>
      </c>
      <c r="S102" s="321">
        <f t="shared" ca="1" si="22"/>
        <v>20</v>
      </c>
    </row>
    <row r="103" spans="1:19">
      <c r="A103" s="673" t="str">
        <f>Sheet1!E81</f>
        <v>M116</v>
      </c>
      <c r="B103" s="673">
        <f>Sheet1!F81</f>
        <v>33.93</v>
      </c>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ca="1" si="31"/>
        <v>5760</v>
      </c>
      <c r="S103" s="321">
        <f t="shared" ca="1" si="22"/>
        <v>20</v>
      </c>
    </row>
    <row r="104" spans="1:19">
      <c r="A104" s="673" t="str">
        <f>Sheet1!E82</f>
        <v>M124</v>
      </c>
      <c r="B104" s="673">
        <f>Sheet1!F82</f>
        <v>33.93</v>
      </c>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ca="1" si="31"/>
        <v>5760</v>
      </c>
      <c r="S104" s="321">
        <f t="shared" ca="1" si="22"/>
        <v>20</v>
      </c>
    </row>
    <row r="105" spans="1:19">
      <c r="A105" s="673" t="str">
        <f>Sheet1!E83</f>
        <v>M125</v>
      </c>
      <c r="B105" s="673">
        <f>Sheet1!F83</f>
        <v>33.93</v>
      </c>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ca="1" si="31"/>
        <v>5760</v>
      </c>
      <c r="S105" s="321">
        <f t="shared" ca="1" si="22"/>
        <v>20</v>
      </c>
    </row>
    <row r="106" spans="1:19">
      <c r="A106" s="673" t="str">
        <f>Sheet1!E84</f>
        <v>M126</v>
      </c>
      <c r="B106" s="673">
        <f>Sheet1!F84</f>
        <v>33.93</v>
      </c>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ca="1" si="31"/>
        <v>5760</v>
      </c>
      <c r="S106" s="321">
        <f t="shared" ca="1" si="22"/>
        <v>20</v>
      </c>
    </row>
    <row r="107" spans="1:19">
      <c r="A107" s="673" t="str">
        <f>Sheet1!E85</f>
        <v>M131</v>
      </c>
      <c r="B107" s="673">
        <f>Sheet1!F85</f>
        <v>33.93</v>
      </c>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ca="1" si="31"/>
        <v>5760</v>
      </c>
      <c r="S107" s="321">
        <f t="shared" ca="1" si="22"/>
        <v>20</v>
      </c>
    </row>
    <row r="108" spans="1:19">
      <c r="A108" s="673" t="str">
        <f>Sheet1!E86</f>
        <v>M132</v>
      </c>
      <c r="B108" s="673">
        <f>Sheet1!F86</f>
        <v>33.93</v>
      </c>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ca="1" si="31"/>
        <v>5760</v>
      </c>
      <c r="S108" s="321">
        <f t="shared" ca="1" si="22"/>
        <v>20</v>
      </c>
    </row>
    <row r="109" spans="1:19">
      <c r="A109" s="673" t="str">
        <f>Sheet1!E87</f>
        <v>M133</v>
      </c>
      <c r="B109" s="673">
        <f>Sheet1!F87</f>
        <v>33.93</v>
      </c>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ca="1" si="31"/>
        <v>5760</v>
      </c>
      <c r="S109" s="321">
        <f t="shared" ca="1" si="22"/>
        <v>20</v>
      </c>
    </row>
    <row r="110" spans="1:19">
      <c r="A110" s="673" t="str">
        <f>Sheet1!E88</f>
        <v>N001</v>
      </c>
      <c r="B110" s="673">
        <f>Sheet1!F88</f>
        <v>33.36</v>
      </c>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ca="1" si="31"/>
        <v>5760</v>
      </c>
      <c r="S110" s="321">
        <f t="shared" ca="1" si="22"/>
        <v>19</v>
      </c>
    </row>
    <row r="111" spans="1:19">
      <c r="A111" s="673" t="str">
        <f>Sheet1!E89</f>
        <v>N003</v>
      </c>
      <c r="B111" s="673">
        <f>Sheet1!F89</f>
        <v>33.36</v>
      </c>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ca="1" si="31"/>
        <v>5760</v>
      </c>
      <c r="S111" s="321">
        <f t="shared" ca="1" si="22"/>
        <v>19</v>
      </c>
    </row>
    <row r="112" spans="1:19">
      <c r="A112" s="673" t="str">
        <f>Sheet1!E90</f>
        <v>N020</v>
      </c>
      <c r="B112" s="673">
        <f>Sheet1!F90</f>
        <v>32.020000000000003</v>
      </c>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ca="1" si="31"/>
        <v>5760</v>
      </c>
      <c r="S112" s="321">
        <f t="shared" ca="1" si="22"/>
        <v>18</v>
      </c>
    </row>
    <row r="113" spans="1:19">
      <c r="A113" s="673" t="str">
        <f>Sheet1!E91</f>
        <v>N023</v>
      </c>
      <c r="B113" s="673">
        <f>Sheet1!F91</f>
        <v>32.020000000000003</v>
      </c>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ca="1" si="31"/>
        <v>5760</v>
      </c>
      <c r="S113" s="321">
        <f t="shared" ca="1" si="22"/>
        <v>18</v>
      </c>
    </row>
    <row r="114" spans="1:19">
      <c r="A114" s="673" t="str">
        <f>Sheet1!E92</f>
        <v>N068</v>
      </c>
      <c r="B114" s="673">
        <f>Sheet1!F92</f>
        <v>32.020000000000003</v>
      </c>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ca="1" si="31"/>
        <v>5760</v>
      </c>
      <c r="S114" s="321">
        <f t="shared" ca="1" si="22"/>
        <v>18</v>
      </c>
    </row>
    <row r="115" spans="1:19">
      <c r="A115" s="673" t="str">
        <f>Sheet1!E93</f>
        <v>N074</v>
      </c>
      <c r="B115" s="673">
        <f>Sheet1!F93</f>
        <v>32.020000000000003</v>
      </c>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ca="1" si="31"/>
        <v>5760</v>
      </c>
      <c r="S115" s="321">
        <f t="shared" ca="1" si="22"/>
        <v>18</v>
      </c>
    </row>
    <row r="116" spans="1:19">
      <c r="A116" s="673" t="str">
        <f>Sheet1!E94</f>
        <v>N077</v>
      </c>
      <c r="B116" s="673">
        <f>Sheet1!F94</f>
        <v>32.020000000000003</v>
      </c>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ca="1" si="31"/>
        <v>5760</v>
      </c>
      <c r="S116" s="321">
        <f t="shared" ca="1" si="22"/>
        <v>18</v>
      </c>
    </row>
    <row r="117" spans="1:19">
      <c r="A117" s="673" t="str">
        <f>Sheet1!E95</f>
        <v>N078</v>
      </c>
      <c r="B117" s="673">
        <f>Sheet1!F95</f>
        <v>32.020000000000003</v>
      </c>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ca="1" si="31"/>
        <v>5760</v>
      </c>
      <c r="S117" s="321">
        <f t="shared" ca="1" si="22"/>
        <v>18</v>
      </c>
    </row>
    <row r="118" spans="1:19">
      <c r="A118" s="673" t="str">
        <f>Sheet1!E96</f>
        <v>N081</v>
      </c>
      <c r="B118" s="673">
        <f>Sheet1!F96</f>
        <v>32.020000000000003</v>
      </c>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ca="1" si="31"/>
        <v>5760</v>
      </c>
      <c r="S118" s="321">
        <f t="shared" ca="1" si="22"/>
        <v>18</v>
      </c>
    </row>
    <row r="119" spans="1:19">
      <c r="A119" s="673" t="str">
        <f>Sheet1!E97</f>
        <v>N091</v>
      </c>
      <c r="B119" s="673">
        <f>Sheet1!F97</f>
        <v>32.020000000000003</v>
      </c>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ca="1" si="31"/>
        <v>5760</v>
      </c>
      <c r="S119" s="321">
        <f t="shared" ca="1" si="22"/>
        <v>18</v>
      </c>
    </row>
    <row r="120" spans="1:19">
      <c r="A120" s="673" t="str">
        <f>Sheet1!E98</f>
        <v>N092</v>
      </c>
      <c r="B120" s="673">
        <f>Sheet1!F98</f>
        <v>32.020000000000003</v>
      </c>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ca="1" si="31"/>
        <v>5760</v>
      </c>
      <c r="S120" s="321">
        <f t="shared" ca="1" si="22"/>
        <v>18</v>
      </c>
    </row>
    <row r="121" spans="1:19">
      <c r="A121" s="673" t="str">
        <f>Sheet1!E99</f>
        <v>P002</v>
      </c>
      <c r="B121" s="673">
        <f>Sheet1!F99</f>
        <v>33.36</v>
      </c>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ca="1" si="31"/>
        <v>5760</v>
      </c>
      <c r="S121" s="321">
        <f t="shared" ca="1" si="22"/>
        <v>19</v>
      </c>
    </row>
    <row r="122" spans="1:19">
      <c r="A122" s="673" t="str">
        <f>Sheet1!E100</f>
        <v>P003</v>
      </c>
      <c r="B122" s="673">
        <f>Sheet1!F100</f>
        <v>33.36</v>
      </c>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ca="1" si="31"/>
        <v>5760</v>
      </c>
      <c r="S122" s="321">
        <f t="shared" ca="1" si="22"/>
        <v>19</v>
      </c>
    </row>
    <row r="123" spans="1:19">
      <c r="A123" s="673" t="str">
        <f>Sheet1!E101</f>
        <v>P004</v>
      </c>
      <c r="B123" s="673">
        <f>Sheet1!F101</f>
        <v>33.36</v>
      </c>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ca="1" si="31"/>
        <v>5760</v>
      </c>
      <c r="S123" s="321">
        <f t="shared" ref="S123:S186" ca="1" si="32">ROUND(R123*B123/10000,0)</f>
        <v>19</v>
      </c>
    </row>
    <row r="124" spans="1:19">
      <c r="A124" s="673" t="str">
        <f>Sheet1!E102</f>
        <v>P031</v>
      </c>
      <c r="B124" s="673">
        <f>Sheet1!F102</f>
        <v>32.020000000000003</v>
      </c>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ca="1" si="31"/>
        <v>5760</v>
      </c>
      <c r="S124" s="321">
        <f t="shared" ca="1" si="32"/>
        <v>18</v>
      </c>
    </row>
    <row r="125" spans="1:19">
      <c r="A125" s="673" t="str">
        <f>Sheet1!E103</f>
        <v>P033</v>
      </c>
      <c r="B125" s="673">
        <f>Sheet1!F103</f>
        <v>32.020000000000003</v>
      </c>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ca="1" si="31"/>
        <v>5760</v>
      </c>
      <c r="S125" s="321">
        <f t="shared" ca="1" si="32"/>
        <v>18</v>
      </c>
    </row>
    <row r="126" spans="1:19">
      <c r="A126" s="673" t="str">
        <f>Sheet1!E104</f>
        <v>P034</v>
      </c>
      <c r="B126" s="673">
        <f>Sheet1!F104</f>
        <v>32.020000000000003</v>
      </c>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ca="1" si="31"/>
        <v>5760</v>
      </c>
      <c r="S126" s="321">
        <f t="shared" ca="1" si="32"/>
        <v>18</v>
      </c>
    </row>
    <row r="127" spans="1:19">
      <c r="A127" s="673" t="str">
        <f>Sheet1!E105</f>
        <v>P044</v>
      </c>
      <c r="B127" s="673">
        <f>Sheet1!F105</f>
        <v>32.020000000000003</v>
      </c>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ca="1" si="31"/>
        <v>5760</v>
      </c>
      <c r="S127" s="321">
        <f t="shared" ca="1" si="32"/>
        <v>18</v>
      </c>
    </row>
    <row r="128" spans="1:19">
      <c r="A128" s="673" t="str">
        <f>Sheet1!E106</f>
        <v>P045</v>
      </c>
      <c r="B128" s="673">
        <f>Sheet1!F106</f>
        <v>32.020000000000003</v>
      </c>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ca="1" si="31"/>
        <v>5760</v>
      </c>
      <c r="S128" s="321">
        <f t="shared" ca="1" si="32"/>
        <v>18</v>
      </c>
    </row>
    <row r="129" spans="1:19">
      <c r="A129" s="673" t="str">
        <f>Sheet1!E107</f>
        <v>P046</v>
      </c>
      <c r="B129" s="673">
        <f>Sheet1!F107</f>
        <v>32.020000000000003</v>
      </c>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ca="1" si="31"/>
        <v>5760</v>
      </c>
      <c r="S129" s="321">
        <f t="shared" ca="1" si="32"/>
        <v>18</v>
      </c>
    </row>
    <row r="130" spans="1:19">
      <c r="A130" s="673" t="str">
        <f>Sheet1!E108</f>
        <v>P051</v>
      </c>
      <c r="B130" s="673">
        <f>Sheet1!F108</f>
        <v>32.020000000000003</v>
      </c>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ca="1" si="31"/>
        <v>5760</v>
      </c>
      <c r="S130" s="321">
        <f t="shared" ca="1" si="32"/>
        <v>18</v>
      </c>
    </row>
    <row r="131" spans="1:19">
      <c r="A131" s="673" t="str">
        <f>Sheet1!E109</f>
        <v>P061</v>
      </c>
      <c r="B131" s="673">
        <f>Sheet1!F109</f>
        <v>32.020000000000003</v>
      </c>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ca="1" si="31"/>
        <v>5760</v>
      </c>
      <c r="S131" s="321">
        <f t="shared" ca="1" si="32"/>
        <v>18</v>
      </c>
    </row>
    <row r="132" spans="1:19">
      <c r="A132" s="673" t="str">
        <f>Sheet1!E110</f>
        <v>P062</v>
      </c>
      <c r="B132" s="673">
        <f>Sheet1!F110</f>
        <v>32.020000000000003</v>
      </c>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ca="1" si="31"/>
        <v>5760</v>
      </c>
      <c r="S132" s="321">
        <f t="shared" ca="1" si="32"/>
        <v>18</v>
      </c>
    </row>
    <row r="133" spans="1:19">
      <c r="A133" s="673" t="str">
        <f>Sheet1!E111</f>
        <v>P063</v>
      </c>
      <c r="B133" s="673">
        <f>Sheet1!F111</f>
        <v>32.020000000000003</v>
      </c>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ca="1" si="31"/>
        <v>5760</v>
      </c>
      <c r="S133" s="321">
        <f t="shared" ca="1" si="32"/>
        <v>18</v>
      </c>
    </row>
    <row r="134" spans="1:19">
      <c r="A134" s="673" t="str">
        <f>Sheet1!E112</f>
        <v>P066</v>
      </c>
      <c r="B134" s="673">
        <f>Sheet1!F112</f>
        <v>32.020000000000003</v>
      </c>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ca="1" si="31"/>
        <v>5760</v>
      </c>
      <c r="S134" s="321">
        <f t="shared" ca="1" si="32"/>
        <v>18</v>
      </c>
    </row>
    <row r="135" spans="1:19">
      <c r="A135" s="673" t="str">
        <f>Sheet1!E113</f>
        <v>P069</v>
      </c>
      <c r="B135" s="673">
        <f>Sheet1!F113</f>
        <v>32.020000000000003</v>
      </c>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ca="1" si="31"/>
        <v>5760</v>
      </c>
      <c r="S135" s="321">
        <f t="shared" ca="1" si="32"/>
        <v>18</v>
      </c>
    </row>
    <row r="136" spans="1:19">
      <c r="A136" s="673" t="str">
        <f>Sheet1!E114</f>
        <v>P074</v>
      </c>
      <c r="B136" s="673">
        <f>Sheet1!F114</f>
        <v>32.020000000000003</v>
      </c>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ca="1" si="31"/>
        <v>5760</v>
      </c>
      <c r="S136" s="321">
        <f t="shared" ca="1" si="32"/>
        <v>18</v>
      </c>
    </row>
    <row r="137" spans="1:19">
      <c r="A137" s="673" t="str">
        <f>Sheet1!E115</f>
        <v>P075</v>
      </c>
      <c r="B137" s="673">
        <f>Sheet1!F115</f>
        <v>32.020000000000003</v>
      </c>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ca="1" si="31"/>
        <v>5760</v>
      </c>
      <c r="S137" s="321">
        <f t="shared" ca="1" si="32"/>
        <v>18</v>
      </c>
    </row>
    <row r="138" spans="1:19">
      <c r="A138" s="673" t="str">
        <f>Sheet1!E116</f>
        <v>P076</v>
      </c>
      <c r="B138" s="673">
        <f>Sheet1!F116</f>
        <v>32.020000000000003</v>
      </c>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ca="1" si="31"/>
        <v>5760</v>
      </c>
      <c r="S138" s="321">
        <f t="shared" ca="1" si="32"/>
        <v>18</v>
      </c>
    </row>
    <row r="139" spans="1:19">
      <c r="A139" s="673" t="str">
        <f>Sheet1!E117</f>
        <v>P077</v>
      </c>
      <c r="B139" s="673">
        <f>Sheet1!F117</f>
        <v>32.020000000000003</v>
      </c>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ca="1" si="31"/>
        <v>5760</v>
      </c>
      <c r="S139" s="321">
        <f t="shared" ca="1" si="32"/>
        <v>18</v>
      </c>
    </row>
    <row r="140" spans="1:19">
      <c r="A140" s="673" t="str">
        <f>Sheet1!E118</f>
        <v>P078</v>
      </c>
      <c r="B140" s="673">
        <f>Sheet1!F118</f>
        <v>32.020000000000003</v>
      </c>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ca="1" si="31"/>
        <v>5760</v>
      </c>
      <c r="S140" s="321">
        <f t="shared" ca="1" si="32"/>
        <v>18</v>
      </c>
    </row>
    <row r="141" spans="1:19">
      <c r="A141" s="673" t="str">
        <f>Sheet1!E119</f>
        <v>P079</v>
      </c>
      <c r="B141" s="673">
        <f>Sheet1!F119</f>
        <v>32.020000000000003</v>
      </c>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ca="1" si="31"/>
        <v>5760</v>
      </c>
      <c r="S141" s="321">
        <f t="shared" ca="1" si="32"/>
        <v>18</v>
      </c>
    </row>
    <row r="142" spans="1:19">
      <c r="A142" s="673" t="str">
        <f>Sheet1!E120</f>
        <v>P080</v>
      </c>
      <c r="B142" s="673">
        <f>Sheet1!F120</f>
        <v>32.020000000000003</v>
      </c>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ca="1" si="31"/>
        <v>5760</v>
      </c>
      <c r="S142" s="321">
        <f t="shared" ca="1" si="32"/>
        <v>18</v>
      </c>
    </row>
    <row r="143" spans="1:19">
      <c r="A143" s="673" t="str">
        <f>Sheet1!E121</f>
        <v>P081</v>
      </c>
      <c r="B143" s="673">
        <f>Sheet1!F121</f>
        <v>32.020000000000003</v>
      </c>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ca="1" si="31"/>
        <v>5760</v>
      </c>
      <c r="S143" s="321">
        <f t="shared" ca="1" si="32"/>
        <v>18</v>
      </c>
    </row>
    <row r="144" spans="1:19">
      <c r="A144" s="673" t="str">
        <f>Sheet1!E122</f>
        <v>P082</v>
      </c>
      <c r="B144" s="673">
        <f>Sheet1!F122</f>
        <v>32.020000000000003</v>
      </c>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ca="1" si="31"/>
        <v>5760</v>
      </c>
      <c r="S144" s="321">
        <f t="shared" ca="1" si="32"/>
        <v>18</v>
      </c>
    </row>
    <row r="145" spans="1:19">
      <c r="A145" s="673" t="str">
        <f>Sheet1!E123</f>
        <v>P083</v>
      </c>
      <c r="B145" s="673">
        <f>Sheet1!F123</f>
        <v>32.020000000000003</v>
      </c>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ca="1" si="31"/>
        <v>5760</v>
      </c>
      <c r="S145" s="321">
        <f t="shared" ca="1" si="32"/>
        <v>18</v>
      </c>
    </row>
    <row r="146" spans="1:19">
      <c r="A146" s="673" t="str">
        <f>Sheet1!E124</f>
        <v>P084</v>
      </c>
      <c r="B146" s="673">
        <f>Sheet1!F124</f>
        <v>32.020000000000003</v>
      </c>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ca="1" si="31"/>
        <v>5760</v>
      </c>
      <c r="S146" s="321">
        <f t="shared" ca="1" si="32"/>
        <v>18</v>
      </c>
    </row>
    <row r="147" spans="1:19">
      <c r="A147" s="673" t="str">
        <f>Sheet1!E125</f>
        <v>P086</v>
      </c>
      <c r="B147" s="673">
        <f>Sheet1!F125</f>
        <v>32.020000000000003</v>
      </c>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ca="1" si="31"/>
        <v>5760</v>
      </c>
      <c r="S147" s="321">
        <f t="shared" ca="1" si="32"/>
        <v>18</v>
      </c>
    </row>
    <row r="148" spans="1:19">
      <c r="A148" s="673" t="str">
        <f>Sheet1!E126</f>
        <v>P087</v>
      </c>
      <c r="B148" s="673">
        <f>Sheet1!F126</f>
        <v>32.020000000000003</v>
      </c>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ca="1" si="31"/>
        <v>5760</v>
      </c>
      <c r="S148" s="321">
        <f t="shared" ca="1" si="32"/>
        <v>18</v>
      </c>
    </row>
    <row r="149" spans="1:19">
      <c r="A149" s="673" t="str">
        <f>Sheet1!E127</f>
        <v>P089</v>
      </c>
      <c r="B149" s="673">
        <f>Sheet1!F127</f>
        <v>32.020000000000003</v>
      </c>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ca="1" si="31"/>
        <v>5760</v>
      </c>
      <c r="S149" s="321">
        <f t="shared" ca="1" si="32"/>
        <v>18</v>
      </c>
    </row>
    <row r="150" spans="1:19">
      <c r="A150" s="673" t="str">
        <f>Sheet1!E128</f>
        <v>P090</v>
      </c>
      <c r="B150" s="673">
        <f>Sheet1!F128</f>
        <v>32.020000000000003</v>
      </c>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ca="1" si="31"/>
        <v>5760</v>
      </c>
      <c r="S150" s="321">
        <f t="shared" ca="1" si="32"/>
        <v>18</v>
      </c>
    </row>
    <row r="151" spans="1:19">
      <c r="A151" s="673" t="str">
        <f>Sheet1!E129</f>
        <v>P091</v>
      </c>
      <c r="B151" s="673">
        <f>Sheet1!F129</f>
        <v>32.020000000000003</v>
      </c>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ca="1" si="31"/>
        <v>5760</v>
      </c>
      <c r="S151" s="321">
        <f t="shared" ca="1" si="32"/>
        <v>18</v>
      </c>
    </row>
    <row r="152" spans="1:19">
      <c r="A152" s="673" t="str">
        <f>Sheet1!E130</f>
        <v>P093</v>
      </c>
      <c r="B152" s="673">
        <f>Sheet1!F130</f>
        <v>32.020000000000003</v>
      </c>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ca="1" si="31"/>
        <v>5760</v>
      </c>
      <c r="S152" s="321">
        <f t="shared" ca="1" si="32"/>
        <v>18</v>
      </c>
    </row>
    <row r="153" spans="1:19">
      <c r="A153" s="673" t="str">
        <f>Sheet1!E131</f>
        <v>P094</v>
      </c>
      <c r="B153" s="673">
        <f>Sheet1!F131</f>
        <v>32.020000000000003</v>
      </c>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ca="1" si="31"/>
        <v>5760</v>
      </c>
      <c r="S153" s="321">
        <f t="shared" ca="1" si="32"/>
        <v>18</v>
      </c>
    </row>
    <row r="154" spans="1:19">
      <c r="A154" s="673" t="str">
        <f>Sheet1!E132</f>
        <v>P096</v>
      </c>
      <c r="B154" s="673">
        <f>Sheet1!F132</f>
        <v>32.020000000000003</v>
      </c>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ca="1" si="41">IF(B154="",0,ROUND($R$24*C154*E154*G154*I154*K154*M154*O154*Q154,0))</f>
        <v>5760</v>
      </c>
      <c r="S154" s="321">
        <f t="shared" ca="1" si="32"/>
        <v>18</v>
      </c>
    </row>
    <row r="155" spans="1:19">
      <c r="A155" s="673" t="str">
        <f>Sheet1!E133</f>
        <v>P099</v>
      </c>
      <c r="B155" s="673">
        <f>Sheet1!F133</f>
        <v>32.020000000000003</v>
      </c>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ca="1" si="41"/>
        <v>5760</v>
      </c>
      <c r="S155" s="321">
        <f t="shared" ca="1" si="32"/>
        <v>18</v>
      </c>
    </row>
    <row r="156" spans="1:19">
      <c r="A156" s="673" t="str">
        <f>Sheet1!E134</f>
        <v>P103</v>
      </c>
      <c r="B156" s="673">
        <f>Sheet1!F134</f>
        <v>32.020000000000003</v>
      </c>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ca="1" si="41"/>
        <v>5760</v>
      </c>
      <c r="S156" s="321">
        <f t="shared" ca="1" si="32"/>
        <v>18</v>
      </c>
    </row>
    <row r="157" spans="1:19">
      <c r="A157" s="673" t="str">
        <f>Sheet1!E135</f>
        <v>P104</v>
      </c>
      <c r="B157" s="673">
        <f>Sheet1!F135</f>
        <v>32.020000000000003</v>
      </c>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ca="1" si="41"/>
        <v>5760</v>
      </c>
      <c r="S157" s="321">
        <f t="shared" ca="1" si="32"/>
        <v>18</v>
      </c>
    </row>
    <row r="158" spans="1:19">
      <c r="A158" s="673" t="str">
        <f>Sheet1!E136</f>
        <v>P105</v>
      </c>
      <c r="B158" s="673">
        <f>Sheet1!F136</f>
        <v>32.020000000000003</v>
      </c>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ca="1" si="41"/>
        <v>5760</v>
      </c>
      <c r="S158" s="321">
        <f t="shared" ca="1" si="32"/>
        <v>18</v>
      </c>
    </row>
    <row r="159" spans="1:19">
      <c r="A159" s="673" t="str">
        <f>Sheet1!E137</f>
        <v>P108</v>
      </c>
      <c r="B159" s="673">
        <f>Sheet1!F137</f>
        <v>32.020000000000003</v>
      </c>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ca="1" si="41"/>
        <v>5760</v>
      </c>
      <c r="S159" s="321">
        <f t="shared" ca="1" si="32"/>
        <v>18</v>
      </c>
    </row>
    <row r="160" spans="1:19">
      <c r="A160" s="673" t="str">
        <f>Sheet1!E138</f>
        <v>P109</v>
      </c>
      <c r="B160" s="673">
        <f>Sheet1!F138</f>
        <v>32.020000000000003</v>
      </c>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ca="1" si="41"/>
        <v>5760</v>
      </c>
      <c r="S160" s="321">
        <f t="shared" ca="1" si="32"/>
        <v>18</v>
      </c>
    </row>
    <row r="161" spans="1:19">
      <c r="A161" s="673" t="str">
        <f>Sheet1!E139</f>
        <v>P110</v>
      </c>
      <c r="B161" s="673">
        <f>Sheet1!F139</f>
        <v>32.020000000000003</v>
      </c>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ca="1" si="41"/>
        <v>5760</v>
      </c>
      <c r="S161" s="321">
        <f t="shared" ca="1" si="32"/>
        <v>18</v>
      </c>
    </row>
    <row r="162" spans="1:19">
      <c r="A162" s="673" t="str">
        <f>Sheet1!E140</f>
        <v>P111</v>
      </c>
      <c r="B162" s="673">
        <f>Sheet1!F140</f>
        <v>32.020000000000003</v>
      </c>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ca="1" si="41"/>
        <v>5760</v>
      </c>
      <c r="S162" s="321">
        <f t="shared" ca="1" si="32"/>
        <v>18</v>
      </c>
    </row>
    <row r="163" spans="1:19">
      <c r="A163" s="673" t="str">
        <f>Sheet1!E141</f>
        <v>P112</v>
      </c>
      <c r="B163" s="673">
        <f>Sheet1!F141</f>
        <v>32.020000000000003</v>
      </c>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ca="1" si="41"/>
        <v>5760</v>
      </c>
      <c r="S163" s="321">
        <f t="shared" ca="1" si="32"/>
        <v>18</v>
      </c>
    </row>
    <row r="164" spans="1:19">
      <c r="A164" s="673" t="str">
        <f>Sheet1!E142</f>
        <v>P113</v>
      </c>
      <c r="B164" s="673">
        <f>Sheet1!F142</f>
        <v>32.020000000000003</v>
      </c>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ca="1" si="41"/>
        <v>5760</v>
      </c>
      <c r="S164" s="321">
        <f t="shared" ca="1" si="32"/>
        <v>18</v>
      </c>
    </row>
    <row r="165" spans="1:19">
      <c r="A165" s="673" t="str">
        <f>Sheet1!E143</f>
        <v>P114</v>
      </c>
      <c r="B165" s="673">
        <f>Sheet1!F143</f>
        <v>32.020000000000003</v>
      </c>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ca="1" si="41"/>
        <v>5760</v>
      </c>
      <c r="S165" s="321">
        <f t="shared" ca="1" si="32"/>
        <v>18</v>
      </c>
    </row>
    <row r="166" spans="1:19">
      <c r="A166" s="673" t="str">
        <f>Sheet1!E144</f>
        <v>P115</v>
      </c>
      <c r="B166" s="673">
        <f>Sheet1!F144</f>
        <v>32.020000000000003</v>
      </c>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ca="1" si="41"/>
        <v>5760</v>
      </c>
      <c r="S166" s="321">
        <f t="shared" ca="1" si="32"/>
        <v>18</v>
      </c>
    </row>
    <row r="167" spans="1:19">
      <c r="A167" s="673" t="str">
        <f>Sheet1!E145</f>
        <v>P116</v>
      </c>
      <c r="B167" s="673">
        <f>Sheet1!F145</f>
        <v>32.020000000000003</v>
      </c>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ca="1" si="41"/>
        <v>5760</v>
      </c>
      <c r="S167" s="321">
        <f t="shared" ca="1" si="32"/>
        <v>18</v>
      </c>
    </row>
    <row r="168" spans="1:19">
      <c r="A168" s="673" t="str">
        <f>Sheet1!E146</f>
        <v>P117</v>
      </c>
      <c r="B168" s="673">
        <f>Sheet1!F146</f>
        <v>32.020000000000003</v>
      </c>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ca="1" si="41"/>
        <v>5760</v>
      </c>
      <c r="S168" s="321">
        <f t="shared" ca="1" si="32"/>
        <v>18</v>
      </c>
    </row>
    <row r="169" spans="1:19">
      <c r="A169" s="673" t="str">
        <f>Sheet1!E147</f>
        <v>P118</v>
      </c>
      <c r="B169" s="673">
        <f>Sheet1!F147</f>
        <v>32.020000000000003</v>
      </c>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ca="1" si="41"/>
        <v>5760</v>
      </c>
      <c r="S169" s="321">
        <f t="shared" ca="1" si="32"/>
        <v>18</v>
      </c>
    </row>
    <row r="170" spans="1:19">
      <c r="A170" s="673" t="str">
        <f>Sheet1!E148</f>
        <v>P119</v>
      </c>
      <c r="B170" s="673">
        <f>Sheet1!F148</f>
        <v>32.020000000000003</v>
      </c>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ca="1" si="41"/>
        <v>5760</v>
      </c>
      <c r="S170" s="321">
        <f t="shared" ca="1" si="32"/>
        <v>18</v>
      </c>
    </row>
    <row r="171" spans="1:19">
      <c r="A171" s="673" t="str">
        <f>Sheet1!E149</f>
        <v>P120</v>
      </c>
      <c r="B171" s="673">
        <f>Sheet1!F149</f>
        <v>32.020000000000003</v>
      </c>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ca="1" si="41"/>
        <v>5760</v>
      </c>
      <c r="S171" s="321">
        <f t="shared" ca="1" si="32"/>
        <v>18</v>
      </c>
    </row>
    <row r="172" spans="1:19">
      <c r="A172" s="673" t="str">
        <f>Sheet1!E150</f>
        <v>P121</v>
      </c>
      <c r="B172" s="673">
        <f>Sheet1!F150</f>
        <v>32.020000000000003</v>
      </c>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ca="1" si="41"/>
        <v>5760</v>
      </c>
      <c r="S172" s="321">
        <f t="shared" ca="1" si="32"/>
        <v>18</v>
      </c>
    </row>
    <row r="173" spans="1:19">
      <c r="A173" s="673" t="str">
        <f>Sheet1!E151</f>
        <v>Q001</v>
      </c>
      <c r="B173" s="673">
        <f>Sheet1!F151</f>
        <v>33.36</v>
      </c>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ca="1" si="41"/>
        <v>5760</v>
      </c>
      <c r="S173" s="321">
        <f t="shared" ca="1" si="32"/>
        <v>19</v>
      </c>
    </row>
    <row r="174" spans="1:19">
      <c r="A174" s="673" t="str">
        <f>Sheet1!E152</f>
        <v>Q002</v>
      </c>
      <c r="B174" s="673">
        <f>Sheet1!F152</f>
        <v>33.36</v>
      </c>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ca="1" si="41"/>
        <v>5760</v>
      </c>
      <c r="S174" s="321">
        <f t="shared" ca="1" si="32"/>
        <v>19</v>
      </c>
    </row>
    <row r="175" spans="1:19">
      <c r="A175" s="673" t="str">
        <f>Sheet1!E153</f>
        <v>Q003</v>
      </c>
      <c r="B175" s="673">
        <f>Sheet1!F153</f>
        <v>33.36</v>
      </c>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ca="1" si="41"/>
        <v>5760</v>
      </c>
      <c r="S175" s="321">
        <f t="shared" ca="1" si="32"/>
        <v>19</v>
      </c>
    </row>
    <row r="176" spans="1:19">
      <c r="A176" s="673" t="str">
        <f>Sheet1!E154</f>
        <v>Q024</v>
      </c>
      <c r="B176" s="673">
        <f>Sheet1!F154</f>
        <v>32.020000000000003</v>
      </c>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ca="1" si="41"/>
        <v>5760</v>
      </c>
      <c r="S176" s="321">
        <f t="shared" ca="1" si="32"/>
        <v>18</v>
      </c>
    </row>
    <row r="177" spans="1:19">
      <c r="A177" s="673" t="str">
        <f>Sheet1!E155</f>
        <v>Q026</v>
      </c>
      <c r="B177" s="673">
        <f>Sheet1!F155</f>
        <v>32.020000000000003</v>
      </c>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ca="1" si="41"/>
        <v>5760</v>
      </c>
      <c r="S177" s="321">
        <f t="shared" ca="1" si="32"/>
        <v>18</v>
      </c>
    </row>
    <row r="178" spans="1:19">
      <c r="A178" s="673" t="str">
        <f>Sheet1!E156</f>
        <v>Q035</v>
      </c>
      <c r="B178" s="673">
        <f>Sheet1!F156</f>
        <v>32.020000000000003</v>
      </c>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ca="1" si="41"/>
        <v>5760</v>
      </c>
      <c r="S178" s="321">
        <f t="shared" ca="1" si="32"/>
        <v>18</v>
      </c>
    </row>
    <row r="179" spans="1:19">
      <c r="A179" s="673" t="str">
        <f>Sheet1!E157</f>
        <v>Q041</v>
      </c>
      <c r="B179" s="673">
        <f>Sheet1!F157</f>
        <v>32.020000000000003</v>
      </c>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ca="1" si="41"/>
        <v>5760</v>
      </c>
      <c r="S179" s="321">
        <f t="shared" ca="1" si="32"/>
        <v>18</v>
      </c>
    </row>
    <row r="180" spans="1:19">
      <c r="A180" s="673" t="str">
        <f>Sheet1!E158</f>
        <v>Q042</v>
      </c>
      <c r="B180" s="673">
        <f>Sheet1!F158</f>
        <v>32.020000000000003</v>
      </c>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ca="1" si="41"/>
        <v>5760</v>
      </c>
      <c r="S180" s="321">
        <f t="shared" ca="1" si="32"/>
        <v>18</v>
      </c>
    </row>
    <row r="181" spans="1:19">
      <c r="A181" s="673" t="str">
        <f>Sheet1!E159</f>
        <v>Q044</v>
      </c>
      <c r="B181" s="673">
        <f>Sheet1!F159</f>
        <v>32.020000000000003</v>
      </c>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ca="1" si="41"/>
        <v>5760</v>
      </c>
      <c r="S181" s="321">
        <f t="shared" ca="1" si="32"/>
        <v>18</v>
      </c>
    </row>
    <row r="182" spans="1:19">
      <c r="A182" s="673" t="str">
        <f>Sheet1!E160</f>
        <v>Q046</v>
      </c>
      <c r="B182" s="673">
        <f>Sheet1!F160</f>
        <v>32.020000000000003</v>
      </c>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ca="1" si="41"/>
        <v>5760</v>
      </c>
      <c r="S182" s="321">
        <f t="shared" ca="1" si="32"/>
        <v>18</v>
      </c>
    </row>
    <row r="183" spans="1:19">
      <c r="A183" s="673" t="str">
        <f>Sheet1!E161</f>
        <v>Q054</v>
      </c>
      <c r="B183" s="673">
        <f>Sheet1!F161</f>
        <v>32.020000000000003</v>
      </c>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ca="1" si="41"/>
        <v>5760</v>
      </c>
      <c r="S183" s="321">
        <f t="shared" ca="1" si="32"/>
        <v>18</v>
      </c>
    </row>
    <row r="184" spans="1:19">
      <c r="A184" s="673" t="str">
        <f>Sheet1!E162</f>
        <v>Q060</v>
      </c>
      <c r="B184" s="673">
        <f>Sheet1!F162</f>
        <v>32.020000000000003</v>
      </c>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ca="1" si="41"/>
        <v>5760</v>
      </c>
      <c r="S184" s="321">
        <f t="shared" ca="1" si="32"/>
        <v>18</v>
      </c>
    </row>
    <row r="185" spans="1:19">
      <c r="A185" s="673" t="str">
        <f>Sheet1!E163</f>
        <v>Q062</v>
      </c>
      <c r="B185" s="673">
        <f>Sheet1!F163</f>
        <v>32.020000000000003</v>
      </c>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ca="1" si="41"/>
        <v>5760</v>
      </c>
      <c r="S185" s="321">
        <f t="shared" ca="1" si="32"/>
        <v>18</v>
      </c>
    </row>
    <row r="186" spans="1:19">
      <c r="A186" s="673" t="str">
        <f>Sheet1!E164</f>
        <v>Q069</v>
      </c>
      <c r="B186" s="673">
        <f>Sheet1!F164</f>
        <v>32.020000000000003</v>
      </c>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ca="1" si="41"/>
        <v>5760</v>
      </c>
      <c r="S186" s="321">
        <f t="shared" ca="1" si="32"/>
        <v>18</v>
      </c>
    </row>
    <row r="187" spans="1:19">
      <c r="A187" s="673" t="str">
        <f>Sheet1!E165</f>
        <v>Q070</v>
      </c>
      <c r="B187" s="673">
        <f>Sheet1!F165</f>
        <v>32.020000000000003</v>
      </c>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ca="1" si="41"/>
        <v>5760</v>
      </c>
      <c r="S187" s="321">
        <f t="shared" ref="S187:S222" ca="1" si="42">ROUND(R187*B187/10000,0)</f>
        <v>18</v>
      </c>
    </row>
    <row r="188" spans="1:19">
      <c r="A188" s="673" t="str">
        <f>Sheet1!E166</f>
        <v>Q077</v>
      </c>
      <c r="B188" s="673">
        <f>Sheet1!F166</f>
        <v>32.020000000000003</v>
      </c>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ca="1" si="41"/>
        <v>5760</v>
      </c>
      <c r="S188" s="321">
        <f t="shared" ca="1" si="42"/>
        <v>18</v>
      </c>
    </row>
    <row r="189" spans="1:19">
      <c r="A189" s="673" t="str">
        <f>Sheet1!E167</f>
        <v>Q080</v>
      </c>
      <c r="B189" s="673">
        <f>Sheet1!F167</f>
        <v>32.020000000000003</v>
      </c>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ca="1" si="41"/>
        <v>5760</v>
      </c>
      <c r="S189" s="321">
        <f t="shared" ca="1" si="42"/>
        <v>18</v>
      </c>
    </row>
    <row r="190" spans="1:19">
      <c r="A190" s="673" t="str">
        <f>Sheet1!E168</f>
        <v>Q081</v>
      </c>
      <c r="B190" s="673">
        <f>Sheet1!F168</f>
        <v>32.020000000000003</v>
      </c>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ca="1" si="41"/>
        <v>5760</v>
      </c>
      <c r="S190" s="321">
        <f t="shared" ca="1" si="42"/>
        <v>18</v>
      </c>
    </row>
    <row r="191" spans="1:19">
      <c r="A191" s="673" t="str">
        <f>Sheet1!E169</f>
        <v>Q089</v>
      </c>
      <c r="B191" s="673">
        <f>Sheet1!F169</f>
        <v>32.020000000000003</v>
      </c>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ca="1" si="41"/>
        <v>5760</v>
      </c>
      <c r="S191" s="321">
        <f t="shared" ca="1" si="42"/>
        <v>18</v>
      </c>
    </row>
    <row r="192" spans="1:19">
      <c r="A192" s="673" t="str">
        <f>Sheet1!E170</f>
        <v>Q090</v>
      </c>
      <c r="B192" s="673">
        <f>Sheet1!F170</f>
        <v>32.020000000000003</v>
      </c>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ca="1" si="41"/>
        <v>5760</v>
      </c>
      <c r="S192" s="321">
        <f t="shared" ca="1" si="42"/>
        <v>18</v>
      </c>
    </row>
    <row r="193" spans="1:19">
      <c r="A193" s="673" t="str">
        <f>Sheet1!E171</f>
        <v>Q091</v>
      </c>
      <c r="B193" s="673">
        <f>Sheet1!F171</f>
        <v>32.020000000000003</v>
      </c>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ca="1" si="41"/>
        <v>5760</v>
      </c>
      <c r="S193" s="321">
        <f t="shared" ca="1" si="42"/>
        <v>18</v>
      </c>
    </row>
    <row r="194" spans="1:19">
      <c r="A194" s="673" t="str">
        <f>Sheet1!E172</f>
        <v>Q092</v>
      </c>
      <c r="B194" s="673">
        <f>Sheet1!F172</f>
        <v>32.020000000000003</v>
      </c>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ca="1" si="41"/>
        <v>5760</v>
      </c>
      <c r="S194" s="321">
        <f t="shared" ca="1" si="42"/>
        <v>18</v>
      </c>
    </row>
    <row r="195" spans="1:19">
      <c r="A195" s="673" t="str">
        <f>Sheet1!E173</f>
        <v>Q093</v>
      </c>
      <c r="B195" s="673">
        <f>Sheet1!F173</f>
        <v>33.36</v>
      </c>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ca="1" si="41"/>
        <v>5760</v>
      </c>
      <c r="S195" s="321">
        <f t="shared" ca="1" si="42"/>
        <v>19</v>
      </c>
    </row>
    <row r="196" spans="1:19">
      <c r="A196" s="673" t="str">
        <f>Sheet1!E174</f>
        <v>Q094</v>
      </c>
      <c r="B196" s="673">
        <f>Sheet1!F174</f>
        <v>33.36</v>
      </c>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ca="1" si="41"/>
        <v>5760</v>
      </c>
      <c r="S196" s="321">
        <f t="shared" ca="1" si="42"/>
        <v>19</v>
      </c>
    </row>
    <row r="197" spans="1:19">
      <c r="A197" s="673" t="str">
        <f>Sheet1!E175</f>
        <v>Q095</v>
      </c>
      <c r="B197" s="673">
        <f>Sheet1!F175</f>
        <v>33.36</v>
      </c>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ca="1" si="41"/>
        <v>5760</v>
      </c>
      <c r="S197" s="321">
        <f t="shared" ca="1" si="42"/>
        <v>19</v>
      </c>
    </row>
    <row r="198" spans="1:19">
      <c r="A198" s="673" t="str">
        <f>Sheet1!E176</f>
        <v>Q096</v>
      </c>
      <c r="B198" s="673">
        <f>Sheet1!F176</f>
        <v>33.36</v>
      </c>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ca="1" si="41"/>
        <v>5760</v>
      </c>
      <c r="S198" s="321">
        <f t="shared" ca="1" si="42"/>
        <v>19</v>
      </c>
    </row>
    <row r="199" spans="1:19">
      <c r="A199" s="673" t="str">
        <f>Sheet1!E177</f>
        <v>R013</v>
      </c>
      <c r="B199" s="673">
        <f>Sheet1!F177</f>
        <v>32.020000000000003</v>
      </c>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ca="1" si="41"/>
        <v>5760</v>
      </c>
      <c r="S199" s="321">
        <f t="shared" ca="1" si="42"/>
        <v>18</v>
      </c>
    </row>
    <row r="200" spans="1:19">
      <c r="A200" s="673" t="str">
        <f>Sheet1!E178</f>
        <v>R014</v>
      </c>
      <c r="B200" s="673">
        <f>Sheet1!F178</f>
        <v>32.020000000000003</v>
      </c>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ca="1" si="41"/>
        <v>5760</v>
      </c>
      <c r="S200" s="321">
        <f t="shared" ca="1" si="42"/>
        <v>18</v>
      </c>
    </row>
    <row r="201" spans="1:19">
      <c r="A201" s="673" t="str">
        <f>Sheet1!E179</f>
        <v>R016</v>
      </c>
      <c r="B201" s="673">
        <f>Sheet1!F179</f>
        <v>32.020000000000003</v>
      </c>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ca="1" si="41"/>
        <v>5760</v>
      </c>
      <c r="S201" s="321">
        <f t="shared" ca="1" si="42"/>
        <v>18</v>
      </c>
    </row>
    <row r="202" spans="1:19">
      <c r="A202" s="673" t="str">
        <f>Sheet1!E180</f>
        <v>R017</v>
      </c>
      <c r="B202" s="673">
        <f>Sheet1!F180</f>
        <v>32.020000000000003</v>
      </c>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ca="1" si="41"/>
        <v>5760</v>
      </c>
      <c r="S202" s="321">
        <f t="shared" ca="1" si="42"/>
        <v>18</v>
      </c>
    </row>
    <row r="203" spans="1:19">
      <c r="A203" s="673" t="str">
        <f>Sheet1!E181</f>
        <v>R037</v>
      </c>
      <c r="B203" s="673">
        <f>Sheet1!F181</f>
        <v>32.020000000000003</v>
      </c>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ca="1" si="41"/>
        <v>5760</v>
      </c>
      <c r="S203" s="321">
        <f t="shared" ca="1" si="42"/>
        <v>18</v>
      </c>
    </row>
    <row r="204" spans="1:19">
      <c r="A204" s="673" t="str">
        <f>Sheet1!E182</f>
        <v>R040</v>
      </c>
      <c r="B204" s="673">
        <f>Sheet1!F182</f>
        <v>32.020000000000003</v>
      </c>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ca="1" si="41"/>
        <v>5760</v>
      </c>
      <c r="S204" s="321">
        <f t="shared" ca="1" si="42"/>
        <v>18</v>
      </c>
    </row>
    <row r="205" spans="1:19">
      <c r="A205" s="673" t="str">
        <f>Sheet1!E183</f>
        <v>R041</v>
      </c>
      <c r="B205" s="673">
        <f>Sheet1!F183</f>
        <v>32.020000000000003</v>
      </c>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ca="1" si="41"/>
        <v>5760</v>
      </c>
      <c r="S205" s="321">
        <f t="shared" ca="1" si="42"/>
        <v>18</v>
      </c>
    </row>
    <row r="206" spans="1:19">
      <c r="A206" s="673" t="str">
        <f>Sheet1!E184</f>
        <v>R042</v>
      </c>
      <c r="B206" s="673">
        <f>Sheet1!F184</f>
        <v>32.020000000000003</v>
      </c>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ca="1" si="41"/>
        <v>5760</v>
      </c>
      <c r="S206" s="321">
        <f t="shared" ca="1" si="42"/>
        <v>18</v>
      </c>
    </row>
    <row r="207" spans="1:19">
      <c r="A207" s="673" t="str">
        <f>Sheet1!E185</f>
        <v>R052</v>
      </c>
      <c r="B207" s="673">
        <f>Sheet1!F185</f>
        <v>32.020000000000003</v>
      </c>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ca="1" si="41"/>
        <v>5760</v>
      </c>
      <c r="S207" s="321">
        <f t="shared" ca="1" si="42"/>
        <v>18</v>
      </c>
    </row>
    <row r="208" spans="1:19">
      <c r="A208" s="673" t="str">
        <f>Sheet1!E186</f>
        <v>R053</v>
      </c>
      <c r="B208" s="673">
        <f>Sheet1!F186</f>
        <v>32.020000000000003</v>
      </c>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ca="1" si="41"/>
        <v>5760</v>
      </c>
      <c r="S208" s="321">
        <f t="shared" ca="1" si="42"/>
        <v>18</v>
      </c>
    </row>
    <row r="209" spans="1:19">
      <c r="A209" s="673" t="str">
        <f>Sheet1!E187</f>
        <v>R054</v>
      </c>
      <c r="B209" s="673">
        <f>Sheet1!F187</f>
        <v>32.020000000000003</v>
      </c>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ca="1" si="41"/>
        <v>5760</v>
      </c>
      <c r="S209" s="321">
        <f t="shared" ca="1" si="42"/>
        <v>18</v>
      </c>
    </row>
    <row r="210" spans="1:19">
      <c r="A210" s="673" t="str">
        <f>Sheet1!E188</f>
        <v>R055</v>
      </c>
      <c r="B210" s="673">
        <f>Sheet1!F188</f>
        <v>32.020000000000003</v>
      </c>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ca="1" si="41"/>
        <v>5760</v>
      </c>
      <c r="S210" s="321">
        <f t="shared" ca="1" si="42"/>
        <v>18</v>
      </c>
    </row>
    <row r="211" spans="1:19">
      <c r="A211" s="673" t="str">
        <f>Sheet1!E189</f>
        <v>R056</v>
      </c>
      <c r="B211" s="673">
        <f>Sheet1!F189</f>
        <v>32.020000000000003</v>
      </c>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ca="1" si="41"/>
        <v>5760</v>
      </c>
      <c r="S211" s="321">
        <f t="shared" ca="1" si="42"/>
        <v>18</v>
      </c>
    </row>
    <row r="212" spans="1:19">
      <c r="A212" s="673" t="str">
        <f>Sheet1!E190</f>
        <v>R057</v>
      </c>
      <c r="B212" s="673">
        <f>Sheet1!F190</f>
        <v>32.020000000000003</v>
      </c>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ca="1" si="41"/>
        <v>5760</v>
      </c>
      <c r="S212" s="321">
        <f t="shared" ca="1" si="42"/>
        <v>18</v>
      </c>
    </row>
    <row r="213" spans="1:19">
      <c r="A213" s="673" t="str">
        <f>Sheet1!E191</f>
        <v>R067</v>
      </c>
      <c r="B213" s="673">
        <f>Sheet1!F191</f>
        <v>32.020000000000003</v>
      </c>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ca="1" si="41"/>
        <v>5760</v>
      </c>
      <c r="S213" s="321">
        <f t="shared" ca="1" si="42"/>
        <v>18</v>
      </c>
    </row>
    <row r="214" spans="1:19">
      <c r="A214" s="673" t="str">
        <f>Sheet1!E192</f>
        <v>R068</v>
      </c>
      <c r="B214" s="673">
        <f>Sheet1!F192</f>
        <v>32.020000000000003</v>
      </c>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ca="1" si="41"/>
        <v>5760</v>
      </c>
      <c r="S214" s="321">
        <f t="shared" ca="1" si="42"/>
        <v>18</v>
      </c>
    </row>
    <row r="215" spans="1:19">
      <c r="A215" s="673" t="str">
        <f>Sheet1!E193</f>
        <v>R069</v>
      </c>
      <c r="B215" s="673">
        <f>Sheet1!F193</f>
        <v>32.020000000000003</v>
      </c>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ca="1" si="41"/>
        <v>5760</v>
      </c>
      <c r="S215" s="321">
        <f t="shared" ca="1" si="42"/>
        <v>18</v>
      </c>
    </row>
    <row r="216" spans="1:19">
      <c r="A216" s="673" t="str">
        <f>Sheet1!E194</f>
        <v>R094</v>
      </c>
      <c r="B216" s="673">
        <f>Sheet1!F194</f>
        <v>32.020000000000003</v>
      </c>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ca="1" si="41"/>
        <v>5760</v>
      </c>
      <c r="S216" s="321">
        <f t="shared" ca="1" si="42"/>
        <v>18</v>
      </c>
    </row>
    <row r="217" spans="1:19">
      <c r="A217" s="673" t="str">
        <f>Sheet1!E195</f>
        <v>R095</v>
      </c>
      <c r="B217" s="673">
        <f>Sheet1!F195</f>
        <v>32.020000000000003</v>
      </c>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ca="1" si="41"/>
        <v>5760</v>
      </c>
      <c r="S217" s="321">
        <f t="shared" ca="1" si="42"/>
        <v>18</v>
      </c>
    </row>
    <row r="218" spans="1:19">
      <c r="A218" s="673" t="str">
        <f>Sheet1!E196</f>
        <v>R096</v>
      </c>
      <c r="B218" s="673">
        <f>Sheet1!F196</f>
        <v>32.020000000000003</v>
      </c>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ca="1" si="51">IF(B218="",0,ROUND($R$24*C218*E218*G218*I218*K218*M218*O218*Q218,0))</f>
        <v>5760</v>
      </c>
      <c r="S218" s="321">
        <f t="shared" ca="1" si="42"/>
        <v>18</v>
      </c>
    </row>
    <row r="219" spans="1:19">
      <c r="A219" s="673" t="str">
        <f>Sheet1!E197</f>
        <v>R097</v>
      </c>
      <c r="B219" s="673">
        <f>Sheet1!F197</f>
        <v>32.020000000000003</v>
      </c>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ca="1" si="51"/>
        <v>5760</v>
      </c>
      <c r="S219" s="321">
        <f t="shared" ca="1" si="42"/>
        <v>18</v>
      </c>
    </row>
    <row r="220" spans="1:19">
      <c r="A220" s="673" t="str">
        <f>Sheet1!E198</f>
        <v>R098</v>
      </c>
      <c r="B220" s="673">
        <f>Sheet1!F198</f>
        <v>32.020000000000003</v>
      </c>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ca="1" si="51"/>
        <v>5760</v>
      </c>
      <c r="S220" s="321">
        <f t="shared" ca="1" si="42"/>
        <v>18</v>
      </c>
    </row>
    <row r="221" spans="1:19">
      <c r="A221" s="673" t="str">
        <f>Sheet1!E199</f>
        <v>R099</v>
      </c>
      <c r="B221" s="673">
        <f>Sheet1!F199</f>
        <v>32.020000000000003</v>
      </c>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ca="1" si="51"/>
        <v>5760</v>
      </c>
      <c r="S221" s="321">
        <f t="shared" ca="1" si="42"/>
        <v>18</v>
      </c>
    </row>
    <row r="222" spans="1:19">
      <c r="A222" s="673" t="str">
        <f>Sheet1!E200</f>
        <v>R100</v>
      </c>
      <c r="B222" s="673">
        <f>Sheet1!F200</f>
        <v>32.020000000000003</v>
      </c>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ca="1" si="51"/>
        <v>5760</v>
      </c>
      <c r="S222" s="321">
        <f t="shared" ca="1" si="42"/>
        <v>18</v>
      </c>
    </row>
    <row r="223" spans="1:19">
      <c r="A223" s="673" t="str">
        <f>Sheet1!E201</f>
        <v>R101</v>
      </c>
      <c r="B223" s="673">
        <f>Sheet1!F201</f>
        <v>32.020000000000003</v>
      </c>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ca="1" si="51"/>
        <v>5760</v>
      </c>
      <c r="S223" s="321">
        <f t="shared" ref="S223:S286" ca="1" si="52">ROUND(R223*B223/10000,0)</f>
        <v>18</v>
      </c>
    </row>
    <row r="224" spans="1:19">
      <c r="A224" s="673" t="str">
        <f>Sheet1!E202</f>
        <v>R102</v>
      </c>
      <c r="B224" s="673">
        <f>Sheet1!F202</f>
        <v>32.020000000000003</v>
      </c>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ca="1" si="51"/>
        <v>5760</v>
      </c>
      <c r="S224" s="321">
        <f t="shared" ca="1" si="52"/>
        <v>18</v>
      </c>
    </row>
    <row r="225" spans="1:19">
      <c r="A225" s="673" t="str">
        <f>Sheet1!E203</f>
        <v>R103</v>
      </c>
      <c r="B225" s="673">
        <f>Sheet1!F203</f>
        <v>32.020000000000003</v>
      </c>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ca="1" si="51"/>
        <v>5760</v>
      </c>
      <c r="S225" s="321">
        <f t="shared" ca="1" si="52"/>
        <v>18</v>
      </c>
    </row>
    <row r="226" spans="1:19">
      <c r="A226" s="673" t="str">
        <f>Sheet1!E204</f>
        <v>R104</v>
      </c>
      <c r="B226" s="673">
        <f>Sheet1!F204</f>
        <v>32.020000000000003</v>
      </c>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ca="1" si="51"/>
        <v>5760</v>
      </c>
      <c r="S226" s="321">
        <f t="shared" ca="1" si="52"/>
        <v>18</v>
      </c>
    </row>
    <row r="227" spans="1:19">
      <c r="A227" s="673" t="str">
        <f>Sheet1!E205</f>
        <v>R105</v>
      </c>
      <c r="B227" s="673">
        <f>Sheet1!F205</f>
        <v>32.020000000000003</v>
      </c>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ca="1" si="51"/>
        <v>5760</v>
      </c>
      <c r="S227" s="321">
        <f t="shared" ca="1" si="52"/>
        <v>18</v>
      </c>
    </row>
    <row r="228" spans="1:19">
      <c r="A228" s="673" t="str">
        <f>Sheet1!E206</f>
        <v>S002</v>
      </c>
      <c r="B228" s="673">
        <f>Sheet1!F206</f>
        <v>32.020000000000003</v>
      </c>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ca="1" si="51"/>
        <v>5760</v>
      </c>
      <c r="S228" s="321">
        <f t="shared" ca="1" si="52"/>
        <v>18</v>
      </c>
    </row>
    <row r="229" spans="1:19">
      <c r="A229" s="673" t="str">
        <f>Sheet1!E207</f>
        <v>S003</v>
      </c>
      <c r="B229" s="673">
        <f>Sheet1!F207</f>
        <v>32.020000000000003</v>
      </c>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ca="1" si="51"/>
        <v>5760</v>
      </c>
      <c r="S229" s="321">
        <f t="shared" ca="1" si="52"/>
        <v>18</v>
      </c>
    </row>
    <row r="230" spans="1:19">
      <c r="A230" s="673" t="str">
        <f>Sheet1!E208</f>
        <v>S004</v>
      </c>
      <c r="B230" s="673">
        <f>Sheet1!F208</f>
        <v>32.020000000000003</v>
      </c>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ca="1" si="51"/>
        <v>5760</v>
      </c>
      <c r="S230" s="321">
        <f t="shared" ca="1" si="52"/>
        <v>18</v>
      </c>
    </row>
    <row r="231" spans="1:19">
      <c r="A231" s="673" t="str">
        <f>Sheet1!E209</f>
        <v>S005</v>
      </c>
      <c r="B231" s="673">
        <f>Sheet1!F209</f>
        <v>32.020000000000003</v>
      </c>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ca="1" si="51"/>
        <v>5760</v>
      </c>
      <c r="S231" s="321">
        <f t="shared" ca="1" si="52"/>
        <v>18</v>
      </c>
    </row>
    <row r="232" spans="1:19">
      <c r="A232" s="673" t="str">
        <f>Sheet1!E210</f>
        <v>S007</v>
      </c>
      <c r="B232" s="673">
        <f>Sheet1!F210</f>
        <v>32.020000000000003</v>
      </c>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ca="1" si="51"/>
        <v>5760</v>
      </c>
      <c r="S232" s="321">
        <f t="shared" ca="1" si="52"/>
        <v>18</v>
      </c>
    </row>
    <row r="233" spans="1:19">
      <c r="A233" s="673" t="str">
        <f>Sheet1!E211</f>
        <v>S008</v>
      </c>
      <c r="B233" s="673">
        <f>Sheet1!F211</f>
        <v>32.020000000000003</v>
      </c>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ca="1" si="51"/>
        <v>5760</v>
      </c>
      <c r="S233" s="321">
        <f t="shared" ca="1" si="52"/>
        <v>18</v>
      </c>
    </row>
    <row r="234" spans="1:19">
      <c r="A234" s="673" t="str">
        <f>Sheet1!E212</f>
        <v>S012</v>
      </c>
      <c r="B234" s="673">
        <f>Sheet1!F212</f>
        <v>32.020000000000003</v>
      </c>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ca="1" si="51"/>
        <v>5760</v>
      </c>
      <c r="S234" s="321">
        <f t="shared" ca="1" si="52"/>
        <v>18</v>
      </c>
    </row>
    <row r="235" spans="1:19">
      <c r="A235" s="673" t="str">
        <f>Sheet1!E213</f>
        <v>S013</v>
      </c>
      <c r="B235" s="673">
        <f>Sheet1!F213</f>
        <v>32.020000000000003</v>
      </c>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ca="1" si="51"/>
        <v>5760</v>
      </c>
      <c r="S235" s="321">
        <f t="shared" ca="1" si="52"/>
        <v>18</v>
      </c>
    </row>
    <row r="236" spans="1:19">
      <c r="A236" s="673" t="str">
        <f>Sheet1!E214</f>
        <v>S038</v>
      </c>
      <c r="B236" s="673">
        <f>Sheet1!F214</f>
        <v>32.020000000000003</v>
      </c>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ca="1" si="51"/>
        <v>5760</v>
      </c>
      <c r="S236" s="321">
        <f t="shared" ca="1" si="52"/>
        <v>18</v>
      </c>
    </row>
    <row r="237" spans="1:19">
      <c r="A237" s="673" t="str">
        <f>Sheet1!E215</f>
        <v>S041</v>
      </c>
      <c r="B237" s="673">
        <f>Sheet1!F215</f>
        <v>32.020000000000003</v>
      </c>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ca="1" si="51"/>
        <v>5760</v>
      </c>
      <c r="S237" s="321">
        <f t="shared" ca="1" si="52"/>
        <v>18</v>
      </c>
    </row>
    <row r="238" spans="1:19">
      <c r="A238" s="673" t="str">
        <f>Sheet1!E216</f>
        <v>S042</v>
      </c>
      <c r="B238" s="673">
        <f>Sheet1!F216</f>
        <v>32.020000000000003</v>
      </c>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ca="1" si="51"/>
        <v>5760</v>
      </c>
      <c r="S238" s="321">
        <f t="shared" ca="1" si="52"/>
        <v>18</v>
      </c>
    </row>
    <row r="239" spans="1:19">
      <c r="A239" s="673" t="str">
        <f>Sheet1!E217</f>
        <v>S043</v>
      </c>
      <c r="B239" s="673">
        <f>Sheet1!F217</f>
        <v>32.020000000000003</v>
      </c>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ca="1" si="51"/>
        <v>5760</v>
      </c>
      <c r="S239" s="321">
        <f t="shared" ca="1" si="52"/>
        <v>18</v>
      </c>
    </row>
    <row r="240" spans="1:19">
      <c r="A240" s="673" t="str">
        <f>Sheet1!E218</f>
        <v>S044</v>
      </c>
      <c r="B240" s="673">
        <f>Sheet1!F218</f>
        <v>32.020000000000003</v>
      </c>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ca="1" si="51"/>
        <v>5760</v>
      </c>
      <c r="S240" s="321">
        <f t="shared" ca="1" si="52"/>
        <v>18</v>
      </c>
    </row>
    <row r="241" spans="1:19">
      <c r="A241" s="673" t="str">
        <f>Sheet1!E219</f>
        <v>S045</v>
      </c>
      <c r="B241" s="673">
        <f>Sheet1!F219</f>
        <v>32.020000000000003</v>
      </c>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ca="1" si="51"/>
        <v>5760</v>
      </c>
      <c r="S241" s="321">
        <f t="shared" ca="1" si="52"/>
        <v>18</v>
      </c>
    </row>
    <row r="242" spans="1:19">
      <c r="A242" s="673" t="str">
        <f>Sheet1!E220</f>
        <v>S046</v>
      </c>
      <c r="B242" s="673">
        <f>Sheet1!F220</f>
        <v>32.020000000000003</v>
      </c>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ca="1" si="51"/>
        <v>5760</v>
      </c>
      <c r="S242" s="321">
        <f t="shared" ca="1" si="52"/>
        <v>18</v>
      </c>
    </row>
    <row r="243" spans="1:19">
      <c r="A243" s="673" t="str">
        <f>Sheet1!E221</f>
        <v>S048</v>
      </c>
      <c r="B243" s="673">
        <f>Sheet1!F221</f>
        <v>32.020000000000003</v>
      </c>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ca="1" si="51"/>
        <v>5760</v>
      </c>
      <c r="S243" s="321">
        <f t="shared" ca="1" si="52"/>
        <v>18</v>
      </c>
    </row>
    <row r="244" spans="1:19">
      <c r="A244" s="673" t="str">
        <f>Sheet1!E222</f>
        <v>S049</v>
      </c>
      <c r="B244" s="673">
        <f>Sheet1!F222</f>
        <v>33.36</v>
      </c>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ca="1" si="51"/>
        <v>5760</v>
      </c>
      <c r="S244" s="321">
        <f t="shared" ca="1" si="52"/>
        <v>19</v>
      </c>
    </row>
    <row r="245" spans="1:19">
      <c r="A245" s="673" t="str">
        <f>Sheet1!E223</f>
        <v>S075</v>
      </c>
      <c r="B245" s="673">
        <f>Sheet1!F223</f>
        <v>32.020000000000003</v>
      </c>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ca="1" si="51"/>
        <v>5760</v>
      </c>
      <c r="S245" s="321">
        <f t="shared" ca="1" si="52"/>
        <v>18</v>
      </c>
    </row>
    <row r="246" spans="1:19">
      <c r="A246" s="673" t="str">
        <f>Sheet1!E224</f>
        <v>S081</v>
      </c>
      <c r="B246" s="673">
        <f>Sheet1!F224</f>
        <v>32.020000000000003</v>
      </c>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ca="1" si="51"/>
        <v>5760</v>
      </c>
      <c r="S246" s="321">
        <f t="shared" ca="1" si="52"/>
        <v>18</v>
      </c>
    </row>
    <row r="247" spans="1:19">
      <c r="A247" s="673" t="str">
        <f>Sheet1!E225</f>
        <v>S083</v>
      </c>
      <c r="B247" s="673">
        <f>Sheet1!F225</f>
        <v>32.020000000000003</v>
      </c>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ca="1" si="51"/>
        <v>5760</v>
      </c>
      <c r="S247" s="321">
        <f t="shared" ca="1" si="52"/>
        <v>18</v>
      </c>
    </row>
    <row r="248" spans="1:19">
      <c r="A248" s="673" t="str">
        <f>Sheet1!E226</f>
        <v>S084</v>
      </c>
      <c r="B248" s="673">
        <f>Sheet1!F226</f>
        <v>32.020000000000003</v>
      </c>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ca="1" si="51"/>
        <v>5760</v>
      </c>
      <c r="S248" s="321">
        <f t="shared" ca="1" si="52"/>
        <v>18</v>
      </c>
    </row>
    <row r="249" spans="1:19">
      <c r="A249" s="673" t="str">
        <f>Sheet1!E227</f>
        <v>S086</v>
      </c>
      <c r="B249" s="673">
        <f>Sheet1!F227</f>
        <v>32.020000000000003</v>
      </c>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ca="1" si="51"/>
        <v>5760</v>
      </c>
      <c r="S249" s="321">
        <f t="shared" ca="1" si="52"/>
        <v>18</v>
      </c>
    </row>
    <row r="250" spans="1:19">
      <c r="A250" s="673" t="str">
        <f>Sheet1!E228</f>
        <v>S087</v>
      </c>
      <c r="B250" s="673">
        <f>Sheet1!F228</f>
        <v>32.020000000000003</v>
      </c>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ca="1" si="51"/>
        <v>5760</v>
      </c>
      <c r="S250" s="321">
        <f t="shared" ca="1" si="52"/>
        <v>18</v>
      </c>
    </row>
    <row r="251" spans="1:19">
      <c r="A251" s="673" t="str">
        <f>Sheet1!E229</f>
        <v>S091</v>
      </c>
      <c r="B251" s="673">
        <f>Sheet1!F229</f>
        <v>32.020000000000003</v>
      </c>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ca="1" si="51"/>
        <v>5760</v>
      </c>
      <c r="S251" s="321">
        <f t="shared" ca="1" si="52"/>
        <v>18</v>
      </c>
    </row>
    <row r="252" spans="1:19">
      <c r="A252" s="673" t="str">
        <f>Sheet1!E230</f>
        <v>S094</v>
      </c>
      <c r="B252" s="673">
        <f>Sheet1!F230</f>
        <v>32.020000000000003</v>
      </c>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ca="1" si="51"/>
        <v>5760</v>
      </c>
      <c r="S252" s="321">
        <f t="shared" ca="1" si="52"/>
        <v>18</v>
      </c>
    </row>
    <row r="253" spans="1:19">
      <c r="A253" s="673" t="str">
        <f>Sheet1!E231</f>
        <v>S095</v>
      </c>
      <c r="B253" s="673">
        <f>Sheet1!F231</f>
        <v>32.020000000000003</v>
      </c>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ca="1" si="51"/>
        <v>5760</v>
      </c>
      <c r="S253" s="321">
        <f t="shared" ca="1" si="52"/>
        <v>18</v>
      </c>
    </row>
    <row r="254" spans="1:19">
      <c r="A254" s="673" t="str">
        <f>Sheet1!E232</f>
        <v>S096</v>
      </c>
      <c r="B254" s="673">
        <f>Sheet1!F232</f>
        <v>32.020000000000003</v>
      </c>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ca="1" si="51"/>
        <v>5760</v>
      </c>
      <c r="S254" s="321">
        <f t="shared" ca="1" si="52"/>
        <v>18</v>
      </c>
    </row>
    <row r="255" spans="1:19">
      <c r="A255" s="673" t="str">
        <f>Sheet1!E233</f>
        <v>S099</v>
      </c>
      <c r="B255" s="673">
        <f>Sheet1!F233</f>
        <v>32.020000000000003</v>
      </c>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ca="1" si="51"/>
        <v>5760</v>
      </c>
      <c r="S255" s="321">
        <f t="shared" ca="1" si="52"/>
        <v>18</v>
      </c>
    </row>
    <row r="256" spans="1:19">
      <c r="A256" s="673" t="str">
        <f>Sheet1!E234</f>
        <v>S100</v>
      </c>
      <c r="B256" s="673">
        <f>Sheet1!F234</f>
        <v>32.020000000000003</v>
      </c>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ca="1" si="51"/>
        <v>5760</v>
      </c>
      <c r="S256" s="321">
        <f t="shared" ca="1" si="52"/>
        <v>18</v>
      </c>
    </row>
    <row r="257" spans="1:19">
      <c r="A257" s="673" t="str">
        <f>Sheet1!E235</f>
        <v>S101</v>
      </c>
      <c r="B257" s="673">
        <f>Sheet1!F235</f>
        <v>32.020000000000003</v>
      </c>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ca="1" si="51"/>
        <v>5760</v>
      </c>
      <c r="S257" s="321">
        <f t="shared" ca="1" si="52"/>
        <v>18</v>
      </c>
    </row>
    <row r="258" spans="1:19">
      <c r="A258" s="673" t="str">
        <f>Sheet1!E236</f>
        <v>S102</v>
      </c>
      <c r="B258" s="673">
        <f>Sheet1!F236</f>
        <v>32.020000000000003</v>
      </c>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ca="1" si="51"/>
        <v>5760</v>
      </c>
      <c r="S258" s="321">
        <f t="shared" ca="1" si="52"/>
        <v>18</v>
      </c>
    </row>
    <row r="259" spans="1:19">
      <c r="A259" s="673" t="str">
        <f>Sheet1!E237</f>
        <v>S103</v>
      </c>
      <c r="B259" s="673">
        <f>Sheet1!F237</f>
        <v>32.020000000000003</v>
      </c>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ca="1" si="51"/>
        <v>5760</v>
      </c>
      <c r="S259" s="321">
        <f t="shared" ca="1" si="52"/>
        <v>18</v>
      </c>
    </row>
    <row r="260" spans="1:19">
      <c r="A260" s="673" t="str">
        <f>Sheet1!E238</f>
        <v>S105</v>
      </c>
      <c r="B260" s="673">
        <f>Sheet1!F238</f>
        <v>32.020000000000003</v>
      </c>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ca="1" si="51"/>
        <v>5760</v>
      </c>
      <c r="S260" s="321">
        <f t="shared" ca="1" si="52"/>
        <v>18</v>
      </c>
    </row>
    <row r="261" spans="1:19">
      <c r="A261" s="673" t="str">
        <f>Sheet1!E239</f>
        <v>S113</v>
      </c>
      <c r="B261" s="673">
        <f>Sheet1!F239</f>
        <v>33.36</v>
      </c>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ca="1" si="51"/>
        <v>5760</v>
      </c>
      <c r="S261" s="321">
        <f t="shared" ca="1" si="52"/>
        <v>19</v>
      </c>
    </row>
    <row r="262" spans="1:19">
      <c r="A262" s="673" t="str">
        <f>Sheet1!E240</f>
        <v>S114</v>
      </c>
      <c r="B262" s="673">
        <f>Sheet1!F240</f>
        <v>33.36</v>
      </c>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ca="1" si="51"/>
        <v>5760</v>
      </c>
      <c r="S262" s="321">
        <f t="shared" ca="1" si="52"/>
        <v>19</v>
      </c>
    </row>
    <row r="263" spans="1:19">
      <c r="A263" s="673" t="str">
        <f>Sheet1!E241</f>
        <v>S115</v>
      </c>
      <c r="B263" s="673">
        <f>Sheet1!F241</f>
        <v>33.36</v>
      </c>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ca="1" si="51"/>
        <v>5760</v>
      </c>
      <c r="S263" s="321">
        <f t="shared" ca="1" si="52"/>
        <v>19</v>
      </c>
    </row>
    <row r="264" spans="1:19">
      <c r="A264" s="673" t="str">
        <f>Sheet1!E242</f>
        <v>S116</v>
      </c>
      <c r="B264" s="673">
        <f>Sheet1!F242</f>
        <v>33.36</v>
      </c>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ca="1" si="51"/>
        <v>5760</v>
      </c>
      <c r="S264" s="321">
        <f t="shared" ca="1" si="52"/>
        <v>19</v>
      </c>
    </row>
    <row r="265" spans="1:19">
      <c r="A265" s="673" t="str">
        <f>Sheet1!E243</f>
        <v>S117</v>
      </c>
      <c r="B265" s="673">
        <f>Sheet1!F243</f>
        <v>33.36</v>
      </c>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ca="1" si="51"/>
        <v>5760</v>
      </c>
      <c r="S265" s="321">
        <f t="shared" ca="1" si="52"/>
        <v>19</v>
      </c>
    </row>
    <row r="266" spans="1:19">
      <c r="A266" s="673" t="str">
        <f>Sheet1!E244</f>
        <v>S118</v>
      </c>
      <c r="B266" s="673">
        <f>Sheet1!F244</f>
        <v>33.36</v>
      </c>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ca="1" si="51"/>
        <v>5760</v>
      </c>
      <c r="S266" s="321">
        <f t="shared" ca="1" si="52"/>
        <v>19</v>
      </c>
    </row>
    <row r="267" spans="1:19">
      <c r="A267" s="673" t="str">
        <f>Sheet1!E245</f>
        <v>S123</v>
      </c>
      <c r="B267" s="673">
        <f>Sheet1!F245</f>
        <v>32.020000000000003</v>
      </c>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ca="1" si="51"/>
        <v>5760</v>
      </c>
      <c r="S267" s="321">
        <f t="shared" ca="1" si="52"/>
        <v>18</v>
      </c>
    </row>
    <row r="268" spans="1:19">
      <c r="A268" s="673" t="str">
        <f>Sheet1!E246</f>
        <v>S124</v>
      </c>
      <c r="B268" s="673">
        <f>Sheet1!F246</f>
        <v>32.020000000000003</v>
      </c>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ca="1" si="51"/>
        <v>5760</v>
      </c>
      <c r="S268" s="321">
        <f t="shared" ca="1" si="52"/>
        <v>18</v>
      </c>
    </row>
    <row r="269" spans="1:19">
      <c r="A269" s="673" t="str">
        <f>Sheet1!E247</f>
        <v>S129</v>
      </c>
      <c r="B269" s="673">
        <f>Sheet1!F247</f>
        <v>32.020000000000003</v>
      </c>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ca="1" si="51"/>
        <v>5760</v>
      </c>
      <c r="S269" s="321">
        <f t="shared" ca="1" si="52"/>
        <v>18</v>
      </c>
    </row>
    <row r="270" spans="1:19">
      <c r="A270" s="673" t="str">
        <f>Sheet1!E248</f>
        <v>S130</v>
      </c>
      <c r="B270" s="673">
        <f>Sheet1!F248</f>
        <v>32.020000000000003</v>
      </c>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ca="1" si="51"/>
        <v>5760</v>
      </c>
      <c r="S270" s="321">
        <f t="shared" ca="1" si="52"/>
        <v>18</v>
      </c>
    </row>
    <row r="271" spans="1:19">
      <c r="A271" s="673" t="str">
        <f>Sheet1!E249</f>
        <v>S131</v>
      </c>
      <c r="B271" s="673">
        <f>Sheet1!F249</f>
        <v>32.020000000000003</v>
      </c>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ca="1" si="51"/>
        <v>5760</v>
      </c>
      <c r="S271" s="321">
        <f t="shared" ca="1" si="52"/>
        <v>18</v>
      </c>
    </row>
    <row r="272" spans="1:19">
      <c r="A272" s="673" t="str">
        <f>Sheet1!E250</f>
        <v>S132</v>
      </c>
      <c r="B272" s="673">
        <f>Sheet1!F250</f>
        <v>32.020000000000003</v>
      </c>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ca="1" si="51"/>
        <v>5760</v>
      </c>
      <c r="S272" s="321">
        <f t="shared" ca="1" si="52"/>
        <v>18</v>
      </c>
    </row>
    <row r="273" spans="1:19">
      <c r="A273" s="673" t="str">
        <f>Sheet1!E251</f>
        <v>S134</v>
      </c>
      <c r="B273" s="673">
        <f>Sheet1!F251</f>
        <v>32.020000000000003</v>
      </c>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ca="1" si="51"/>
        <v>5760</v>
      </c>
      <c r="S273" s="321">
        <f t="shared" ca="1" si="52"/>
        <v>18</v>
      </c>
    </row>
    <row r="274" spans="1:19">
      <c r="A274" s="673" t="str">
        <f>Sheet1!E252</f>
        <v>S135</v>
      </c>
      <c r="B274" s="673">
        <f>Sheet1!F252</f>
        <v>32.020000000000003</v>
      </c>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ca="1" si="51"/>
        <v>5760</v>
      </c>
      <c r="S274" s="321">
        <f t="shared" ca="1" si="52"/>
        <v>18</v>
      </c>
    </row>
    <row r="275" spans="1:19">
      <c r="A275" s="673" t="str">
        <f>Sheet1!E253</f>
        <v>S138</v>
      </c>
      <c r="B275" s="673">
        <f>Sheet1!F253</f>
        <v>32.020000000000003</v>
      </c>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ca="1" si="51"/>
        <v>5760</v>
      </c>
      <c r="S275" s="321">
        <f t="shared" ca="1" si="52"/>
        <v>18</v>
      </c>
    </row>
    <row r="276" spans="1:19">
      <c r="A276" s="673" t="str">
        <f>Sheet1!E254</f>
        <v>S140</v>
      </c>
      <c r="B276" s="673">
        <f>Sheet1!F254</f>
        <v>33.36</v>
      </c>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ca="1" si="51"/>
        <v>5760</v>
      </c>
      <c r="S276" s="321">
        <f t="shared" ca="1" si="52"/>
        <v>19</v>
      </c>
    </row>
    <row r="277" spans="1:19">
      <c r="A277" s="673" t="str">
        <f>Sheet1!E255</f>
        <v>T002</v>
      </c>
      <c r="B277" s="673">
        <f>Sheet1!F255</f>
        <v>33.36</v>
      </c>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ca="1" si="51"/>
        <v>5760</v>
      </c>
      <c r="S277" s="321">
        <f t="shared" ca="1" si="52"/>
        <v>19</v>
      </c>
    </row>
    <row r="278" spans="1:19">
      <c r="A278" s="673" t="str">
        <f>Sheet1!E256</f>
        <v>T004</v>
      </c>
      <c r="B278" s="673">
        <f>Sheet1!F256</f>
        <v>33.36</v>
      </c>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ca="1" si="51"/>
        <v>5760</v>
      </c>
      <c r="S278" s="321">
        <f t="shared" ca="1" si="52"/>
        <v>19</v>
      </c>
    </row>
    <row r="279" spans="1:19">
      <c r="A279" s="673" t="str">
        <f>Sheet1!E257</f>
        <v>T008</v>
      </c>
      <c r="B279" s="673">
        <f>Sheet1!F257</f>
        <v>33.36</v>
      </c>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ca="1" si="51"/>
        <v>5760</v>
      </c>
      <c r="S279" s="321">
        <f t="shared" ca="1" si="52"/>
        <v>19</v>
      </c>
    </row>
    <row r="280" spans="1:19">
      <c r="A280" s="673" t="str">
        <f>Sheet1!E258</f>
        <v>T013</v>
      </c>
      <c r="B280" s="673">
        <f>Sheet1!F258</f>
        <v>33.36</v>
      </c>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ca="1" si="51"/>
        <v>5760</v>
      </c>
      <c r="S280" s="321">
        <f t="shared" ca="1" si="52"/>
        <v>19</v>
      </c>
    </row>
    <row r="281" spans="1:19">
      <c r="A281" s="673" t="str">
        <f>Sheet1!E259</f>
        <v>T014</v>
      </c>
      <c r="B281" s="673">
        <f>Sheet1!F259</f>
        <v>33.36</v>
      </c>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ca="1" si="51"/>
        <v>5760</v>
      </c>
      <c r="S281" s="321">
        <f t="shared" ca="1" si="52"/>
        <v>19</v>
      </c>
    </row>
    <row r="282" spans="1:19">
      <c r="A282" s="673" t="str">
        <f>Sheet1!E260</f>
        <v>T018</v>
      </c>
      <c r="B282" s="673">
        <f>Sheet1!F260</f>
        <v>33.36</v>
      </c>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ca="1" si="61">IF(B282="",0,ROUND($R$24*C282*E282*G282*I282*K282*M282*O282*Q282,0))</f>
        <v>5760</v>
      </c>
      <c r="S282" s="321">
        <f t="shared" ca="1" si="52"/>
        <v>19</v>
      </c>
    </row>
    <row r="283" spans="1:19">
      <c r="A283" s="673" t="str">
        <f>Sheet1!E261</f>
        <v>T019</v>
      </c>
      <c r="B283" s="673">
        <f>Sheet1!F261</f>
        <v>33.36</v>
      </c>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ca="1" si="61"/>
        <v>5760</v>
      </c>
      <c r="S283" s="321">
        <f t="shared" ca="1" si="52"/>
        <v>19</v>
      </c>
    </row>
    <row r="284" spans="1:19">
      <c r="A284" s="673" t="str">
        <f>Sheet1!E262</f>
        <v>T021</v>
      </c>
      <c r="B284" s="673">
        <f>Sheet1!F262</f>
        <v>32.020000000000003</v>
      </c>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ca="1" si="61"/>
        <v>5760</v>
      </c>
      <c r="S284" s="321">
        <f t="shared" ca="1" si="52"/>
        <v>18</v>
      </c>
    </row>
    <row r="285" spans="1:19">
      <c r="A285" s="673" t="str">
        <f>Sheet1!E263</f>
        <v>T022</v>
      </c>
      <c r="B285" s="673">
        <f>Sheet1!F263</f>
        <v>32.020000000000003</v>
      </c>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ca="1" si="61"/>
        <v>5760</v>
      </c>
      <c r="S285" s="321">
        <f t="shared" ca="1" si="52"/>
        <v>18</v>
      </c>
    </row>
    <row r="286" spans="1:19">
      <c r="A286" s="673" t="str">
        <f>Sheet1!E264</f>
        <v>T023</v>
      </c>
      <c r="B286" s="673">
        <f>Sheet1!F264</f>
        <v>32.020000000000003</v>
      </c>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ca="1" si="61"/>
        <v>5760</v>
      </c>
      <c r="S286" s="321">
        <f t="shared" ca="1" si="52"/>
        <v>18</v>
      </c>
    </row>
    <row r="287" spans="1:19">
      <c r="A287" s="673" t="str">
        <f>Sheet1!E265</f>
        <v>T024</v>
      </c>
      <c r="B287" s="673">
        <f>Sheet1!F265</f>
        <v>32.020000000000003</v>
      </c>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ca="1" si="61"/>
        <v>5760</v>
      </c>
      <c r="S287" s="321">
        <f t="shared" ref="S287:S320" ca="1" si="62">ROUND(R287*B287/10000,0)</f>
        <v>18</v>
      </c>
    </row>
    <row r="288" spans="1:19">
      <c r="A288" s="673" t="str">
        <f>Sheet1!E266</f>
        <v>T025</v>
      </c>
      <c r="B288" s="673">
        <f>Sheet1!F266</f>
        <v>32.020000000000003</v>
      </c>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ca="1" si="61"/>
        <v>5760</v>
      </c>
      <c r="S288" s="321">
        <f t="shared" ca="1" si="62"/>
        <v>18</v>
      </c>
    </row>
    <row r="289" spans="1:19">
      <c r="A289" s="673" t="str">
        <f>Sheet1!E267</f>
        <v>T026</v>
      </c>
      <c r="B289" s="673">
        <f>Sheet1!F267</f>
        <v>32.020000000000003</v>
      </c>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ca="1" si="61"/>
        <v>5760</v>
      </c>
      <c r="S289" s="321">
        <f t="shared" ca="1" si="62"/>
        <v>18</v>
      </c>
    </row>
    <row r="290" spans="1:19">
      <c r="A290" s="673" t="str">
        <f>Sheet1!E268</f>
        <v>T027</v>
      </c>
      <c r="B290" s="673">
        <f>Sheet1!F268</f>
        <v>32.020000000000003</v>
      </c>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ca="1" si="61"/>
        <v>5760</v>
      </c>
      <c r="S290" s="321">
        <f t="shared" ca="1" si="62"/>
        <v>18</v>
      </c>
    </row>
    <row r="291" spans="1:19">
      <c r="A291" s="673" t="str">
        <f>Sheet1!E269</f>
        <v>T028</v>
      </c>
      <c r="B291" s="673">
        <f>Sheet1!F269</f>
        <v>32.020000000000003</v>
      </c>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ca="1" si="61"/>
        <v>5760</v>
      </c>
      <c r="S291" s="321">
        <f t="shared" ca="1" si="62"/>
        <v>18</v>
      </c>
    </row>
    <row r="292" spans="1:19">
      <c r="A292" s="673" t="str">
        <f>Sheet1!E270</f>
        <v>T029</v>
      </c>
      <c r="B292" s="673">
        <f>Sheet1!F270</f>
        <v>32.020000000000003</v>
      </c>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ca="1" si="61"/>
        <v>5760</v>
      </c>
      <c r="S292" s="321">
        <f t="shared" ca="1" si="62"/>
        <v>18</v>
      </c>
    </row>
    <row r="293" spans="1:19">
      <c r="A293" s="673" t="str">
        <f>Sheet1!E271</f>
        <v>T033</v>
      </c>
      <c r="B293" s="673">
        <f>Sheet1!F271</f>
        <v>32.020000000000003</v>
      </c>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ca="1" si="61"/>
        <v>5760</v>
      </c>
      <c r="S293" s="321">
        <f t="shared" ca="1" si="62"/>
        <v>18</v>
      </c>
    </row>
    <row r="294" spans="1:19">
      <c r="A294" s="673" t="str">
        <f>Sheet1!E272</f>
        <v>T040</v>
      </c>
      <c r="B294" s="673">
        <f>Sheet1!F272</f>
        <v>32.020000000000003</v>
      </c>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ca="1" si="61"/>
        <v>5760</v>
      </c>
      <c r="S294" s="321">
        <f t="shared" ca="1" si="62"/>
        <v>18</v>
      </c>
    </row>
    <row r="295" spans="1:19">
      <c r="A295" s="673" t="str">
        <f>Sheet1!E273</f>
        <v>T044</v>
      </c>
      <c r="B295" s="673">
        <f>Sheet1!F273</f>
        <v>32.020000000000003</v>
      </c>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ca="1" si="61"/>
        <v>5760</v>
      </c>
      <c r="S295" s="321">
        <f t="shared" ca="1" si="62"/>
        <v>18</v>
      </c>
    </row>
    <row r="296" spans="1:19">
      <c r="A296" s="673" t="str">
        <f>Sheet1!E274</f>
        <v>T061</v>
      </c>
      <c r="B296" s="673">
        <f>Sheet1!F274</f>
        <v>32.020000000000003</v>
      </c>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ca="1" si="61"/>
        <v>5760</v>
      </c>
      <c r="S296" s="321">
        <f t="shared" ca="1" si="62"/>
        <v>18</v>
      </c>
    </row>
    <row r="297" spans="1:19">
      <c r="A297" s="673" t="str">
        <f>Sheet1!E275</f>
        <v>T062</v>
      </c>
      <c r="B297" s="673">
        <f>Sheet1!F275</f>
        <v>32.020000000000003</v>
      </c>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ca="1" si="61"/>
        <v>5760</v>
      </c>
      <c r="S297" s="321">
        <f t="shared" ca="1" si="62"/>
        <v>18</v>
      </c>
    </row>
    <row r="298" spans="1:19">
      <c r="A298" s="673" t="str">
        <f>Sheet1!E276</f>
        <v>T066</v>
      </c>
      <c r="B298" s="673">
        <f>Sheet1!F276</f>
        <v>32.020000000000003</v>
      </c>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ca="1" si="61"/>
        <v>5760</v>
      </c>
      <c r="S298" s="321">
        <f t="shared" ca="1" si="62"/>
        <v>18</v>
      </c>
    </row>
    <row r="299" spans="1:19">
      <c r="A299" s="673" t="str">
        <f>Sheet1!E277</f>
        <v>T085</v>
      </c>
      <c r="B299" s="673">
        <f>Sheet1!F277</f>
        <v>32.020000000000003</v>
      </c>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ca="1" si="61"/>
        <v>5760</v>
      </c>
      <c r="S299" s="321">
        <f t="shared" ca="1" si="62"/>
        <v>18</v>
      </c>
    </row>
    <row r="300" spans="1:19">
      <c r="A300" s="673" t="str">
        <f>Sheet1!E278</f>
        <v>U003</v>
      </c>
      <c r="B300" s="673">
        <f>Sheet1!F278</f>
        <v>32.020000000000003</v>
      </c>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ca="1" si="61"/>
        <v>5760</v>
      </c>
      <c r="S300" s="321">
        <f t="shared" ca="1" si="62"/>
        <v>18</v>
      </c>
    </row>
    <row r="301" spans="1:19">
      <c r="A301" s="673" t="str">
        <f>Sheet1!E279</f>
        <v>U044</v>
      </c>
      <c r="B301" s="673">
        <f>Sheet1!F279</f>
        <v>32.020000000000003</v>
      </c>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ca="1" si="61"/>
        <v>5760</v>
      </c>
      <c r="S301" s="321">
        <f t="shared" ca="1" si="62"/>
        <v>18</v>
      </c>
    </row>
    <row r="302" spans="1:19">
      <c r="A302" s="673" t="str">
        <f>Sheet1!E280</f>
        <v>U045</v>
      </c>
      <c r="B302" s="673">
        <f>Sheet1!F280</f>
        <v>32.020000000000003</v>
      </c>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ca="1" si="61"/>
        <v>5760</v>
      </c>
      <c r="S302" s="321">
        <f t="shared" ca="1" si="62"/>
        <v>18</v>
      </c>
    </row>
    <row r="303" spans="1:19">
      <c r="A303" s="673" t="str">
        <f>Sheet1!E281</f>
        <v>U046</v>
      </c>
      <c r="B303" s="673">
        <f>Sheet1!F281</f>
        <v>32.020000000000003</v>
      </c>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ca="1" si="61"/>
        <v>5760</v>
      </c>
      <c r="S303" s="321">
        <f t="shared" ca="1" si="62"/>
        <v>18</v>
      </c>
    </row>
    <row r="304" spans="1:19">
      <c r="A304" s="673" t="str">
        <f>Sheet1!E282</f>
        <v>U087</v>
      </c>
      <c r="B304" s="673">
        <f>Sheet1!F282</f>
        <v>32.020000000000003</v>
      </c>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ca="1" si="61"/>
        <v>5760</v>
      </c>
      <c r="S304" s="321">
        <f t="shared" ca="1" si="62"/>
        <v>18</v>
      </c>
    </row>
    <row r="305" spans="1:19">
      <c r="A305" s="673" t="str">
        <f>Sheet1!E283</f>
        <v>U092</v>
      </c>
      <c r="B305" s="673">
        <f>Sheet1!F283</f>
        <v>32.020000000000003</v>
      </c>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ca="1" si="61"/>
        <v>5760</v>
      </c>
      <c r="S305" s="321">
        <f t="shared" ca="1" si="62"/>
        <v>18</v>
      </c>
    </row>
    <row r="306" spans="1:19">
      <c r="A306" s="673" t="str">
        <f>Sheet1!E284</f>
        <v>U094</v>
      </c>
      <c r="B306" s="673">
        <f>Sheet1!F284</f>
        <v>32.020000000000003</v>
      </c>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ca="1" si="61"/>
        <v>5760</v>
      </c>
      <c r="S306" s="321">
        <f t="shared" ca="1" si="62"/>
        <v>18</v>
      </c>
    </row>
    <row r="307" spans="1:19">
      <c r="A307" s="673" t="str">
        <f>Sheet1!E285</f>
        <v>U095</v>
      </c>
      <c r="B307" s="673">
        <f>Sheet1!F285</f>
        <v>32.020000000000003</v>
      </c>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ca="1" si="61"/>
        <v>5760</v>
      </c>
      <c r="S307" s="321">
        <f t="shared" ca="1" si="62"/>
        <v>18</v>
      </c>
    </row>
    <row r="308" spans="1:19">
      <c r="A308" s="673" t="str">
        <f>Sheet1!E286</f>
        <v>U097</v>
      </c>
      <c r="B308" s="673">
        <f>Sheet1!F286</f>
        <v>33.36</v>
      </c>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ca="1" si="61"/>
        <v>5760</v>
      </c>
      <c r="S308" s="321">
        <f t="shared" ca="1" si="62"/>
        <v>19</v>
      </c>
    </row>
    <row r="309" spans="1:19">
      <c r="A309" s="673" t="str">
        <f>Sheet1!E287</f>
        <v>V001</v>
      </c>
      <c r="B309" s="673">
        <f>Sheet1!F287</f>
        <v>32.020000000000003</v>
      </c>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ca="1" si="61"/>
        <v>5760</v>
      </c>
      <c r="S309" s="321">
        <f t="shared" ca="1" si="62"/>
        <v>18</v>
      </c>
    </row>
    <row r="310" spans="1:19">
      <c r="A310" s="673" t="str">
        <f>Sheet1!E288</f>
        <v>V068</v>
      </c>
      <c r="B310" s="673">
        <f>Sheet1!F288</f>
        <v>33.36</v>
      </c>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ca="1" si="61"/>
        <v>5760</v>
      </c>
      <c r="S310" s="321">
        <f t="shared" ca="1" si="62"/>
        <v>19</v>
      </c>
    </row>
    <row r="311" spans="1:19">
      <c r="A311" s="673" t="str">
        <f>Sheet1!E289</f>
        <v>V070</v>
      </c>
      <c r="B311" s="673">
        <f>Sheet1!F289</f>
        <v>27.57</v>
      </c>
      <c r="C311" s="24">
        <f t="shared" si="53"/>
        <v>0.99</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ca="1" si="61"/>
        <v>5702</v>
      </c>
      <c r="S311" s="321">
        <f t="shared" ca="1" si="62"/>
        <v>16</v>
      </c>
    </row>
    <row r="312" spans="1:19">
      <c r="A312" s="673" t="str">
        <f>Sheet1!E290</f>
        <v>V071</v>
      </c>
      <c r="B312" s="673">
        <f>Sheet1!F290</f>
        <v>32.020000000000003</v>
      </c>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ca="1" si="61"/>
        <v>5760</v>
      </c>
      <c r="S312" s="321">
        <f t="shared" ca="1" si="62"/>
        <v>18</v>
      </c>
    </row>
    <row r="313" spans="1:19">
      <c r="A313" s="673" t="str">
        <f>Sheet1!E291</f>
        <v>V072</v>
      </c>
      <c r="B313" s="673">
        <f>Sheet1!F291</f>
        <v>32.020000000000003</v>
      </c>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ca="1" si="61"/>
        <v>5760</v>
      </c>
      <c r="S313" s="321">
        <f t="shared" ca="1" si="62"/>
        <v>18</v>
      </c>
    </row>
    <row r="314" spans="1:19">
      <c r="A314" s="673" t="str">
        <f>Sheet1!E292</f>
        <v>V073</v>
      </c>
      <c r="B314" s="673">
        <f>Sheet1!F292</f>
        <v>32.020000000000003</v>
      </c>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ca="1" si="61"/>
        <v>5760</v>
      </c>
      <c r="S314" s="321">
        <f t="shared" ca="1" si="62"/>
        <v>18</v>
      </c>
    </row>
    <row r="315" spans="1:19">
      <c r="A315" s="673" t="str">
        <f>Sheet1!E293</f>
        <v>V074</v>
      </c>
      <c r="B315" s="673">
        <f>Sheet1!F293</f>
        <v>32.020000000000003</v>
      </c>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ca="1" si="61"/>
        <v>5760</v>
      </c>
      <c r="S315" s="321">
        <f t="shared" ca="1" si="62"/>
        <v>18</v>
      </c>
    </row>
    <row r="316" spans="1:19">
      <c r="A316" s="673">
        <f>Sheet1!E294</f>
        <v>0</v>
      </c>
      <c r="B316" s="673"/>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673" t="str">
        <f>Sheet1!E295</f>
        <v>A1-001</v>
      </c>
      <c r="B317" s="673">
        <f>Sheet1!F295</f>
        <v>37.11</v>
      </c>
      <c r="C317" s="24">
        <f t="shared" si="53"/>
        <v>0.99</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ca="1" si="61"/>
        <v>5702</v>
      </c>
      <c r="S317" s="321">
        <f t="shared" ca="1" si="62"/>
        <v>21</v>
      </c>
    </row>
    <row r="318" spans="1:19">
      <c r="A318" s="673" t="str">
        <f>Sheet1!E296</f>
        <v>A1-002</v>
      </c>
      <c r="B318" s="673">
        <f>Sheet1!F296</f>
        <v>37.11</v>
      </c>
      <c r="C318" s="24">
        <f t="shared" si="53"/>
        <v>0.99</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ca="1" si="61"/>
        <v>5702</v>
      </c>
      <c r="S318" s="321">
        <f t="shared" ca="1" si="62"/>
        <v>21</v>
      </c>
    </row>
    <row r="319" spans="1:19">
      <c r="A319" s="673" t="str">
        <f>Sheet1!E297</f>
        <v>A1-003</v>
      </c>
      <c r="B319" s="673">
        <f>Sheet1!F297</f>
        <v>37.11</v>
      </c>
      <c r="C319" s="24">
        <f t="shared" si="53"/>
        <v>0.99</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ca="1" si="61"/>
        <v>5702</v>
      </c>
      <c r="S319" s="321">
        <f t="shared" ca="1" si="62"/>
        <v>21</v>
      </c>
    </row>
    <row r="320" spans="1:19">
      <c r="A320" s="673" t="str">
        <f>Sheet1!E298</f>
        <v>A1-004</v>
      </c>
      <c r="B320" s="673">
        <f>Sheet1!F298</f>
        <v>37.11</v>
      </c>
      <c r="C320" s="24">
        <f t="shared" si="53"/>
        <v>0.99</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ca="1" si="61"/>
        <v>5702</v>
      </c>
      <c r="S320" s="321">
        <f t="shared" ca="1" si="62"/>
        <v>21</v>
      </c>
    </row>
    <row r="321" spans="1:19">
      <c r="A321" s="673" t="str">
        <f>Sheet1!E299</f>
        <v>A1-006</v>
      </c>
      <c r="B321" s="673">
        <f>Sheet1!F299</f>
        <v>37.11</v>
      </c>
      <c r="C321" s="24">
        <f t="shared" si="53"/>
        <v>0.99</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ca="1" si="61"/>
        <v>5702</v>
      </c>
      <c r="S321" s="321">
        <f t="shared" ref="S321:S384" ca="1" si="63">ROUND(R321*B321/10000,0)</f>
        <v>21</v>
      </c>
    </row>
    <row r="322" spans="1:19">
      <c r="A322" s="673" t="str">
        <f>Sheet1!E300</f>
        <v>A1-007</v>
      </c>
      <c r="B322" s="673">
        <f>Sheet1!F300</f>
        <v>37.11</v>
      </c>
      <c r="C322" s="24">
        <f t="shared" si="53"/>
        <v>0.99</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ca="1" si="61"/>
        <v>5702</v>
      </c>
      <c r="S322" s="321">
        <f t="shared" ca="1" si="63"/>
        <v>21</v>
      </c>
    </row>
    <row r="323" spans="1:19">
      <c r="A323" s="673" t="str">
        <f>Sheet1!E301</f>
        <v>A1-009</v>
      </c>
      <c r="B323" s="673">
        <f>Sheet1!F301</f>
        <v>37.11</v>
      </c>
      <c r="C323" s="24">
        <f t="shared" si="53"/>
        <v>0.99</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ca="1" si="61"/>
        <v>5702</v>
      </c>
      <c r="S323" s="321">
        <f t="shared" ca="1" si="63"/>
        <v>21</v>
      </c>
    </row>
    <row r="324" spans="1:19">
      <c r="A324" s="673" t="str">
        <f>Sheet1!E302</f>
        <v>A1-010</v>
      </c>
      <c r="B324" s="673">
        <f>Sheet1!F302</f>
        <v>37.11</v>
      </c>
      <c r="C324" s="24">
        <f t="shared" si="53"/>
        <v>0.99</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ca="1" si="61"/>
        <v>5702</v>
      </c>
      <c r="S324" s="321">
        <f t="shared" ca="1" si="63"/>
        <v>21</v>
      </c>
    </row>
    <row r="325" spans="1:19">
      <c r="A325" s="673" t="str">
        <f>Sheet1!E303</f>
        <v>A1-012</v>
      </c>
      <c r="B325" s="673">
        <f>Sheet1!F303</f>
        <v>37.11</v>
      </c>
      <c r="C325" s="24">
        <f t="shared" si="53"/>
        <v>0.99</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ca="1" si="61"/>
        <v>5702</v>
      </c>
      <c r="S325" s="321">
        <f t="shared" ca="1" si="63"/>
        <v>21</v>
      </c>
    </row>
    <row r="326" spans="1:19">
      <c r="A326" s="673" t="str">
        <f>Sheet1!E304</f>
        <v>A1-014</v>
      </c>
      <c r="B326" s="673">
        <f>Sheet1!F304</f>
        <v>38.659999999999997</v>
      </c>
      <c r="C326" s="24">
        <f t="shared" si="53"/>
        <v>0.99</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ca="1" si="61"/>
        <v>5702</v>
      </c>
      <c r="S326" s="321">
        <f t="shared" ca="1" si="63"/>
        <v>22</v>
      </c>
    </row>
    <row r="327" spans="1:19">
      <c r="A327" s="673" t="str">
        <f>Sheet1!E305</f>
        <v>A1-015</v>
      </c>
      <c r="B327" s="673">
        <f>Sheet1!F305</f>
        <v>38.659999999999997</v>
      </c>
      <c r="C327" s="24">
        <f t="shared" si="53"/>
        <v>0.99</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ca="1" si="61"/>
        <v>5702</v>
      </c>
      <c r="S327" s="321">
        <f t="shared" ca="1" si="63"/>
        <v>22</v>
      </c>
    </row>
    <row r="328" spans="1:19">
      <c r="A328" s="673" t="str">
        <f>Sheet1!E306</f>
        <v>A1-030</v>
      </c>
      <c r="B328" s="673">
        <f>Sheet1!F306</f>
        <v>37.11</v>
      </c>
      <c r="C328" s="24">
        <f t="shared" si="53"/>
        <v>0.99</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ca="1" si="61"/>
        <v>5702</v>
      </c>
      <c r="S328" s="321">
        <f t="shared" ca="1" si="63"/>
        <v>21</v>
      </c>
    </row>
    <row r="329" spans="1:19">
      <c r="A329" s="673" t="str">
        <f>Sheet1!E307</f>
        <v>A1-031</v>
      </c>
      <c r="B329" s="673">
        <f>Sheet1!F307</f>
        <v>37.11</v>
      </c>
      <c r="C329" s="24">
        <f t="shared" si="53"/>
        <v>0.99</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ca="1" si="61"/>
        <v>5702</v>
      </c>
      <c r="S329" s="321">
        <f t="shared" ca="1" si="63"/>
        <v>21</v>
      </c>
    </row>
    <row r="330" spans="1:19">
      <c r="A330" s="673" t="str">
        <f>Sheet1!E308</f>
        <v>A1-032</v>
      </c>
      <c r="B330" s="673">
        <f>Sheet1!F308</f>
        <v>36.369999999999997</v>
      </c>
      <c r="C330" s="24">
        <f t="shared" si="53"/>
        <v>0.99</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ca="1" si="61"/>
        <v>5702</v>
      </c>
      <c r="S330" s="321">
        <f t="shared" ca="1" si="63"/>
        <v>21</v>
      </c>
    </row>
    <row r="331" spans="1:19">
      <c r="A331" s="673" t="str">
        <f>Sheet1!E309</f>
        <v>A1-046</v>
      </c>
      <c r="B331" s="673">
        <f>Sheet1!F309</f>
        <v>37.11</v>
      </c>
      <c r="C331" s="24">
        <f t="shared" si="53"/>
        <v>0.99</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ca="1" si="61"/>
        <v>5702</v>
      </c>
      <c r="S331" s="321">
        <f t="shared" ca="1" si="63"/>
        <v>21</v>
      </c>
    </row>
    <row r="332" spans="1:19">
      <c r="A332" s="673" t="str">
        <f>Sheet1!E310</f>
        <v>A1-064</v>
      </c>
      <c r="B332" s="673">
        <f>Sheet1!F310</f>
        <v>40.200000000000003</v>
      </c>
      <c r="C332" s="24">
        <f t="shared" si="53"/>
        <v>0.99</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ca="1" si="61"/>
        <v>5702</v>
      </c>
      <c r="S332" s="321">
        <f t="shared" ca="1" si="63"/>
        <v>23</v>
      </c>
    </row>
    <row r="333" spans="1:19">
      <c r="A333" s="673" t="str">
        <f>Sheet1!E311</f>
        <v>A1-087</v>
      </c>
      <c r="B333" s="673">
        <f>Sheet1!F311</f>
        <v>37.11</v>
      </c>
      <c r="C333" s="24">
        <f t="shared" si="53"/>
        <v>0.99</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ca="1" si="61"/>
        <v>5702</v>
      </c>
      <c r="S333" s="321">
        <f t="shared" ca="1" si="63"/>
        <v>21</v>
      </c>
    </row>
    <row r="334" spans="1:19">
      <c r="A334" s="673" t="str">
        <f>Sheet1!E312</f>
        <v>A1-088</v>
      </c>
      <c r="B334" s="673">
        <f>Sheet1!F312</f>
        <v>37.11</v>
      </c>
      <c r="C334" s="24">
        <f t="shared" si="53"/>
        <v>0.99</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ca="1" si="61"/>
        <v>5702</v>
      </c>
      <c r="S334" s="321">
        <f t="shared" ca="1" si="63"/>
        <v>21</v>
      </c>
    </row>
    <row r="335" spans="1:19">
      <c r="A335" s="673" t="str">
        <f>Sheet1!E313</f>
        <v>A1-089</v>
      </c>
      <c r="B335" s="673">
        <f>Sheet1!F313</f>
        <v>37.11</v>
      </c>
      <c r="C335" s="24">
        <f t="shared" si="53"/>
        <v>0.99</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ca="1" si="61"/>
        <v>5702</v>
      </c>
      <c r="S335" s="321">
        <f t="shared" ca="1" si="63"/>
        <v>21</v>
      </c>
    </row>
    <row r="336" spans="1:19">
      <c r="A336" s="673" t="str">
        <f>Sheet1!E314</f>
        <v>B1-001</v>
      </c>
      <c r="B336" s="673">
        <f>Sheet1!F314</f>
        <v>37.49</v>
      </c>
      <c r="C336" s="24">
        <f t="shared" si="53"/>
        <v>0.99</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ca="1" si="61"/>
        <v>5702</v>
      </c>
      <c r="S336" s="321">
        <f t="shared" ca="1" si="63"/>
        <v>21</v>
      </c>
    </row>
    <row r="337" spans="1:19">
      <c r="A337" s="673" t="str">
        <f>Sheet1!E315</f>
        <v>B1-002</v>
      </c>
      <c r="B337" s="673">
        <f>Sheet1!F315</f>
        <v>37.49</v>
      </c>
      <c r="C337" s="24">
        <f t="shared" si="53"/>
        <v>0.99</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ca="1" si="61"/>
        <v>5702</v>
      </c>
      <c r="S337" s="321">
        <f t="shared" ca="1" si="63"/>
        <v>21</v>
      </c>
    </row>
    <row r="338" spans="1:19">
      <c r="A338" s="673" t="str">
        <f>Sheet1!E316</f>
        <v>B1-003</v>
      </c>
      <c r="B338" s="673">
        <f>Sheet1!F316</f>
        <v>37.49</v>
      </c>
      <c r="C338" s="24">
        <f t="shared" si="53"/>
        <v>0.99</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ca="1" si="61"/>
        <v>5702</v>
      </c>
      <c r="S338" s="321">
        <f t="shared" ca="1" si="63"/>
        <v>21</v>
      </c>
    </row>
    <row r="339" spans="1:19">
      <c r="A339" s="673" t="str">
        <f>Sheet1!E317</f>
        <v>B1-004</v>
      </c>
      <c r="B339" s="673">
        <f>Sheet1!F317</f>
        <v>37.49</v>
      </c>
      <c r="C339" s="24">
        <f t="shared" si="53"/>
        <v>0.99</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ca="1" si="61"/>
        <v>5702</v>
      </c>
      <c r="S339" s="321">
        <f t="shared" ca="1" si="63"/>
        <v>21</v>
      </c>
    </row>
    <row r="340" spans="1:19">
      <c r="A340" s="673" t="str">
        <f>Sheet1!E318</f>
        <v>B1-005</v>
      </c>
      <c r="B340" s="673">
        <f>Sheet1!F318</f>
        <v>37.49</v>
      </c>
      <c r="C340" s="24">
        <f t="shared" si="53"/>
        <v>0.99</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ca="1" si="61"/>
        <v>5702</v>
      </c>
      <c r="S340" s="321">
        <f t="shared" ca="1" si="63"/>
        <v>21</v>
      </c>
    </row>
    <row r="341" spans="1:19">
      <c r="A341" s="673" t="str">
        <f>Sheet1!E319</f>
        <v>B1-006</v>
      </c>
      <c r="B341" s="673">
        <f>Sheet1!F319</f>
        <v>37.49</v>
      </c>
      <c r="C341" s="24">
        <f t="shared" si="53"/>
        <v>0.99</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ca="1" si="61"/>
        <v>5702</v>
      </c>
      <c r="S341" s="321">
        <f t="shared" ca="1" si="63"/>
        <v>21</v>
      </c>
    </row>
    <row r="342" spans="1:19">
      <c r="A342" s="673" t="str">
        <f>Sheet1!E320</f>
        <v>B1-007</v>
      </c>
      <c r="B342" s="673">
        <f>Sheet1!F320</f>
        <v>37.49</v>
      </c>
      <c r="C342" s="24">
        <f t="shared" si="53"/>
        <v>0.99</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ca="1" si="61"/>
        <v>5702</v>
      </c>
      <c r="S342" s="321">
        <f t="shared" ca="1" si="63"/>
        <v>21</v>
      </c>
    </row>
    <row r="343" spans="1:19">
      <c r="A343" s="673" t="str">
        <f>Sheet1!E321</f>
        <v>B1-008</v>
      </c>
      <c r="B343" s="673">
        <f>Sheet1!F321</f>
        <v>37.49</v>
      </c>
      <c r="C343" s="24">
        <f t="shared" si="53"/>
        <v>0.99</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ca="1" si="61"/>
        <v>5702</v>
      </c>
      <c r="S343" s="321">
        <f t="shared" ca="1" si="63"/>
        <v>21</v>
      </c>
    </row>
    <row r="344" spans="1:19">
      <c r="A344" s="673" t="str">
        <f>Sheet1!E322</f>
        <v>B1-009</v>
      </c>
      <c r="B344" s="673">
        <f>Sheet1!F322</f>
        <v>37.49</v>
      </c>
      <c r="C344" s="24">
        <f t="shared" si="53"/>
        <v>0.99</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ca="1" si="61"/>
        <v>5702</v>
      </c>
      <c r="S344" s="321">
        <f t="shared" ca="1" si="63"/>
        <v>21</v>
      </c>
    </row>
    <row r="345" spans="1:19">
      <c r="A345" s="673" t="str">
        <f>Sheet1!E323</f>
        <v>B1-010</v>
      </c>
      <c r="B345" s="673">
        <f>Sheet1!F323</f>
        <v>37.49</v>
      </c>
      <c r="C345" s="24">
        <f t="shared" si="53"/>
        <v>0.99</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ca="1" si="61"/>
        <v>5702</v>
      </c>
      <c r="S345" s="321">
        <f t="shared" ca="1" si="63"/>
        <v>21</v>
      </c>
    </row>
    <row r="346" spans="1:19">
      <c r="A346" s="673" t="str">
        <f>Sheet1!E324</f>
        <v>B1-011</v>
      </c>
      <c r="B346" s="673">
        <f>Sheet1!F324</f>
        <v>37.49</v>
      </c>
      <c r="C346" s="24">
        <f t="shared" ref="C346:C409" si="64">IF(B346="",1,(LOOKUP(B346,$3:$3,$4:$4)-LOOKUP($B$24,$3:$3,$4:$4)+100)/100)</f>
        <v>0.99</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ca="1" si="72">IF(B346="",0,ROUND($R$24*C346*E346*G346*I346*K346*M346*O346*Q346,0))</f>
        <v>5702</v>
      </c>
      <c r="S346" s="321">
        <f t="shared" ca="1" si="63"/>
        <v>21</v>
      </c>
    </row>
    <row r="347" spans="1:19">
      <c r="A347" s="673" t="str">
        <f>Sheet1!E325</f>
        <v>B1-013</v>
      </c>
      <c r="B347" s="673">
        <f>Sheet1!F325</f>
        <v>37.49</v>
      </c>
      <c r="C347" s="24">
        <f t="shared" si="64"/>
        <v>0.99</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ca="1" si="72"/>
        <v>5702</v>
      </c>
      <c r="S347" s="321">
        <f t="shared" ca="1" si="63"/>
        <v>21</v>
      </c>
    </row>
    <row r="348" spans="1:19">
      <c r="A348" s="673" t="str">
        <f>Sheet1!E326</f>
        <v>B1-016</v>
      </c>
      <c r="B348" s="673">
        <f>Sheet1!F326</f>
        <v>37.49</v>
      </c>
      <c r="C348" s="24">
        <f t="shared" si="64"/>
        <v>0.99</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ca="1" si="72"/>
        <v>5702</v>
      </c>
      <c r="S348" s="321">
        <f t="shared" ca="1" si="63"/>
        <v>21</v>
      </c>
    </row>
    <row r="349" spans="1:19">
      <c r="A349" s="673" t="str">
        <f>Sheet1!E327</f>
        <v>B1-017</v>
      </c>
      <c r="B349" s="673">
        <f>Sheet1!F327</f>
        <v>37.49</v>
      </c>
      <c r="C349" s="24">
        <f t="shared" si="64"/>
        <v>0.99</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ca="1" si="72"/>
        <v>5702</v>
      </c>
      <c r="S349" s="321">
        <f t="shared" ca="1" si="63"/>
        <v>21</v>
      </c>
    </row>
    <row r="350" spans="1:19">
      <c r="A350" s="673" t="str">
        <f>Sheet1!E328</f>
        <v>B1-018</v>
      </c>
      <c r="B350" s="673">
        <f>Sheet1!F328</f>
        <v>37.49</v>
      </c>
      <c r="C350" s="24">
        <f t="shared" si="64"/>
        <v>0.99</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ca="1" si="72"/>
        <v>5702</v>
      </c>
      <c r="S350" s="321">
        <f t="shared" ca="1" si="63"/>
        <v>21</v>
      </c>
    </row>
    <row r="351" spans="1:19">
      <c r="A351" s="673" t="str">
        <f>Sheet1!E329</f>
        <v>B1-019</v>
      </c>
      <c r="B351" s="673">
        <f>Sheet1!F329</f>
        <v>37.49</v>
      </c>
      <c r="C351" s="24">
        <f t="shared" si="64"/>
        <v>0.99</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ca="1" si="72"/>
        <v>5702</v>
      </c>
      <c r="S351" s="321">
        <f t="shared" ca="1" si="63"/>
        <v>21</v>
      </c>
    </row>
    <row r="352" spans="1:19">
      <c r="A352" s="673" t="str">
        <f>Sheet1!E330</f>
        <v>B1-021</v>
      </c>
      <c r="B352" s="673">
        <f>Sheet1!F330</f>
        <v>37.49</v>
      </c>
      <c r="C352" s="24">
        <f t="shared" si="64"/>
        <v>0.99</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ca="1" si="72"/>
        <v>5702</v>
      </c>
      <c r="S352" s="321">
        <f t="shared" ca="1" si="63"/>
        <v>21</v>
      </c>
    </row>
    <row r="353" spans="1:19">
      <c r="A353" s="673" t="str">
        <f>Sheet1!E331</f>
        <v>B1-022</v>
      </c>
      <c r="B353" s="673">
        <f>Sheet1!F331</f>
        <v>37.49</v>
      </c>
      <c r="C353" s="24">
        <f t="shared" si="64"/>
        <v>0.99</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ca="1" si="72"/>
        <v>5702</v>
      </c>
      <c r="S353" s="321">
        <f t="shared" ca="1" si="63"/>
        <v>21</v>
      </c>
    </row>
    <row r="354" spans="1:19">
      <c r="A354" s="673" t="str">
        <f>Sheet1!E332</f>
        <v>B1-023</v>
      </c>
      <c r="B354" s="673">
        <f>Sheet1!F332</f>
        <v>37.49</v>
      </c>
      <c r="C354" s="24">
        <f t="shared" si="64"/>
        <v>0.99</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ca="1" si="72"/>
        <v>5702</v>
      </c>
      <c r="S354" s="321">
        <f t="shared" ca="1" si="63"/>
        <v>21</v>
      </c>
    </row>
    <row r="355" spans="1:19">
      <c r="A355" s="673" t="str">
        <f>Sheet1!E333</f>
        <v>B1-024</v>
      </c>
      <c r="B355" s="673">
        <f>Sheet1!F333</f>
        <v>37.49</v>
      </c>
      <c r="C355" s="24">
        <f t="shared" si="64"/>
        <v>0.99</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ca="1" si="72"/>
        <v>5702</v>
      </c>
      <c r="S355" s="321">
        <f t="shared" ca="1" si="63"/>
        <v>21</v>
      </c>
    </row>
    <row r="356" spans="1:19">
      <c r="A356" s="673" t="str">
        <f>Sheet1!E334</f>
        <v>B1-025</v>
      </c>
      <c r="B356" s="673">
        <f>Sheet1!F334</f>
        <v>37.49</v>
      </c>
      <c r="C356" s="24">
        <f t="shared" si="64"/>
        <v>0.99</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ca="1" si="72"/>
        <v>5702</v>
      </c>
      <c r="S356" s="321">
        <f t="shared" ca="1" si="63"/>
        <v>21</v>
      </c>
    </row>
    <row r="357" spans="1:19">
      <c r="A357" s="673" t="str">
        <f>Sheet1!E335</f>
        <v>B1-026</v>
      </c>
      <c r="B357" s="673">
        <f>Sheet1!F335</f>
        <v>35.99</v>
      </c>
      <c r="C357" s="24">
        <f t="shared" si="64"/>
        <v>0.99</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ca="1" si="72"/>
        <v>5702</v>
      </c>
      <c r="S357" s="321">
        <f t="shared" ca="1" si="63"/>
        <v>21</v>
      </c>
    </row>
    <row r="358" spans="1:19">
      <c r="A358" s="673" t="str">
        <f>Sheet1!E336</f>
        <v>B1-032</v>
      </c>
      <c r="B358" s="673">
        <f>Sheet1!F336</f>
        <v>35.99</v>
      </c>
      <c r="C358" s="24">
        <f t="shared" si="64"/>
        <v>0.99</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ca="1" si="72"/>
        <v>5702</v>
      </c>
      <c r="S358" s="321">
        <f t="shared" ca="1" si="63"/>
        <v>21</v>
      </c>
    </row>
    <row r="359" spans="1:19">
      <c r="A359" s="673" t="str">
        <f>Sheet1!E337</f>
        <v>B1-033</v>
      </c>
      <c r="B359" s="673">
        <f>Sheet1!F337</f>
        <v>35.99</v>
      </c>
      <c r="C359" s="24">
        <f t="shared" si="64"/>
        <v>0.99</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ca="1" si="72"/>
        <v>5702</v>
      </c>
      <c r="S359" s="321">
        <f t="shared" ca="1" si="63"/>
        <v>21</v>
      </c>
    </row>
    <row r="360" spans="1:19">
      <c r="A360" s="673" t="str">
        <f>Sheet1!E338</f>
        <v>B1-034</v>
      </c>
      <c r="B360" s="673">
        <f>Sheet1!F338</f>
        <v>35.99</v>
      </c>
      <c r="C360" s="24">
        <f t="shared" si="64"/>
        <v>0.99</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ca="1" si="72"/>
        <v>5702</v>
      </c>
      <c r="S360" s="321">
        <f t="shared" ca="1" si="63"/>
        <v>21</v>
      </c>
    </row>
    <row r="361" spans="1:19">
      <c r="A361" s="673" t="str">
        <f>Sheet1!E339</f>
        <v>B1-035</v>
      </c>
      <c r="B361" s="673">
        <f>Sheet1!F339</f>
        <v>35.99</v>
      </c>
      <c r="C361" s="24">
        <f t="shared" si="64"/>
        <v>0.99</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ca="1" si="72"/>
        <v>5702</v>
      </c>
      <c r="S361" s="321">
        <f t="shared" ca="1" si="63"/>
        <v>21</v>
      </c>
    </row>
    <row r="362" spans="1:19">
      <c r="A362" s="673" t="str">
        <f>Sheet1!E340</f>
        <v>B1-036</v>
      </c>
      <c r="B362" s="673">
        <f>Sheet1!F340</f>
        <v>35.99</v>
      </c>
      <c r="C362" s="24">
        <f t="shared" si="64"/>
        <v>0.99</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ca="1" si="72"/>
        <v>5702</v>
      </c>
      <c r="S362" s="321">
        <f t="shared" ca="1" si="63"/>
        <v>21</v>
      </c>
    </row>
    <row r="363" spans="1:19">
      <c r="A363" s="673" t="str">
        <f>Sheet1!E341</f>
        <v>B1-037</v>
      </c>
      <c r="B363" s="673">
        <f>Sheet1!F341</f>
        <v>35.99</v>
      </c>
      <c r="C363" s="24">
        <f t="shared" si="64"/>
        <v>0.99</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ca="1" si="72"/>
        <v>5702</v>
      </c>
      <c r="S363" s="321">
        <f t="shared" ca="1" si="63"/>
        <v>21</v>
      </c>
    </row>
    <row r="364" spans="1:19">
      <c r="A364" s="673" t="str">
        <f>Sheet1!E342</f>
        <v>B1-039</v>
      </c>
      <c r="B364" s="673">
        <f>Sheet1!F342</f>
        <v>35.99</v>
      </c>
      <c r="C364" s="24">
        <f t="shared" si="64"/>
        <v>0.99</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ca="1" si="72"/>
        <v>5702</v>
      </c>
      <c r="S364" s="321">
        <f t="shared" ca="1" si="63"/>
        <v>21</v>
      </c>
    </row>
    <row r="365" spans="1:19">
      <c r="A365" s="673" t="str">
        <f>Sheet1!E343</f>
        <v>B1-040</v>
      </c>
      <c r="B365" s="673">
        <f>Sheet1!F343</f>
        <v>35.99</v>
      </c>
      <c r="C365" s="24">
        <f t="shared" si="64"/>
        <v>0.99</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ca="1" si="72"/>
        <v>5702</v>
      </c>
      <c r="S365" s="321">
        <f t="shared" ca="1" si="63"/>
        <v>21</v>
      </c>
    </row>
    <row r="366" spans="1:19">
      <c r="A366" s="673" t="str">
        <f>Sheet1!E344</f>
        <v>B1-062</v>
      </c>
      <c r="B366" s="673">
        <f>Sheet1!F344</f>
        <v>35.99</v>
      </c>
      <c r="C366" s="24">
        <f t="shared" si="64"/>
        <v>0.99</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ca="1" si="72"/>
        <v>5702</v>
      </c>
      <c r="S366" s="321">
        <f t="shared" ca="1" si="63"/>
        <v>21</v>
      </c>
    </row>
    <row r="367" spans="1:19">
      <c r="A367" s="673" t="str">
        <f>Sheet1!E345</f>
        <v>B1-063</v>
      </c>
      <c r="B367" s="673">
        <f>Sheet1!F345</f>
        <v>35.99</v>
      </c>
      <c r="C367" s="24">
        <f t="shared" si="64"/>
        <v>0.99</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ca="1" si="72"/>
        <v>5702</v>
      </c>
      <c r="S367" s="321">
        <f t="shared" ca="1" si="63"/>
        <v>21</v>
      </c>
    </row>
    <row r="368" spans="1:19">
      <c r="A368" s="673" t="str">
        <f>Sheet1!E346</f>
        <v>B1-065</v>
      </c>
      <c r="B368" s="673">
        <f>Sheet1!F346</f>
        <v>35.99</v>
      </c>
      <c r="C368" s="24">
        <f t="shared" si="64"/>
        <v>0.99</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ca="1" si="72"/>
        <v>5702</v>
      </c>
      <c r="S368" s="321">
        <f t="shared" ca="1" si="63"/>
        <v>21</v>
      </c>
    </row>
    <row r="369" spans="1:19">
      <c r="A369" s="673" t="str">
        <f>Sheet1!E347</f>
        <v>B1-066</v>
      </c>
      <c r="B369" s="673">
        <f>Sheet1!F347</f>
        <v>35.99</v>
      </c>
      <c r="C369" s="24">
        <f t="shared" si="64"/>
        <v>0.99</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ca="1" si="72"/>
        <v>5702</v>
      </c>
      <c r="S369" s="321">
        <f t="shared" ca="1" si="63"/>
        <v>21</v>
      </c>
    </row>
    <row r="370" spans="1:19">
      <c r="A370" s="673" t="str">
        <f>Sheet1!E348</f>
        <v>B1-069</v>
      </c>
      <c r="B370" s="673">
        <f>Sheet1!F348</f>
        <v>35.99</v>
      </c>
      <c r="C370" s="24">
        <f t="shared" si="64"/>
        <v>0.99</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ca="1" si="72"/>
        <v>5702</v>
      </c>
      <c r="S370" s="321">
        <f t="shared" ca="1" si="63"/>
        <v>21</v>
      </c>
    </row>
    <row r="371" spans="1:19">
      <c r="A371" s="673" t="str">
        <f>Sheet1!E349</f>
        <v>B1-083</v>
      </c>
      <c r="B371" s="673">
        <f>Sheet1!F349</f>
        <v>35.99</v>
      </c>
      <c r="C371" s="24">
        <f t="shared" si="64"/>
        <v>0.99</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ca="1" si="72"/>
        <v>5702</v>
      </c>
      <c r="S371" s="321">
        <f t="shared" ca="1" si="63"/>
        <v>21</v>
      </c>
    </row>
    <row r="372" spans="1:19">
      <c r="A372" s="673" t="str">
        <f>Sheet1!E350</f>
        <v>B1-087</v>
      </c>
      <c r="B372" s="673">
        <f>Sheet1!F350</f>
        <v>35.99</v>
      </c>
      <c r="C372" s="24">
        <f t="shared" si="64"/>
        <v>0.99</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ca="1" si="72"/>
        <v>5702</v>
      </c>
      <c r="S372" s="321">
        <f t="shared" ca="1" si="63"/>
        <v>21</v>
      </c>
    </row>
    <row r="373" spans="1:19">
      <c r="A373" s="673" t="str">
        <f>Sheet1!E351</f>
        <v>B1-088</v>
      </c>
      <c r="B373" s="673">
        <f>Sheet1!F351</f>
        <v>35.99</v>
      </c>
      <c r="C373" s="24">
        <f t="shared" si="64"/>
        <v>0.99</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ca="1" si="72"/>
        <v>5702</v>
      </c>
      <c r="S373" s="321">
        <f t="shared" ca="1" si="63"/>
        <v>21</v>
      </c>
    </row>
    <row r="374" spans="1:19">
      <c r="A374" s="673" t="str">
        <f>Sheet1!E352</f>
        <v>B1-089</v>
      </c>
      <c r="B374" s="673">
        <f>Sheet1!F352</f>
        <v>35.99</v>
      </c>
      <c r="C374" s="24">
        <f t="shared" si="64"/>
        <v>0.99</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ca="1" si="72"/>
        <v>5702</v>
      </c>
      <c r="S374" s="321">
        <f t="shared" ca="1" si="63"/>
        <v>21</v>
      </c>
    </row>
    <row r="375" spans="1:19">
      <c r="A375" s="673" t="str">
        <f>Sheet1!E353</f>
        <v>B1-090</v>
      </c>
      <c r="B375" s="673">
        <f>Sheet1!F353</f>
        <v>35.99</v>
      </c>
      <c r="C375" s="24">
        <f t="shared" si="64"/>
        <v>0.99</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ca="1" si="72"/>
        <v>5702</v>
      </c>
      <c r="S375" s="321">
        <f t="shared" ca="1" si="63"/>
        <v>21</v>
      </c>
    </row>
    <row r="376" spans="1:19">
      <c r="A376" s="673" t="str">
        <f>Sheet1!E354</f>
        <v>B1-108</v>
      </c>
      <c r="B376" s="673">
        <f>Sheet1!F354</f>
        <v>35.99</v>
      </c>
      <c r="C376" s="24">
        <f t="shared" si="64"/>
        <v>0.99</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ca="1" si="72"/>
        <v>5702</v>
      </c>
      <c r="S376" s="321">
        <f t="shared" ca="1" si="63"/>
        <v>21</v>
      </c>
    </row>
    <row r="377" spans="1:19">
      <c r="A377" s="673" t="str">
        <f>Sheet1!E355</f>
        <v>B1-109</v>
      </c>
      <c r="B377" s="673">
        <f>Sheet1!F355</f>
        <v>35.99</v>
      </c>
      <c r="C377" s="24">
        <f t="shared" si="64"/>
        <v>0.99</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ca="1" si="72"/>
        <v>5702</v>
      </c>
      <c r="S377" s="321">
        <f t="shared" ca="1" si="63"/>
        <v>21</v>
      </c>
    </row>
    <row r="378" spans="1:19">
      <c r="A378" s="673" t="str">
        <f>Sheet1!E356</f>
        <v>B1-110</v>
      </c>
      <c r="B378" s="673">
        <f>Sheet1!F356</f>
        <v>35.99</v>
      </c>
      <c r="C378" s="24">
        <f t="shared" si="64"/>
        <v>0.99</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ca="1" si="72"/>
        <v>5702</v>
      </c>
      <c r="S378" s="321">
        <f t="shared" ca="1" si="63"/>
        <v>21</v>
      </c>
    </row>
    <row r="379" spans="1:19">
      <c r="A379" s="673" t="str">
        <f>Sheet1!E357</f>
        <v>B1-111</v>
      </c>
      <c r="B379" s="673">
        <f>Sheet1!F357</f>
        <v>35.99</v>
      </c>
      <c r="C379" s="24">
        <f t="shared" si="64"/>
        <v>0.99</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ca="1" si="72"/>
        <v>5702</v>
      </c>
      <c r="S379" s="321">
        <f t="shared" ca="1" si="63"/>
        <v>21</v>
      </c>
    </row>
    <row r="380" spans="1:19">
      <c r="A380" s="673" t="str">
        <f>Sheet1!E358</f>
        <v>B1-113</v>
      </c>
      <c r="B380" s="673">
        <f>Sheet1!F358</f>
        <v>35.99</v>
      </c>
      <c r="C380" s="24">
        <f t="shared" si="64"/>
        <v>0.99</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ca="1" si="72"/>
        <v>5702</v>
      </c>
      <c r="S380" s="321">
        <f t="shared" ca="1" si="63"/>
        <v>21</v>
      </c>
    </row>
    <row r="381" spans="1:19">
      <c r="A381" s="673" t="str">
        <f>Sheet1!E359</f>
        <v>C1-001</v>
      </c>
      <c r="B381" s="673">
        <f>Sheet1!F359</f>
        <v>37.11</v>
      </c>
      <c r="C381" s="24">
        <f t="shared" si="64"/>
        <v>0.99</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ca="1" si="72"/>
        <v>5702</v>
      </c>
      <c r="S381" s="321">
        <f t="shared" ca="1" si="63"/>
        <v>21</v>
      </c>
    </row>
    <row r="382" spans="1:19">
      <c r="A382" s="673" t="str">
        <f>Sheet1!E360</f>
        <v>C1-002</v>
      </c>
      <c r="B382" s="673">
        <f>Sheet1!F360</f>
        <v>37.11</v>
      </c>
      <c r="C382" s="24">
        <f t="shared" si="64"/>
        <v>0.99</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ca="1" si="72"/>
        <v>5702</v>
      </c>
      <c r="S382" s="321">
        <f t="shared" ca="1" si="63"/>
        <v>21</v>
      </c>
    </row>
    <row r="383" spans="1:19">
      <c r="A383" s="673" t="str">
        <f>Sheet1!E361</f>
        <v>C1-003</v>
      </c>
      <c r="B383" s="673">
        <f>Sheet1!F361</f>
        <v>37.11</v>
      </c>
      <c r="C383" s="24">
        <f t="shared" si="64"/>
        <v>0.99</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ca="1" si="72"/>
        <v>5702</v>
      </c>
      <c r="S383" s="321">
        <f t="shared" ca="1" si="63"/>
        <v>21</v>
      </c>
    </row>
    <row r="384" spans="1:19">
      <c r="A384" s="673" t="str">
        <f>Sheet1!E362</f>
        <v>C1-004</v>
      </c>
      <c r="B384" s="673">
        <f>Sheet1!F362</f>
        <v>37.11</v>
      </c>
      <c r="C384" s="24">
        <f t="shared" si="64"/>
        <v>0.99</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ca="1" si="72"/>
        <v>5702</v>
      </c>
      <c r="S384" s="321">
        <f t="shared" ca="1" si="63"/>
        <v>21</v>
      </c>
    </row>
    <row r="385" spans="1:19">
      <c r="A385" s="673" t="str">
        <f>Sheet1!E363</f>
        <v>C1-005</v>
      </c>
      <c r="B385" s="673">
        <f>Sheet1!F363</f>
        <v>37.11</v>
      </c>
      <c r="C385" s="24">
        <f t="shared" si="64"/>
        <v>0.99</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ca="1" si="72"/>
        <v>5702</v>
      </c>
      <c r="S385" s="321">
        <f t="shared" ref="S385:S422" ca="1" si="73">ROUND(R385*B385/10000,0)</f>
        <v>21</v>
      </c>
    </row>
    <row r="386" spans="1:19">
      <c r="A386" s="673" t="str">
        <f>Sheet1!E364</f>
        <v>C1-006</v>
      </c>
      <c r="B386" s="673">
        <f>Sheet1!F364</f>
        <v>37.11</v>
      </c>
      <c r="C386" s="24">
        <f t="shared" si="64"/>
        <v>0.99</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ca="1" si="72"/>
        <v>5702</v>
      </c>
      <c r="S386" s="321">
        <f t="shared" ca="1" si="73"/>
        <v>21</v>
      </c>
    </row>
    <row r="387" spans="1:19">
      <c r="A387" s="673" t="str">
        <f>Sheet1!E365</f>
        <v>C1-007</v>
      </c>
      <c r="B387" s="673">
        <f>Sheet1!F365</f>
        <v>37.11</v>
      </c>
      <c r="C387" s="24">
        <f t="shared" si="64"/>
        <v>0.99</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ca="1" si="72"/>
        <v>5702</v>
      </c>
      <c r="S387" s="321">
        <f t="shared" ca="1" si="73"/>
        <v>21</v>
      </c>
    </row>
    <row r="388" spans="1:19">
      <c r="A388" s="673" t="str">
        <f>Sheet1!E366</f>
        <v>C1-008</v>
      </c>
      <c r="B388" s="673">
        <f>Sheet1!F366</f>
        <v>37.11</v>
      </c>
      <c r="C388" s="24">
        <f t="shared" si="64"/>
        <v>0.99</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ca="1" si="72"/>
        <v>5702</v>
      </c>
      <c r="S388" s="321">
        <f t="shared" ca="1" si="73"/>
        <v>21</v>
      </c>
    </row>
    <row r="389" spans="1:19">
      <c r="A389" s="673" t="str">
        <f>Sheet1!E367</f>
        <v>C1-009</v>
      </c>
      <c r="B389" s="673">
        <f>Sheet1!F367</f>
        <v>37.11</v>
      </c>
      <c r="C389" s="24">
        <f t="shared" si="64"/>
        <v>0.99</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ca="1" si="72"/>
        <v>5702</v>
      </c>
      <c r="S389" s="321">
        <f t="shared" ca="1" si="73"/>
        <v>21</v>
      </c>
    </row>
    <row r="390" spans="1:19">
      <c r="A390" s="673" t="str">
        <f>Sheet1!E368</f>
        <v>C1-023</v>
      </c>
      <c r="B390" s="673">
        <f>Sheet1!F368</f>
        <v>37.11</v>
      </c>
      <c r="C390" s="24">
        <f t="shared" si="64"/>
        <v>0.99</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ca="1" si="72"/>
        <v>5702</v>
      </c>
      <c r="S390" s="321">
        <f t="shared" ca="1" si="73"/>
        <v>21</v>
      </c>
    </row>
    <row r="391" spans="1:19">
      <c r="A391" s="673" t="str">
        <f>Sheet1!E369</f>
        <v>C1-026</v>
      </c>
      <c r="B391" s="673">
        <f>Sheet1!F369</f>
        <v>37.11</v>
      </c>
      <c r="C391" s="24">
        <f t="shared" si="64"/>
        <v>0.99</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ca="1" si="72"/>
        <v>5702</v>
      </c>
      <c r="S391" s="321">
        <f t="shared" ca="1" si="73"/>
        <v>21</v>
      </c>
    </row>
    <row r="392" spans="1:19">
      <c r="A392" s="673" t="str">
        <f>Sheet1!E370</f>
        <v>C1-027</v>
      </c>
      <c r="B392" s="673">
        <f>Sheet1!F370</f>
        <v>37.11</v>
      </c>
      <c r="C392" s="24">
        <f t="shared" si="64"/>
        <v>0.99</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ca="1" si="72"/>
        <v>5702</v>
      </c>
      <c r="S392" s="321">
        <f t="shared" ca="1" si="73"/>
        <v>21</v>
      </c>
    </row>
    <row r="393" spans="1:19">
      <c r="A393" s="673" t="str">
        <f>Sheet1!E371</f>
        <v>C1-028</v>
      </c>
      <c r="B393" s="673">
        <f>Sheet1!F371</f>
        <v>37.11</v>
      </c>
      <c r="C393" s="24">
        <f t="shared" si="64"/>
        <v>0.99</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ca="1" si="72"/>
        <v>5702</v>
      </c>
      <c r="S393" s="321">
        <f t="shared" ca="1" si="73"/>
        <v>21</v>
      </c>
    </row>
    <row r="394" spans="1:19">
      <c r="A394" s="673" t="str">
        <f>Sheet1!E372</f>
        <v>C1-029</v>
      </c>
      <c r="B394" s="673">
        <f>Sheet1!F372</f>
        <v>37.11</v>
      </c>
      <c r="C394" s="24">
        <f t="shared" si="64"/>
        <v>0.99</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ca="1" si="72"/>
        <v>5702</v>
      </c>
      <c r="S394" s="321">
        <f t="shared" ca="1" si="73"/>
        <v>21</v>
      </c>
    </row>
    <row r="395" spans="1:19">
      <c r="A395" s="673" t="str">
        <f>Sheet1!E373</f>
        <v>C1-031</v>
      </c>
      <c r="B395" s="673">
        <f>Sheet1!F373</f>
        <v>37.11</v>
      </c>
      <c r="C395" s="24">
        <f t="shared" si="64"/>
        <v>0.99</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ca="1" si="72"/>
        <v>5702</v>
      </c>
      <c r="S395" s="321">
        <f t="shared" ca="1" si="73"/>
        <v>21</v>
      </c>
    </row>
    <row r="396" spans="1:19">
      <c r="A396" s="673" t="str">
        <f>Sheet1!E374</f>
        <v>C1-038</v>
      </c>
      <c r="B396" s="673">
        <f>Sheet1!F374</f>
        <v>37.11</v>
      </c>
      <c r="C396" s="24">
        <f t="shared" si="64"/>
        <v>0.99</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ca="1" si="72"/>
        <v>5702</v>
      </c>
      <c r="S396" s="321">
        <f t="shared" ca="1" si="73"/>
        <v>21</v>
      </c>
    </row>
    <row r="397" spans="1:19">
      <c r="A397" s="673" t="str">
        <f>Sheet1!E375</f>
        <v>C1-047</v>
      </c>
      <c r="B397" s="673">
        <f>Sheet1!F375</f>
        <v>37.11</v>
      </c>
      <c r="C397" s="24">
        <f t="shared" si="64"/>
        <v>0.99</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ca="1" si="72"/>
        <v>5702</v>
      </c>
      <c r="S397" s="321">
        <f t="shared" ca="1" si="73"/>
        <v>21</v>
      </c>
    </row>
    <row r="398" spans="1:19">
      <c r="A398" s="673" t="str">
        <f>Sheet1!E376</f>
        <v>C1-055</v>
      </c>
      <c r="B398" s="673">
        <f>Sheet1!F376</f>
        <v>36.340000000000003</v>
      </c>
      <c r="C398" s="24">
        <f t="shared" si="64"/>
        <v>0.99</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ca="1" si="72"/>
        <v>5702</v>
      </c>
      <c r="S398" s="321">
        <f t="shared" ca="1" si="73"/>
        <v>21</v>
      </c>
    </row>
    <row r="399" spans="1:19">
      <c r="A399" s="673" t="str">
        <f>Sheet1!E377</f>
        <v>C1-056</v>
      </c>
      <c r="B399" s="673">
        <f>Sheet1!F377</f>
        <v>36.340000000000003</v>
      </c>
      <c r="C399" s="24">
        <f t="shared" si="64"/>
        <v>0.99</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ca="1" si="72"/>
        <v>5702</v>
      </c>
      <c r="S399" s="321">
        <f t="shared" ca="1" si="73"/>
        <v>21</v>
      </c>
    </row>
    <row r="400" spans="1:19">
      <c r="A400" s="673" t="str">
        <f>Sheet1!E378</f>
        <v>C1-057</v>
      </c>
      <c r="B400" s="673">
        <f>Sheet1!F378</f>
        <v>36.340000000000003</v>
      </c>
      <c r="C400" s="24">
        <f t="shared" si="64"/>
        <v>0.99</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ca="1" si="72"/>
        <v>5702</v>
      </c>
      <c r="S400" s="321">
        <f t="shared" ca="1" si="73"/>
        <v>21</v>
      </c>
    </row>
    <row r="401" spans="1:19">
      <c r="A401" s="673" t="str">
        <f>Sheet1!E379</f>
        <v>C1-058</v>
      </c>
      <c r="B401" s="673">
        <f>Sheet1!F379</f>
        <v>36.340000000000003</v>
      </c>
      <c r="C401" s="24">
        <f t="shared" si="64"/>
        <v>0.99</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ca="1" si="72"/>
        <v>5702</v>
      </c>
      <c r="S401" s="321">
        <f t="shared" ca="1" si="73"/>
        <v>21</v>
      </c>
    </row>
    <row r="402" spans="1:19">
      <c r="A402" s="673" t="str">
        <f>Sheet1!E380</f>
        <v>C1-059</v>
      </c>
      <c r="B402" s="673">
        <f>Sheet1!F380</f>
        <v>36.340000000000003</v>
      </c>
      <c r="C402" s="24">
        <f t="shared" si="64"/>
        <v>0.99</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ca="1" si="72"/>
        <v>5702</v>
      </c>
      <c r="S402" s="321">
        <f t="shared" ca="1" si="73"/>
        <v>21</v>
      </c>
    </row>
    <row r="403" spans="1:19">
      <c r="A403" s="673" t="str">
        <f>Sheet1!E381</f>
        <v>C1-060</v>
      </c>
      <c r="B403" s="673">
        <f>Sheet1!F381</f>
        <v>36.340000000000003</v>
      </c>
      <c r="C403" s="24">
        <f t="shared" si="64"/>
        <v>0.99</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ca="1" si="72"/>
        <v>5702</v>
      </c>
      <c r="S403" s="321">
        <f t="shared" ca="1" si="73"/>
        <v>21</v>
      </c>
    </row>
    <row r="404" spans="1:19">
      <c r="A404" s="673" t="str">
        <f>Sheet1!E382</f>
        <v>C1-062</v>
      </c>
      <c r="B404" s="673">
        <f>Sheet1!F382</f>
        <v>36.340000000000003</v>
      </c>
      <c r="C404" s="24">
        <f t="shared" si="64"/>
        <v>0.99</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ca="1" si="72"/>
        <v>5702</v>
      </c>
      <c r="S404" s="321">
        <f t="shared" ca="1" si="73"/>
        <v>21</v>
      </c>
    </row>
    <row r="405" spans="1:19">
      <c r="A405" s="673" t="str">
        <f>Sheet1!E383</f>
        <v>C1-065</v>
      </c>
      <c r="B405" s="673">
        <f>Sheet1!F383</f>
        <v>38.659999999999997</v>
      </c>
      <c r="C405" s="24">
        <f t="shared" si="64"/>
        <v>0.99</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ca="1" si="72"/>
        <v>5702</v>
      </c>
      <c r="S405" s="321">
        <f t="shared" ca="1" si="73"/>
        <v>22</v>
      </c>
    </row>
    <row r="406" spans="1:19">
      <c r="A406" s="673" t="str">
        <f>Sheet1!E384</f>
        <v>C1-068</v>
      </c>
      <c r="B406" s="673">
        <f>Sheet1!F384</f>
        <v>38.659999999999997</v>
      </c>
      <c r="C406" s="24">
        <f t="shared" si="64"/>
        <v>0.99</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ca="1" si="72"/>
        <v>5702</v>
      </c>
      <c r="S406" s="321">
        <f t="shared" ca="1" si="73"/>
        <v>22</v>
      </c>
    </row>
    <row r="407" spans="1:19">
      <c r="A407" s="673" t="str">
        <f>Sheet1!E385</f>
        <v>C1-071</v>
      </c>
      <c r="B407" s="673">
        <f>Sheet1!F385</f>
        <v>38.659999999999997</v>
      </c>
      <c r="C407" s="24">
        <f t="shared" si="64"/>
        <v>0.99</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ca="1" si="72"/>
        <v>5702</v>
      </c>
      <c r="S407" s="321">
        <f t="shared" ca="1" si="73"/>
        <v>22</v>
      </c>
    </row>
    <row r="408" spans="1:19">
      <c r="A408" s="673" t="str">
        <f>Sheet1!E386</f>
        <v>C1-072</v>
      </c>
      <c r="B408" s="673">
        <f>Sheet1!F386</f>
        <v>38.659999999999997</v>
      </c>
      <c r="C408" s="24">
        <f t="shared" si="64"/>
        <v>0.99</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ca="1" si="72"/>
        <v>5702</v>
      </c>
      <c r="S408" s="321">
        <f t="shared" ca="1" si="73"/>
        <v>22</v>
      </c>
    </row>
    <row r="409" spans="1:19">
      <c r="A409" s="673" t="str">
        <f>Sheet1!E387</f>
        <v>C1-073</v>
      </c>
      <c r="B409" s="673">
        <f>Sheet1!F387</f>
        <v>36.340000000000003</v>
      </c>
      <c r="C409" s="24">
        <f t="shared" si="64"/>
        <v>0.99</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ca="1" si="72"/>
        <v>5702</v>
      </c>
      <c r="S409" s="321">
        <f t="shared" ca="1" si="73"/>
        <v>21</v>
      </c>
    </row>
    <row r="410" spans="1:19">
      <c r="A410" s="673" t="str">
        <f>Sheet1!E388</f>
        <v>C1-074</v>
      </c>
      <c r="B410" s="673">
        <f>Sheet1!F388</f>
        <v>36.340000000000003</v>
      </c>
      <c r="C410" s="24">
        <f t="shared" ref="C410:C473" si="74">IF(B410="",1,(LOOKUP(B410,$3:$3,$4:$4)-LOOKUP($B$24,$3:$3,$4:$4)+100)/100)</f>
        <v>0.99</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ca="1" si="82">IF(B410="",0,ROUND($R$24*C410*E410*G410*I410*K410*M410*O410*Q410,0))</f>
        <v>5702</v>
      </c>
      <c r="S410" s="321">
        <f t="shared" ca="1" si="73"/>
        <v>21</v>
      </c>
    </row>
    <row r="411" spans="1:19">
      <c r="A411" s="673" t="str">
        <f>Sheet1!E389</f>
        <v>C1-075</v>
      </c>
      <c r="B411" s="673">
        <f>Sheet1!F389</f>
        <v>36.340000000000003</v>
      </c>
      <c r="C411" s="24">
        <f t="shared" si="74"/>
        <v>0.99</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ca="1" si="82"/>
        <v>5702</v>
      </c>
      <c r="S411" s="321">
        <f t="shared" ca="1" si="73"/>
        <v>21</v>
      </c>
    </row>
    <row r="412" spans="1:19">
      <c r="A412" s="673" t="str">
        <f>Sheet1!E390</f>
        <v>C1-076</v>
      </c>
      <c r="B412" s="673">
        <f>Sheet1!F390</f>
        <v>36.340000000000003</v>
      </c>
      <c r="C412" s="24">
        <f t="shared" si="74"/>
        <v>0.99</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ca="1" si="82"/>
        <v>5702</v>
      </c>
      <c r="S412" s="321">
        <f t="shared" ca="1" si="73"/>
        <v>21</v>
      </c>
    </row>
    <row r="413" spans="1:19">
      <c r="A413" s="673" t="str">
        <f>Sheet1!E391</f>
        <v>C1-077</v>
      </c>
      <c r="B413" s="673">
        <f>Sheet1!F391</f>
        <v>36.340000000000003</v>
      </c>
      <c r="C413" s="24">
        <f t="shared" si="74"/>
        <v>0.99</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ca="1" si="82"/>
        <v>5702</v>
      </c>
      <c r="S413" s="321">
        <f t="shared" ca="1" si="73"/>
        <v>21</v>
      </c>
    </row>
    <row r="414" spans="1:19">
      <c r="A414" s="673" t="str">
        <f>Sheet1!E392</f>
        <v>C1-078</v>
      </c>
      <c r="B414" s="673">
        <f>Sheet1!F392</f>
        <v>36.340000000000003</v>
      </c>
      <c r="C414" s="24">
        <f t="shared" si="74"/>
        <v>0.99</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ca="1" si="82"/>
        <v>5702</v>
      </c>
      <c r="S414" s="321">
        <f t="shared" ca="1" si="73"/>
        <v>21</v>
      </c>
    </row>
    <row r="415" spans="1:19">
      <c r="A415" s="673" t="str">
        <f>Sheet1!E393</f>
        <v>C1-079</v>
      </c>
      <c r="B415" s="673">
        <f>Sheet1!F393</f>
        <v>36.340000000000003</v>
      </c>
      <c r="C415" s="24">
        <f t="shared" si="74"/>
        <v>0.99</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ca="1" si="82"/>
        <v>5702</v>
      </c>
      <c r="S415" s="321">
        <f t="shared" ca="1" si="73"/>
        <v>21</v>
      </c>
    </row>
    <row r="416" spans="1:19">
      <c r="A416" s="673" t="str">
        <f>Sheet1!E394</f>
        <v>C1-080</v>
      </c>
      <c r="B416" s="673">
        <f>Sheet1!F394</f>
        <v>36.340000000000003</v>
      </c>
      <c r="C416" s="24">
        <f t="shared" si="74"/>
        <v>0.99</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ca="1" si="82"/>
        <v>5702</v>
      </c>
      <c r="S416" s="321">
        <f t="shared" ca="1" si="73"/>
        <v>21</v>
      </c>
    </row>
    <row r="417" spans="1:19">
      <c r="A417" s="673" t="str">
        <f>Sheet1!E395</f>
        <v>C1-081</v>
      </c>
      <c r="B417" s="673">
        <f>Sheet1!F395</f>
        <v>36.340000000000003</v>
      </c>
      <c r="C417" s="24">
        <f t="shared" si="74"/>
        <v>0.99</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ca="1" si="82"/>
        <v>5702</v>
      </c>
      <c r="S417" s="321">
        <f t="shared" ca="1" si="73"/>
        <v>21</v>
      </c>
    </row>
    <row r="418" spans="1:19">
      <c r="A418" s="673" t="str">
        <f>Sheet1!E396</f>
        <v>C1-082</v>
      </c>
      <c r="B418" s="673">
        <f>Sheet1!F396</f>
        <v>36.340000000000003</v>
      </c>
      <c r="C418" s="24">
        <f t="shared" si="74"/>
        <v>0.99</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ca="1" si="82"/>
        <v>5702</v>
      </c>
      <c r="S418" s="321">
        <f t="shared" ca="1" si="73"/>
        <v>21</v>
      </c>
    </row>
    <row r="419" spans="1:19">
      <c r="A419" s="673" t="str">
        <f>Sheet1!E397</f>
        <v>C1-083</v>
      </c>
      <c r="B419" s="673">
        <f>Sheet1!F397</f>
        <v>36.340000000000003</v>
      </c>
      <c r="C419" s="24">
        <f t="shared" si="74"/>
        <v>0.99</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ca="1" si="82"/>
        <v>5702</v>
      </c>
      <c r="S419" s="321">
        <f t="shared" ca="1" si="73"/>
        <v>21</v>
      </c>
    </row>
    <row r="420" spans="1:19">
      <c r="A420" s="673" t="str">
        <f>Sheet1!E398</f>
        <v>C1-084</v>
      </c>
      <c r="B420" s="673">
        <f>Sheet1!F398</f>
        <v>36.340000000000003</v>
      </c>
      <c r="C420" s="24">
        <f t="shared" si="74"/>
        <v>0.99</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ca="1" si="82"/>
        <v>5702</v>
      </c>
      <c r="S420" s="321">
        <f t="shared" ca="1" si="73"/>
        <v>21</v>
      </c>
    </row>
    <row r="421" spans="1:19">
      <c r="A421" s="673" t="str">
        <f>Sheet1!E399</f>
        <v>C1-085</v>
      </c>
      <c r="B421" s="673">
        <f>Sheet1!F399</f>
        <v>37.11</v>
      </c>
      <c r="C421" s="24">
        <f t="shared" si="74"/>
        <v>0.99</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ca="1" si="82"/>
        <v>5702</v>
      </c>
      <c r="S421" s="321">
        <f t="shared" ca="1" si="73"/>
        <v>21</v>
      </c>
    </row>
    <row r="422" spans="1:19">
      <c r="A422" s="673" t="str">
        <f>Sheet1!E400</f>
        <v>C1-086</v>
      </c>
      <c r="B422" s="673">
        <f>Sheet1!F400</f>
        <v>37.11</v>
      </c>
      <c r="C422" s="24">
        <f t="shared" si="74"/>
        <v>0.99</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ca="1" si="82"/>
        <v>5702</v>
      </c>
      <c r="S422" s="321">
        <f t="shared" ca="1" si="73"/>
        <v>21</v>
      </c>
    </row>
    <row r="423" spans="1:19">
      <c r="A423" s="673" t="str">
        <f>Sheet1!E401</f>
        <v>D1-001</v>
      </c>
      <c r="B423" s="673">
        <f>Sheet1!F401</f>
        <v>35.99</v>
      </c>
      <c r="C423" s="24">
        <f t="shared" si="74"/>
        <v>0.99</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ca="1" si="82"/>
        <v>5702</v>
      </c>
      <c r="S423" s="321">
        <f t="shared" ref="S423:S467" ca="1" si="83">ROUND(R423*B423/10000,0)</f>
        <v>21</v>
      </c>
    </row>
    <row r="424" spans="1:19">
      <c r="A424" s="673" t="str">
        <f>Sheet1!E402</f>
        <v>D1-005</v>
      </c>
      <c r="B424" s="673">
        <f>Sheet1!F402</f>
        <v>37.49</v>
      </c>
      <c r="C424" s="24">
        <f t="shared" si="74"/>
        <v>0.99</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ca="1" si="82"/>
        <v>5702</v>
      </c>
      <c r="S424" s="321">
        <f t="shared" ca="1" si="83"/>
        <v>21</v>
      </c>
    </row>
    <row r="425" spans="1:19">
      <c r="A425" s="673" t="str">
        <f>Sheet1!E403</f>
        <v>D1-007</v>
      </c>
      <c r="B425" s="673">
        <f>Sheet1!F403</f>
        <v>37.49</v>
      </c>
      <c r="C425" s="24">
        <f t="shared" si="74"/>
        <v>0.99</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ca="1" si="82"/>
        <v>5702</v>
      </c>
      <c r="S425" s="321">
        <f t="shared" ca="1" si="83"/>
        <v>21</v>
      </c>
    </row>
    <row r="426" spans="1:19">
      <c r="A426" s="673" t="str">
        <f>Sheet1!E404</f>
        <v>D1-008</v>
      </c>
      <c r="B426" s="673">
        <f>Sheet1!F404</f>
        <v>35.99</v>
      </c>
      <c r="C426" s="24">
        <f t="shared" si="74"/>
        <v>0.99</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ca="1" si="82"/>
        <v>5702</v>
      </c>
      <c r="S426" s="321">
        <f t="shared" ca="1" si="83"/>
        <v>21</v>
      </c>
    </row>
    <row r="427" spans="1:19">
      <c r="A427" s="673" t="str">
        <f>Sheet1!E405</f>
        <v>D1-009</v>
      </c>
      <c r="B427" s="673">
        <f>Sheet1!F405</f>
        <v>37.49</v>
      </c>
      <c r="C427" s="24">
        <f t="shared" si="74"/>
        <v>0.99</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ca="1" si="82"/>
        <v>5702</v>
      </c>
      <c r="S427" s="321">
        <f t="shared" ca="1" si="83"/>
        <v>21</v>
      </c>
    </row>
    <row r="428" spans="1:19">
      <c r="A428" s="673" t="str">
        <f>Sheet1!E406</f>
        <v>D1-010</v>
      </c>
      <c r="B428" s="673">
        <f>Sheet1!F406</f>
        <v>37.49</v>
      </c>
      <c r="C428" s="24">
        <f t="shared" si="74"/>
        <v>0.99</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ca="1" si="82"/>
        <v>5702</v>
      </c>
      <c r="S428" s="321">
        <f t="shared" ca="1" si="83"/>
        <v>21</v>
      </c>
    </row>
    <row r="429" spans="1:19">
      <c r="A429" s="673" t="str">
        <f>Sheet1!E407</f>
        <v>D1-013</v>
      </c>
      <c r="B429" s="673">
        <f>Sheet1!F407</f>
        <v>37.49</v>
      </c>
      <c r="C429" s="24">
        <f t="shared" si="74"/>
        <v>0.99</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ca="1" si="82"/>
        <v>5702</v>
      </c>
      <c r="S429" s="321">
        <f t="shared" ca="1" si="83"/>
        <v>21</v>
      </c>
    </row>
    <row r="430" spans="1:19">
      <c r="A430" s="673" t="str">
        <f>Sheet1!E408</f>
        <v>D1-016</v>
      </c>
      <c r="B430" s="673">
        <f>Sheet1!F408</f>
        <v>37.49</v>
      </c>
      <c r="C430" s="24">
        <f t="shared" si="74"/>
        <v>0.99</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ca="1" si="82"/>
        <v>5702</v>
      </c>
      <c r="S430" s="321">
        <f t="shared" ca="1" si="83"/>
        <v>21</v>
      </c>
    </row>
    <row r="431" spans="1:19">
      <c r="A431" s="673" t="str">
        <f>Sheet1!E409</f>
        <v>D1-017</v>
      </c>
      <c r="B431" s="673">
        <f>Sheet1!F409</f>
        <v>37.49</v>
      </c>
      <c r="C431" s="24">
        <f t="shared" si="74"/>
        <v>0.99</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ca="1" si="82"/>
        <v>5702</v>
      </c>
      <c r="S431" s="321">
        <f t="shared" ca="1" si="83"/>
        <v>21</v>
      </c>
    </row>
    <row r="432" spans="1:19">
      <c r="A432" s="673" t="str">
        <f>Sheet1!E410</f>
        <v>D1-023</v>
      </c>
      <c r="B432" s="673">
        <f>Sheet1!F410</f>
        <v>37.49</v>
      </c>
      <c r="C432" s="24">
        <f t="shared" si="74"/>
        <v>0.99</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ca="1" si="82"/>
        <v>5702</v>
      </c>
      <c r="S432" s="321">
        <f t="shared" ca="1" si="83"/>
        <v>21</v>
      </c>
    </row>
    <row r="433" spans="1:19">
      <c r="A433" s="673" t="str">
        <f>Sheet1!E411</f>
        <v>D1-025</v>
      </c>
      <c r="B433" s="673">
        <f>Sheet1!F411</f>
        <v>37.49</v>
      </c>
      <c r="C433" s="24">
        <f t="shared" si="74"/>
        <v>0.99</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ca="1" si="82"/>
        <v>5702</v>
      </c>
      <c r="S433" s="321">
        <f t="shared" ca="1" si="83"/>
        <v>21</v>
      </c>
    </row>
    <row r="434" spans="1:19">
      <c r="A434" s="673" t="str">
        <f>Sheet1!E412</f>
        <v>D1-026</v>
      </c>
      <c r="B434" s="673">
        <f>Sheet1!F412</f>
        <v>35.99</v>
      </c>
      <c r="C434" s="24">
        <f t="shared" si="74"/>
        <v>0.99</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ca="1" si="82"/>
        <v>5702</v>
      </c>
      <c r="S434" s="321">
        <f t="shared" ca="1" si="83"/>
        <v>21</v>
      </c>
    </row>
    <row r="435" spans="1:19">
      <c r="A435" s="673" t="str">
        <f>Sheet1!E413</f>
        <v>D1-027</v>
      </c>
      <c r="B435" s="673">
        <f>Sheet1!F413</f>
        <v>37.49</v>
      </c>
      <c r="C435" s="24">
        <f t="shared" si="74"/>
        <v>0.99</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ca="1" si="82"/>
        <v>5702</v>
      </c>
      <c r="S435" s="321">
        <f t="shared" ca="1" si="83"/>
        <v>21</v>
      </c>
    </row>
    <row r="436" spans="1:19">
      <c r="A436" s="673" t="str">
        <f>Sheet1!E414</f>
        <v>D1-028</v>
      </c>
      <c r="B436" s="673">
        <f>Sheet1!F414</f>
        <v>37.49</v>
      </c>
      <c r="C436" s="24">
        <f t="shared" si="74"/>
        <v>0.99</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ca="1" si="82"/>
        <v>5702</v>
      </c>
      <c r="S436" s="321">
        <f t="shared" ca="1" si="83"/>
        <v>21</v>
      </c>
    </row>
    <row r="437" spans="1:19">
      <c r="A437" s="673" t="str">
        <f>Sheet1!E415</f>
        <v>D1-029</v>
      </c>
      <c r="B437" s="673">
        <f>Sheet1!F415</f>
        <v>37.49</v>
      </c>
      <c r="C437" s="24">
        <f t="shared" si="74"/>
        <v>0.99</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ca="1" si="82"/>
        <v>5702</v>
      </c>
      <c r="S437" s="321">
        <f t="shared" ca="1" si="83"/>
        <v>21</v>
      </c>
    </row>
    <row r="438" spans="1:19">
      <c r="A438" s="673" t="str">
        <f>Sheet1!E416</f>
        <v>D1-030</v>
      </c>
      <c r="B438" s="673">
        <f>Sheet1!F416</f>
        <v>35.24</v>
      </c>
      <c r="C438" s="24">
        <f t="shared" si="74"/>
        <v>0.99</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ca="1" si="82"/>
        <v>5702</v>
      </c>
      <c r="S438" s="321">
        <f t="shared" ca="1" si="83"/>
        <v>20</v>
      </c>
    </row>
    <row r="439" spans="1:19">
      <c r="A439" s="673" t="str">
        <f>Sheet1!E417</f>
        <v>D1-031</v>
      </c>
      <c r="B439" s="673">
        <f>Sheet1!F417</f>
        <v>35.24</v>
      </c>
      <c r="C439" s="24">
        <f t="shared" si="74"/>
        <v>0.99</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ca="1" si="82"/>
        <v>5702</v>
      </c>
      <c r="S439" s="321">
        <f t="shared" ca="1" si="83"/>
        <v>20</v>
      </c>
    </row>
    <row r="440" spans="1:19">
      <c r="A440" s="673" t="str">
        <f>Sheet1!E418</f>
        <v>D1-032</v>
      </c>
      <c r="B440" s="673">
        <f>Sheet1!F418</f>
        <v>35.24</v>
      </c>
      <c r="C440" s="24">
        <f t="shared" si="74"/>
        <v>0.99</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ca="1" si="82"/>
        <v>5702</v>
      </c>
      <c r="S440" s="321">
        <f t="shared" ca="1" si="83"/>
        <v>20</v>
      </c>
    </row>
    <row r="441" spans="1:19">
      <c r="A441" s="673" t="str">
        <f>Sheet1!E419</f>
        <v>D1-033</v>
      </c>
      <c r="B441" s="673">
        <f>Sheet1!F419</f>
        <v>37.49</v>
      </c>
      <c r="C441" s="24">
        <f t="shared" si="74"/>
        <v>0.99</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ca="1" si="82"/>
        <v>5702</v>
      </c>
      <c r="S441" s="321">
        <f t="shared" ca="1" si="83"/>
        <v>21</v>
      </c>
    </row>
    <row r="442" spans="1:19">
      <c r="A442" s="673" t="str">
        <f>Sheet1!E420</f>
        <v>D1-037</v>
      </c>
      <c r="B442" s="673">
        <f>Sheet1!F420</f>
        <v>37.49</v>
      </c>
      <c r="C442" s="24">
        <f t="shared" si="74"/>
        <v>0.99</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ca="1" si="82"/>
        <v>5702</v>
      </c>
      <c r="S442" s="321">
        <f t="shared" ca="1" si="83"/>
        <v>21</v>
      </c>
    </row>
    <row r="443" spans="1:19">
      <c r="A443" s="673" t="str">
        <f>Sheet1!E421</f>
        <v>D1-040</v>
      </c>
      <c r="B443" s="673">
        <f>Sheet1!F421</f>
        <v>37.49</v>
      </c>
      <c r="C443" s="24">
        <f t="shared" si="74"/>
        <v>0.99</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ca="1" si="82"/>
        <v>5702</v>
      </c>
      <c r="S443" s="321">
        <f t="shared" ca="1" si="83"/>
        <v>21</v>
      </c>
    </row>
    <row r="444" spans="1:19">
      <c r="A444" s="673" t="str">
        <f>Sheet1!E422</f>
        <v>D1-041</v>
      </c>
      <c r="B444" s="673">
        <f>Sheet1!F422</f>
        <v>37.49</v>
      </c>
      <c r="C444" s="24">
        <f t="shared" si="74"/>
        <v>0.99</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ca="1" si="82"/>
        <v>5702</v>
      </c>
      <c r="S444" s="321">
        <f t="shared" ca="1" si="83"/>
        <v>21</v>
      </c>
    </row>
    <row r="445" spans="1:19">
      <c r="A445" s="673" t="str">
        <f>Sheet1!E423</f>
        <v>D1-043</v>
      </c>
      <c r="B445" s="673">
        <f>Sheet1!F423</f>
        <v>37.49</v>
      </c>
      <c r="C445" s="24">
        <f t="shared" si="74"/>
        <v>0.99</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ca="1" si="82"/>
        <v>5702</v>
      </c>
      <c r="S445" s="321">
        <f t="shared" ca="1" si="83"/>
        <v>21</v>
      </c>
    </row>
    <row r="446" spans="1:19">
      <c r="A446" s="673" t="str">
        <f>Sheet1!E424</f>
        <v>D1-044</v>
      </c>
      <c r="B446" s="673">
        <f>Sheet1!F424</f>
        <v>37.49</v>
      </c>
      <c r="C446" s="24">
        <f t="shared" si="74"/>
        <v>0.99</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ca="1" si="82"/>
        <v>5702</v>
      </c>
      <c r="S446" s="321">
        <f t="shared" ca="1" si="83"/>
        <v>21</v>
      </c>
    </row>
    <row r="447" spans="1:19">
      <c r="A447" s="673" t="str">
        <f>Sheet1!E425</f>
        <v>D1-048</v>
      </c>
      <c r="B447" s="673">
        <f>Sheet1!F425</f>
        <v>37.49</v>
      </c>
      <c r="C447" s="24">
        <f t="shared" si="74"/>
        <v>0.99</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ca="1" si="82"/>
        <v>5702</v>
      </c>
      <c r="S447" s="321">
        <f t="shared" ca="1" si="83"/>
        <v>21</v>
      </c>
    </row>
    <row r="448" spans="1:19">
      <c r="A448" s="673" t="str">
        <f>Sheet1!E426</f>
        <v>D1-050</v>
      </c>
      <c r="B448" s="673">
        <f>Sheet1!F426</f>
        <v>37.49</v>
      </c>
      <c r="C448" s="24">
        <f t="shared" si="74"/>
        <v>0.99</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ca="1" si="82"/>
        <v>5702</v>
      </c>
      <c r="S448" s="321">
        <f t="shared" ca="1" si="83"/>
        <v>21</v>
      </c>
    </row>
    <row r="449" spans="1:19">
      <c r="A449" s="673" t="str">
        <f>Sheet1!E427</f>
        <v>D1-058</v>
      </c>
      <c r="B449" s="673">
        <f>Sheet1!F427</f>
        <v>35.99</v>
      </c>
      <c r="C449" s="24">
        <f t="shared" si="74"/>
        <v>0.99</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ca="1" si="82"/>
        <v>5702</v>
      </c>
      <c r="S449" s="321">
        <f t="shared" ca="1" si="83"/>
        <v>21</v>
      </c>
    </row>
    <row r="450" spans="1:19">
      <c r="A450" s="673" t="str">
        <f>Sheet1!E428</f>
        <v>D1-060</v>
      </c>
      <c r="B450" s="673">
        <f>Sheet1!F428</f>
        <v>35.99</v>
      </c>
      <c r="C450" s="24">
        <f t="shared" si="74"/>
        <v>0.99</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ca="1" si="82"/>
        <v>5702</v>
      </c>
      <c r="S450" s="321">
        <f t="shared" ca="1" si="83"/>
        <v>21</v>
      </c>
    </row>
    <row r="451" spans="1:19">
      <c r="A451" s="673" t="str">
        <f>Sheet1!E429</f>
        <v>D1-061</v>
      </c>
      <c r="B451" s="673">
        <f>Sheet1!F429</f>
        <v>35.99</v>
      </c>
      <c r="C451" s="24">
        <f t="shared" si="74"/>
        <v>0.99</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ca="1" si="82"/>
        <v>5702</v>
      </c>
      <c r="S451" s="321">
        <f t="shared" ca="1" si="83"/>
        <v>21</v>
      </c>
    </row>
    <row r="452" spans="1:19">
      <c r="A452" s="673" t="str">
        <f>Sheet1!E430</f>
        <v>D1-069</v>
      </c>
      <c r="B452" s="673">
        <f>Sheet1!F430</f>
        <v>35.99</v>
      </c>
      <c r="C452" s="24">
        <f t="shared" si="74"/>
        <v>0.99</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ca="1" si="82"/>
        <v>5702</v>
      </c>
      <c r="S452" s="321">
        <f t="shared" ca="1" si="83"/>
        <v>21</v>
      </c>
    </row>
    <row r="453" spans="1:19">
      <c r="A453" s="673" t="str">
        <f>Sheet1!E431</f>
        <v>D1-070</v>
      </c>
      <c r="B453" s="673">
        <f>Sheet1!F431</f>
        <v>35.99</v>
      </c>
      <c r="C453" s="24">
        <f t="shared" si="74"/>
        <v>0.99</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ca="1" si="82"/>
        <v>5702</v>
      </c>
      <c r="S453" s="321">
        <f t="shared" ca="1" si="83"/>
        <v>21</v>
      </c>
    </row>
    <row r="454" spans="1:19">
      <c r="A454" s="673" t="str">
        <f>Sheet1!E432</f>
        <v>D1-071</v>
      </c>
      <c r="B454" s="673">
        <f>Sheet1!F432</f>
        <v>35.99</v>
      </c>
      <c r="C454" s="24">
        <f t="shared" si="74"/>
        <v>0.99</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ca="1" si="82"/>
        <v>5702</v>
      </c>
      <c r="S454" s="321">
        <f t="shared" ca="1" si="83"/>
        <v>21</v>
      </c>
    </row>
    <row r="455" spans="1:19">
      <c r="A455" s="673" t="str">
        <f>Sheet1!E433</f>
        <v>D1-072</v>
      </c>
      <c r="B455" s="673">
        <f>Sheet1!F433</f>
        <v>35.99</v>
      </c>
      <c r="C455" s="24">
        <f t="shared" si="74"/>
        <v>0.99</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ca="1" si="82"/>
        <v>5702</v>
      </c>
      <c r="S455" s="321">
        <f t="shared" ca="1" si="83"/>
        <v>21</v>
      </c>
    </row>
    <row r="456" spans="1:19">
      <c r="A456" s="673" t="str">
        <f>Sheet1!E434</f>
        <v>D1-073</v>
      </c>
      <c r="B456" s="673">
        <f>Sheet1!F434</f>
        <v>35.99</v>
      </c>
      <c r="C456" s="24">
        <f t="shared" si="74"/>
        <v>0.99</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ca="1" si="82"/>
        <v>5702</v>
      </c>
      <c r="S456" s="321">
        <f t="shared" ca="1" si="83"/>
        <v>21</v>
      </c>
    </row>
    <row r="457" spans="1:19">
      <c r="A457" s="673" t="str">
        <f>Sheet1!E435</f>
        <v>D1-074</v>
      </c>
      <c r="B457" s="673">
        <f>Sheet1!F435</f>
        <v>35.99</v>
      </c>
      <c r="C457" s="24">
        <f t="shared" si="74"/>
        <v>0.99</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ca="1" si="82"/>
        <v>5702</v>
      </c>
      <c r="S457" s="321">
        <f t="shared" ca="1" si="83"/>
        <v>21</v>
      </c>
    </row>
    <row r="458" spans="1:19">
      <c r="A458" s="673" t="str">
        <f>Sheet1!E436</f>
        <v>D1-075</v>
      </c>
      <c r="B458" s="673">
        <f>Sheet1!F436</f>
        <v>35.99</v>
      </c>
      <c r="C458" s="24">
        <f t="shared" si="74"/>
        <v>0.99</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ca="1" si="82"/>
        <v>5702</v>
      </c>
      <c r="S458" s="321">
        <f t="shared" ca="1" si="83"/>
        <v>21</v>
      </c>
    </row>
    <row r="459" spans="1:19">
      <c r="A459" s="673" t="str">
        <f>Sheet1!E437</f>
        <v>D1-076</v>
      </c>
      <c r="B459" s="673">
        <f>Sheet1!F437</f>
        <v>35.99</v>
      </c>
      <c r="C459" s="24">
        <f t="shared" si="74"/>
        <v>0.99</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ca="1" si="82"/>
        <v>5702</v>
      </c>
      <c r="S459" s="321">
        <f t="shared" ca="1" si="83"/>
        <v>21</v>
      </c>
    </row>
    <row r="460" spans="1:19">
      <c r="A460" s="673" t="str">
        <f>Sheet1!E438</f>
        <v>D1-077</v>
      </c>
      <c r="B460" s="673">
        <f>Sheet1!F438</f>
        <v>35.99</v>
      </c>
      <c r="C460" s="24">
        <f t="shared" si="74"/>
        <v>0.99</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ca="1" si="82"/>
        <v>5702</v>
      </c>
      <c r="S460" s="321">
        <f t="shared" ca="1" si="83"/>
        <v>21</v>
      </c>
    </row>
    <row r="461" spans="1:19">
      <c r="A461" s="673" t="str">
        <f>Sheet1!E439</f>
        <v>D1-079</v>
      </c>
      <c r="B461" s="673">
        <f>Sheet1!F439</f>
        <v>35.99</v>
      </c>
      <c r="C461" s="24">
        <f t="shared" si="74"/>
        <v>0.99</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ca="1" si="82"/>
        <v>5702</v>
      </c>
      <c r="S461" s="321">
        <f t="shared" ca="1" si="83"/>
        <v>21</v>
      </c>
    </row>
    <row r="462" spans="1:19">
      <c r="A462" s="673" t="str">
        <f>Sheet1!E440</f>
        <v>D1-087</v>
      </c>
      <c r="B462" s="673">
        <f>Sheet1!F440</f>
        <v>35.99</v>
      </c>
      <c r="C462" s="24">
        <f t="shared" si="74"/>
        <v>0.99</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ca="1" si="82"/>
        <v>5702</v>
      </c>
      <c r="S462" s="321">
        <f t="shared" ca="1" si="83"/>
        <v>21</v>
      </c>
    </row>
    <row r="463" spans="1:19">
      <c r="A463" s="673" t="str">
        <f>Sheet1!E441</f>
        <v>D1-088</v>
      </c>
      <c r="B463" s="673">
        <f>Sheet1!F441</f>
        <v>35.99</v>
      </c>
      <c r="C463" s="24">
        <f t="shared" si="74"/>
        <v>0.99</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ca="1" si="82"/>
        <v>5702</v>
      </c>
      <c r="S463" s="321">
        <f t="shared" ca="1" si="83"/>
        <v>21</v>
      </c>
    </row>
    <row r="464" spans="1:19">
      <c r="A464" s="673" t="str">
        <f>Sheet1!E442</f>
        <v>D1-089</v>
      </c>
      <c r="B464" s="673">
        <f>Sheet1!F442</f>
        <v>35.99</v>
      </c>
      <c r="C464" s="24">
        <f t="shared" si="74"/>
        <v>0.99</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ca="1" si="82"/>
        <v>5702</v>
      </c>
      <c r="S464" s="321">
        <f t="shared" ca="1" si="83"/>
        <v>21</v>
      </c>
    </row>
    <row r="465" spans="1:19">
      <c r="A465" s="673" t="str">
        <f>Sheet1!E443</f>
        <v>D1-094</v>
      </c>
      <c r="B465" s="673">
        <f>Sheet1!F443</f>
        <v>34.49</v>
      </c>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ca="1" si="82"/>
        <v>5760</v>
      </c>
      <c r="S465" s="321">
        <f t="shared" ca="1" si="83"/>
        <v>20</v>
      </c>
    </row>
    <row r="466" spans="1:19">
      <c r="A466" s="673" t="str">
        <f>Sheet1!E444</f>
        <v>D1-096</v>
      </c>
      <c r="B466" s="673">
        <f>Sheet1!F444</f>
        <v>34.49</v>
      </c>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ca="1" si="82"/>
        <v>5760</v>
      </c>
      <c r="S466" s="321">
        <f t="shared" ca="1" si="83"/>
        <v>20</v>
      </c>
    </row>
    <row r="467" spans="1:19">
      <c r="A467" s="673" t="str">
        <f>Sheet1!E445</f>
        <v>D1-097</v>
      </c>
      <c r="B467" s="673">
        <f>Sheet1!F445</f>
        <v>34.49</v>
      </c>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ca="1" si="82"/>
        <v>5760</v>
      </c>
      <c r="S467" s="321">
        <f t="shared" ca="1" si="83"/>
        <v>20</v>
      </c>
    </row>
    <row r="468" spans="1:19">
      <c r="A468" s="673" t="str">
        <f>Sheet1!E446</f>
        <v>D1-102</v>
      </c>
      <c r="B468" s="673">
        <f>Sheet1!F446</f>
        <v>35.99</v>
      </c>
      <c r="C468" s="24">
        <f t="shared" si="74"/>
        <v>0.99</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ca="1" si="82"/>
        <v>5702</v>
      </c>
      <c r="S468" s="321">
        <f t="shared" ref="S468:S497" ca="1" si="84">ROUND(R468*B468/10000,0)</f>
        <v>21</v>
      </c>
    </row>
    <row r="469" spans="1:19">
      <c r="A469" s="673" t="str">
        <f>Sheet1!E447</f>
        <v>D1-103</v>
      </c>
      <c r="B469" s="673">
        <f>Sheet1!F447</f>
        <v>35.99</v>
      </c>
      <c r="C469" s="24">
        <f t="shared" si="74"/>
        <v>0.99</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ca="1" si="82"/>
        <v>5702</v>
      </c>
      <c r="S469" s="321">
        <f t="shared" ca="1" si="84"/>
        <v>21</v>
      </c>
    </row>
    <row r="470" spans="1:19">
      <c r="A470" s="673" t="str">
        <f>Sheet1!E448</f>
        <v>D1-104</v>
      </c>
      <c r="B470" s="673">
        <f>Sheet1!F448</f>
        <v>35.99</v>
      </c>
      <c r="C470" s="24">
        <f t="shared" si="74"/>
        <v>0.99</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ca="1" si="82"/>
        <v>5702</v>
      </c>
      <c r="S470" s="321">
        <f t="shared" ca="1" si="84"/>
        <v>21</v>
      </c>
    </row>
    <row r="471" spans="1:19">
      <c r="A471" s="673" t="str">
        <f>Sheet1!E449</f>
        <v>D1-105</v>
      </c>
      <c r="B471" s="673">
        <f>Sheet1!F449</f>
        <v>35.99</v>
      </c>
      <c r="C471" s="24">
        <f t="shared" si="74"/>
        <v>0.99</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ca="1" si="82"/>
        <v>5702</v>
      </c>
      <c r="S471" s="321">
        <f t="shared" ca="1" si="84"/>
        <v>21</v>
      </c>
    </row>
    <row r="472" spans="1:19">
      <c r="A472" s="673" t="str">
        <f>Sheet1!E450</f>
        <v>D1-106</v>
      </c>
      <c r="B472" s="673">
        <f>Sheet1!F450</f>
        <v>35.99</v>
      </c>
      <c r="C472" s="24">
        <f t="shared" si="74"/>
        <v>0.99</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ca="1" si="82"/>
        <v>5702</v>
      </c>
      <c r="S472" s="321">
        <f t="shared" ca="1" si="84"/>
        <v>21</v>
      </c>
    </row>
    <row r="473" spans="1:19">
      <c r="A473" s="673" t="str">
        <f>Sheet1!E451</f>
        <v>D1-107</v>
      </c>
      <c r="B473" s="673">
        <f>Sheet1!F451</f>
        <v>37.49</v>
      </c>
      <c r="C473" s="24">
        <f t="shared" si="74"/>
        <v>0.99</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ca="1" si="82"/>
        <v>5702</v>
      </c>
      <c r="S473" s="321">
        <f t="shared" ca="1" si="84"/>
        <v>21</v>
      </c>
    </row>
    <row r="474" spans="1:19">
      <c r="A474" s="673" t="str">
        <f>Sheet1!E452</f>
        <v>D1-109</v>
      </c>
      <c r="B474" s="673">
        <f>Sheet1!F452</f>
        <v>35.99</v>
      </c>
      <c r="C474" s="24">
        <f t="shared" ref="C474:C524" si="85">IF(B474="",1,(LOOKUP(B474,$3:$3,$4:$4)-LOOKUP($B$24,$3:$3,$4:$4)+100)/100)</f>
        <v>0.99</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ca="1" si="93">IF(B474="",0,ROUND($R$24*C474*E474*G474*I474*K474*M474*O474*Q474,0))</f>
        <v>5702</v>
      </c>
      <c r="S474" s="321">
        <f t="shared" ca="1" si="84"/>
        <v>21</v>
      </c>
    </row>
    <row r="475" spans="1:19">
      <c r="A475" s="673" t="str">
        <f>Sheet1!E453</f>
        <v>D1-112</v>
      </c>
      <c r="B475" s="673">
        <f>Sheet1!F453</f>
        <v>35.99</v>
      </c>
      <c r="C475" s="24">
        <f t="shared" si="85"/>
        <v>0.99</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ca="1" si="93"/>
        <v>5702</v>
      </c>
      <c r="S475" s="321">
        <f t="shared" ca="1" si="84"/>
        <v>21</v>
      </c>
    </row>
    <row r="476" spans="1:19">
      <c r="A476" s="673" t="str">
        <f>Sheet1!E454</f>
        <v>D1-113</v>
      </c>
      <c r="B476" s="673">
        <f>Sheet1!F454</f>
        <v>35.99</v>
      </c>
      <c r="C476" s="24">
        <f t="shared" si="85"/>
        <v>0.99</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ca="1" si="93"/>
        <v>5702</v>
      </c>
      <c r="S476" s="321">
        <f t="shared" ca="1" si="84"/>
        <v>21</v>
      </c>
    </row>
    <row r="477" spans="1:19">
      <c r="A477" s="673" t="str">
        <f>Sheet1!E455</f>
        <v>D1-114</v>
      </c>
      <c r="B477" s="673">
        <f>Sheet1!F455</f>
        <v>35.99</v>
      </c>
      <c r="C477" s="24">
        <f t="shared" si="85"/>
        <v>0.99</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ca="1" si="93"/>
        <v>5702</v>
      </c>
      <c r="S477" s="321">
        <f t="shared" ca="1" si="84"/>
        <v>21</v>
      </c>
    </row>
    <row r="478" spans="1:19">
      <c r="A478" s="673" t="str">
        <f>Sheet1!E456</f>
        <v>E1-002</v>
      </c>
      <c r="B478" s="673">
        <f>Sheet1!F456</f>
        <v>37.49</v>
      </c>
      <c r="C478" s="24">
        <f t="shared" si="85"/>
        <v>0.99</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ca="1" si="93"/>
        <v>5702</v>
      </c>
      <c r="S478" s="321">
        <f t="shared" ca="1" si="84"/>
        <v>21</v>
      </c>
    </row>
    <row r="479" spans="1:19">
      <c r="A479" s="673" t="str">
        <f>Sheet1!E457</f>
        <v>E1-004</v>
      </c>
      <c r="B479" s="673">
        <f>Sheet1!F457</f>
        <v>37.49</v>
      </c>
      <c r="C479" s="24">
        <f t="shared" si="85"/>
        <v>0.99</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ca="1" si="93"/>
        <v>5702</v>
      </c>
      <c r="S479" s="321">
        <f t="shared" ca="1" si="84"/>
        <v>21</v>
      </c>
    </row>
    <row r="480" spans="1:19">
      <c r="A480" s="673" t="str">
        <f>Sheet1!E458</f>
        <v>E1-005</v>
      </c>
      <c r="B480" s="673">
        <f>Sheet1!F458</f>
        <v>37.49</v>
      </c>
      <c r="C480" s="24">
        <f t="shared" si="85"/>
        <v>0.99</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ca="1" si="93"/>
        <v>5702</v>
      </c>
      <c r="S480" s="321">
        <f t="shared" ca="1" si="84"/>
        <v>21</v>
      </c>
    </row>
    <row r="481" spans="1:19">
      <c r="A481" s="673" t="str">
        <f>Sheet1!E459</f>
        <v>E1-007</v>
      </c>
      <c r="B481" s="673">
        <f>Sheet1!F459</f>
        <v>36.71</v>
      </c>
      <c r="C481" s="24">
        <f t="shared" si="85"/>
        <v>0.99</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ca="1" si="93"/>
        <v>5702</v>
      </c>
      <c r="S481" s="321">
        <f t="shared" ca="1" si="84"/>
        <v>21</v>
      </c>
    </row>
    <row r="482" spans="1:19">
      <c r="A482" s="673" t="str">
        <f>Sheet1!E460</f>
        <v>E1-009</v>
      </c>
      <c r="B482" s="673">
        <f>Sheet1!F460</f>
        <v>37.49</v>
      </c>
      <c r="C482" s="24">
        <f t="shared" si="85"/>
        <v>0.99</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ca="1" si="93"/>
        <v>5702</v>
      </c>
      <c r="S482" s="321">
        <f t="shared" ca="1" si="84"/>
        <v>21</v>
      </c>
    </row>
    <row r="483" spans="1:19">
      <c r="A483" s="673" t="str">
        <f>Sheet1!E461</f>
        <v>E1-010</v>
      </c>
      <c r="B483" s="673">
        <f>Sheet1!F461</f>
        <v>37.49</v>
      </c>
      <c r="C483" s="24">
        <f t="shared" si="85"/>
        <v>0.99</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ca="1" si="93"/>
        <v>5702</v>
      </c>
      <c r="S483" s="321">
        <f t="shared" ca="1" si="84"/>
        <v>21</v>
      </c>
    </row>
    <row r="484" spans="1:19">
      <c r="A484" s="673" t="str">
        <f>Sheet1!E462</f>
        <v>E1-014</v>
      </c>
      <c r="B484" s="673">
        <f>Sheet1!F462</f>
        <v>38.99</v>
      </c>
      <c r="C484" s="24">
        <f t="shared" si="85"/>
        <v>0.99</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ca="1" si="93"/>
        <v>5702</v>
      </c>
      <c r="S484" s="321">
        <f t="shared" ca="1" si="84"/>
        <v>22</v>
      </c>
    </row>
    <row r="485" spans="1:19">
      <c r="A485" s="673" t="str">
        <f>Sheet1!E463</f>
        <v>E1-015</v>
      </c>
      <c r="B485" s="673">
        <f>Sheet1!F463</f>
        <v>35.99</v>
      </c>
      <c r="C485" s="24">
        <f t="shared" si="85"/>
        <v>0.99</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ca="1" si="93"/>
        <v>5702</v>
      </c>
      <c r="S485" s="321">
        <f t="shared" ca="1" si="84"/>
        <v>21</v>
      </c>
    </row>
    <row r="486" spans="1:19">
      <c r="A486" s="673" t="str">
        <f>Sheet1!E464</f>
        <v>E1-016</v>
      </c>
      <c r="B486" s="673">
        <f>Sheet1!F464</f>
        <v>35.99</v>
      </c>
      <c r="C486" s="24">
        <f t="shared" si="85"/>
        <v>0.99</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ca="1" si="93"/>
        <v>5702</v>
      </c>
      <c r="S486" s="321">
        <f t="shared" ca="1" si="84"/>
        <v>21</v>
      </c>
    </row>
    <row r="487" spans="1:19">
      <c r="A487" s="673" t="str">
        <f>Sheet1!E465</f>
        <v>E1-017</v>
      </c>
      <c r="B487" s="673">
        <f>Sheet1!F465</f>
        <v>35.99</v>
      </c>
      <c r="C487" s="24">
        <f t="shared" si="85"/>
        <v>0.99</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ca="1" si="93"/>
        <v>5702</v>
      </c>
      <c r="S487" s="321">
        <f t="shared" ca="1" si="84"/>
        <v>21</v>
      </c>
    </row>
    <row r="488" spans="1:19">
      <c r="A488" s="673" t="str">
        <f>Sheet1!E466</f>
        <v>E1-018</v>
      </c>
      <c r="B488" s="673">
        <f>Sheet1!F466</f>
        <v>35.99</v>
      </c>
      <c r="C488" s="24">
        <f t="shared" si="85"/>
        <v>0.99</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ca="1" si="93"/>
        <v>5702</v>
      </c>
      <c r="S488" s="321">
        <f t="shared" ca="1" si="84"/>
        <v>21</v>
      </c>
    </row>
    <row r="489" spans="1:19">
      <c r="A489" s="673" t="str">
        <f>Sheet1!E467</f>
        <v>E1-019</v>
      </c>
      <c r="B489" s="673">
        <f>Sheet1!F467</f>
        <v>35.99</v>
      </c>
      <c r="C489" s="24">
        <f t="shared" si="85"/>
        <v>0.99</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ca="1" si="93"/>
        <v>5702</v>
      </c>
      <c r="S489" s="321">
        <f t="shared" ca="1" si="84"/>
        <v>21</v>
      </c>
    </row>
    <row r="490" spans="1:19">
      <c r="A490" s="673" t="str">
        <f>Sheet1!E468</f>
        <v>E1-020</v>
      </c>
      <c r="B490" s="673">
        <f>Sheet1!F468</f>
        <v>35.99</v>
      </c>
      <c r="C490" s="24">
        <f t="shared" si="85"/>
        <v>0.99</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ca="1" si="93"/>
        <v>5702</v>
      </c>
      <c r="S490" s="321">
        <f t="shared" ca="1" si="84"/>
        <v>21</v>
      </c>
    </row>
    <row r="491" spans="1:19">
      <c r="A491" s="673" t="str">
        <f>Sheet1!E469</f>
        <v>E1-021</v>
      </c>
      <c r="B491" s="673">
        <f>Sheet1!F469</f>
        <v>37.49</v>
      </c>
      <c r="C491" s="24">
        <f t="shared" si="85"/>
        <v>0.99</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ca="1" si="93"/>
        <v>5702</v>
      </c>
      <c r="S491" s="321">
        <f t="shared" ca="1" si="84"/>
        <v>21</v>
      </c>
    </row>
    <row r="492" spans="1:19">
      <c r="A492" s="673" t="str">
        <f>Sheet1!E470</f>
        <v>E1-022</v>
      </c>
      <c r="B492" s="673">
        <f>Sheet1!F470</f>
        <v>37.49</v>
      </c>
      <c r="C492" s="24">
        <f t="shared" si="85"/>
        <v>0.99</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ca="1" si="93"/>
        <v>5702</v>
      </c>
      <c r="S492" s="321">
        <f t="shared" ca="1" si="84"/>
        <v>21</v>
      </c>
    </row>
    <row r="493" spans="1:19">
      <c r="A493" s="673" t="str">
        <f>Sheet1!E471</f>
        <v>E1-023</v>
      </c>
      <c r="B493" s="673">
        <f>Sheet1!F471</f>
        <v>35.99</v>
      </c>
      <c r="C493" s="24">
        <f t="shared" si="85"/>
        <v>0.99</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ca="1" si="93"/>
        <v>5702</v>
      </c>
      <c r="S493" s="321">
        <f t="shared" ca="1" si="84"/>
        <v>21</v>
      </c>
    </row>
    <row r="494" spans="1:19">
      <c r="A494" s="673" t="str">
        <f>Sheet1!E472</f>
        <v>E1-024</v>
      </c>
      <c r="B494" s="673">
        <f>Sheet1!F472</f>
        <v>35.99</v>
      </c>
      <c r="C494" s="24">
        <f t="shared" si="85"/>
        <v>0.99</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ca="1" si="93"/>
        <v>5702</v>
      </c>
      <c r="S494" s="321">
        <f t="shared" ca="1" si="84"/>
        <v>21</v>
      </c>
    </row>
    <row r="495" spans="1:19">
      <c r="A495" s="673" t="str">
        <f>Sheet1!E473</f>
        <v>E1-040</v>
      </c>
      <c r="B495" s="673">
        <f>Sheet1!F473</f>
        <v>35.99</v>
      </c>
      <c r="C495" s="24">
        <f t="shared" si="85"/>
        <v>0.99</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ca="1" si="93"/>
        <v>5702</v>
      </c>
      <c r="S495" s="321">
        <f t="shared" ca="1" si="84"/>
        <v>21</v>
      </c>
    </row>
    <row r="496" spans="1:19">
      <c r="A496" s="673" t="str">
        <f>Sheet1!E474</f>
        <v>E1-041</v>
      </c>
      <c r="B496" s="673">
        <f>Sheet1!F474</f>
        <v>35.99</v>
      </c>
      <c r="C496" s="24">
        <f t="shared" si="85"/>
        <v>0.99</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ca="1" si="93"/>
        <v>5702</v>
      </c>
      <c r="S496" s="321">
        <f t="shared" ca="1" si="84"/>
        <v>21</v>
      </c>
    </row>
    <row r="497" spans="1:19">
      <c r="A497" s="673" t="str">
        <f>Sheet1!E475</f>
        <v>E1-044</v>
      </c>
      <c r="B497" s="673">
        <f>Sheet1!F475</f>
        <v>35.99</v>
      </c>
      <c r="C497" s="24">
        <f t="shared" si="85"/>
        <v>0.99</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ca="1" si="93"/>
        <v>5702</v>
      </c>
      <c r="S497" s="321">
        <f t="shared" ca="1" si="84"/>
        <v>21</v>
      </c>
    </row>
    <row r="498" spans="1:19">
      <c r="A498" s="673" t="str">
        <f>Sheet1!E476</f>
        <v>E1-081</v>
      </c>
      <c r="B498" s="673">
        <f>Sheet1!F476</f>
        <v>35.99</v>
      </c>
      <c r="C498" s="24">
        <f t="shared" si="85"/>
        <v>0.99</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ca="1" si="93"/>
        <v>5702</v>
      </c>
      <c r="S498" s="321">
        <f t="shared" ref="S498:S524" ca="1" si="94">ROUND(R498*B498/10000,0)</f>
        <v>21</v>
      </c>
    </row>
    <row r="499" spans="1:19">
      <c r="A499" s="673" t="str">
        <f>Sheet1!E477</f>
        <v>E1-082</v>
      </c>
      <c r="B499" s="673">
        <f>Sheet1!F477</f>
        <v>35.99</v>
      </c>
      <c r="C499" s="24">
        <f t="shared" si="85"/>
        <v>0.99</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ca="1" si="93"/>
        <v>5702</v>
      </c>
      <c r="S499" s="321">
        <f t="shared" ca="1" si="94"/>
        <v>21</v>
      </c>
    </row>
    <row r="500" spans="1:19">
      <c r="A500" s="673" t="str">
        <f>Sheet1!E478</f>
        <v>F1-062</v>
      </c>
      <c r="B500" s="673">
        <f>Sheet1!F478</f>
        <v>36.340000000000003</v>
      </c>
      <c r="C500" s="24">
        <f t="shared" si="85"/>
        <v>0.99</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ca="1" si="93"/>
        <v>5702</v>
      </c>
      <c r="S500" s="321">
        <f t="shared" ca="1" si="94"/>
        <v>21</v>
      </c>
    </row>
    <row r="501" spans="1:19">
      <c r="A501" s="673" t="str">
        <f>Sheet1!E479</f>
        <v>F1-063</v>
      </c>
      <c r="B501" s="673">
        <f>Sheet1!F479</f>
        <v>36.340000000000003</v>
      </c>
      <c r="C501" s="24">
        <f t="shared" si="85"/>
        <v>0.99</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ca="1" si="93"/>
        <v>5702</v>
      </c>
      <c r="S501" s="321">
        <f t="shared" ca="1" si="94"/>
        <v>21</v>
      </c>
    </row>
    <row r="502" spans="1:19">
      <c r="A502" s="673" t="str">
        <f>Sheet1!E480</f>
        <v>F1-064</v>
      </c>
      <c r="B502" s="673">
        <f>Sheet1!F480</f>
        <v>36.340000000000003</v>
      </c>
      <c r="C502" s="24">
        <f t="shared" si="85"/>
        <v>0.99</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ca="1" si="93"/>
        <v>5702</v>
      </c>
      <c r="S502" s="321">
        <f t="shared" ca="1" si="94"/>
        <v>21</v>
      </c>
    </row>
    <row r="503" spans="1:19">
      <c r="A503" s="673" t="str">
        <f>Sheet1!E481</f>
        <v>F1-065</v>
      </c>
      <c r="B503" s="673">
        <f>Sheet1!F481</f>
        <v>36.340000000000003</v>
      </c>
      <c r="C503" s="24">
        <f t="shared" si="85"/>
        <v>0.99</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ca="1" si="93"/>
        <v>5702</v>
      </c>
      <c r="S503" s="321">
        <f t="shared" ca="1" si="94"/>
        <v>21</v>
      </c>
    </row>
    <row r="504" spans="1:19">
      <c r="A504" s="673" t="str">
        <f>Sheet1!E482</f>
        <v>F1-066</v>
      </c>
      <c r="B504" s="673">
        <f>Sheet1!F482</f>
        <v>36.340000000000003</v>
      </c>
      <c r="C504" s="24">
        <f t="shared" si="85"/>
        <v>0.99</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ca="1" si="93"/>
        <v>5702</v>
      </c>
      <c r="S504" s="321">
        <f t="shared" ca="1" si="94"/>
        <v>21</v>
      </c>
    </row>
    <row r="505" spans="1:19">
      <c r="A505" s="673" t="str">
        <f>Sheet1!E483</f>
        <v>F1-067</v>
      </c>
      <c r="B505" s="673">
        <f>Sheet1!F483</f>
        <v>38.659999999999997</v>
      </c>
      <c r="C505" s="24">
        <f t="shared" si="85"/>
        <v>0.99</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ca="1" si="93"/>
        <v>5702</v>
      </c>
      <c r="S505" s="321">
        <f t="shared" ca="1" si="94"/>
        <v>22</v>
      </c>
    </row>
    <row r="506" spans="1:19">
      <c r="A506" s="673" t="str">
        <f>Sheet1!E484</f>
        <v>F1-068</v>
      </c>
      <c r="B506" s="673">
        <f>Sheet1!F484</f>
        <v>38.659999999999997</v>
      </c>
      <c r="C506" s="24">
        <f t="shared" si="85"/>
        <v>0.99</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ca="1" si="93"/>
        <v>5702</v>
      </c>
      <c r="S506" s="321">
        <f t="shared" ca="1" si="94"/>
        <v>22</v>
      </c>
    </row>
    <row r="507" spans="1:19">
      <c r="A507" s="673" t="str">
        <f>Sheet1!E485</f>
        <v>F1-079</v>
      </c>
      <c r="B507" s="673">
        <f>Sheet1!F485</f>
        <v>35.56</v>
      </c>
      <c r="C507" s="24">
        <f t="shared" si="85"/>
        <v>0.99</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ca="1" si="93"/>
        <v>5702</v>
      </c>
      <c r="S507" s="321">
        <f t="shared" ca="1" si="94"/>
        <v>20</v>
      </c>
    </row>
    <row r="508" spans="1:19">
      <c r="A508" s="673" t="str">
        <f>Sheet1!E486</f>
        <v>F1-080</v>
      </c>
      <c r="B508" s="673">
        <f>Sheet1!F486</f>
        <v>35.56</v>
      </c>
      <c r="C508" s="24">
        <f t="shared" si="85"/>
        <v>0.99</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ca="1" si="93"/>
        <v>5702</v>
      </c>
      <c r="S508" s="321">
        <f t="shared" ca="1" si="94"/>
        <v>20</v>
      </c>
    </row>
    <row r="509" spans="1:19">
      <c r="A509" s="673" t="str">
        <f>Sheet1!E487</f>
        <v>F1-082</v>
      </c>
      <c r="B509" s="673">
        <f>Sheet1!F487</f>
        <v>35.56</v>
      </c>
      <c r="C509" s="24">
        <f t="shared" si="85"/>
        <v>0.99</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ca="1" si="93"/>
        <v>5702</v>
      </c>
      <c r="S509" s="321">
        <f t="shared" ca="1" si="94"/>
        <v>20</v>
      </c>
    </row>
    <row r="510" spans="1:19">
      <c r="A510" s="673" t="str">
        <f>Sheet1!E488</f>
        <v>F1-083</v>
      </c>
      <c r="B510" s="673">
        <f>Sheet1!F488</f>
        <v>35.56</v>
      </c>
      <c r="C510" s="24">
        <f t="shared" si="85"/>
        <v>0.99</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ca="1" si="93"/>
        <v>5702</v>
      </c>
      <c r="S510" s="321">
        <f t="shared" ca="1" si="94"/>
        <v>20</v>
      </c>
    </row>
    <row r="511" spans="1:19">
      <c r="A511" s="673" t="str">
        <f>Sheet1!E489</f>
        <v>F1-084</v>
      </c>
      <c r="B511" s="673">
        <f>Sheet1!F489</f>
        <v>35.56</v>
      </c>
      <c r="C511" s="24">
        <f t="shared" si="85"/>
        <v>0.99</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ca="1" si="93"/>
        <v>5702</v>
      </c>
      <c r="S511" s="321">
        <f t="shared" ca="1" si="94"/>
        <v>20</v>
      </c>
    </row>
    <row r="512" spans="1:19">
      <c r="A512" s="673" t="str">
        <f>Sheet1!E490</f>
        <v>F1-085</v>
      </c>
      <c r="B512" s="673">
        <f>Sheet1!F490</f>
        <v>35.56</v>
      </c>
      <c r="C512" s="24">
        <f t="shared" si="85"/>
        <v>0.99</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ca="1" si="93"/>
        <v>5702</v>
      </c>
      <c r="S512" s="321">
        <f t="shared" ca="1" si="94"/>
        <v>20</v>
      </c>
    </row>
    <row r="513" spans="1:19">
      <c r="A513" s="673" t="str">
        <f>Sheet1!E491</f>
        <v>F1-086</v>
      </c>
      <c r="B513" s="673">
        <f>Sheet1!F491</f>
        <v>35.56</v>
      </c>
      <c r="C513" s="24">
        <f t="shared" si="85"/>
        <v>0.99</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ca="1" si="93"/>
        <v>5702</v>
      </c>
      <c r="S513" s="321">
        <f t="shared" ca="1" si="94"/>
        <v>20</v>
      </c>
    </row>
    <row r="514" spans="1:19">
      <c r="A514" s="673" t="str">
        <f>Sheet1!E492</f>
        <v>F1-089</v>
      </c>
      <c r="B514" s="673">
        <f>Sheet1!F492</f>
        <v>35.56</v>
      </c>
      <c r="C514" s="24">
        <f t="shared" si="85"/>
        <v>0.99</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ca="1" si="93"/>
        <v>5702</v>
      </c>
      <c r="S514" s="321">
        <f t="shared" ca="1" si="94"/>
        <v>20</v>
      </c>
    </row>
    <row r="515" spans="1:19">
      <c r="A515" s="673" t="str">
        <f>Sheet1!E493</f>
        <v>F1-090</v>
      </c>
      <c r="B515" s="673">
        <f>Sheet1!F493</f>
        <v>35.56</v>
      </c>
      <c r="C515" s="24">
        <f t="shared" si="85"/>
        <v>0.99</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ca="1" si="93"/>
        <v>5702</v>
      </c>
      <c r="S515" s="321">
        <f t="shared" ca="1" si="94"/>
        <v>20</v>
      </c>
    </row>
    <row r="516" spans="1:19">
      <c r="A516" s="673" t="str">
        <f>Sheet1!E494</f>
        <v>F1-091</v>
      </c>
      <c r="B516" s="673">
        <f>Sheet1!F494</f>
        <v>36.340000000000003</v>
      </c>
      <c r="C516" s="24">
        <f t="shared" si="85"/>
        <v>0.99</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ca="1" si="93"/>
        <v>5702</v>
      </c>
      <c r="S516" s="321">
        <f t="shared" ca="1" si="94"/>
        <v>21</v>
      </c>
    </row>
    <row r="517" spans="1:19">
      <c r="A517" s="673" t="str">
        <f>Sheet1!E495</f>
        <v>F1-092</v>
      </c>
      <c r="B517" s="673">
        <f>Sheet1!F495</f>
        <v>36.340000000000003</v>
      </c>
      <c r="C517" s="24">
        <f t="shared" si="85"/>
        <v>0.99</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ca="1" si="93"/>
        <v>5702</v>
      </c>
      <c r="S517" s="321">
        <f t="shared" ca="1" si="94"/>
        <v>21</v>
      </c>
    </row>
    <row r="518" spans="1:19">
      <c r="A518" s="673" t="str">
        <f>Sheet1!E496</f>
        <v>F1-093</v>
      </c>
      <c r="B518" s="673">
        <f>Sheet1!F496</f>
        <v>36.340000000000003</v>
      </c>
      <c r="C518" s="24">
        <f t="shared" si="85"/>
        <v>0.99</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ca="1" si="93"/>
        <v>5702</v>
      </c>
      <c r="S518" s="321">
        <f t="shared" ca="1" si="94"/>
        <v>21</v>
      </c>
    </row>
    <row r="519" spans="1:19">
      <c r="A519" s="673" t="str">
        <f>Sheet1!E497</f>
        <v>F1-094</v>
      </c>
      <c r="B519" s="673">
        <f>Sheet1!F497</f>
        <v>36.340000000000003</v>
      </c>
      <c r="C519" s="24">
        <f t="shared" si="85"/>
        <v>0.99</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ca="1" si="93"/>
        <v>5702</v>
      </c>
      <c r="S519" s="321">
        <f t="shared" ca="1" si="94"/>
        <v>21</v>
      </c>
    </row>
    <row r="520" spans="1:19">
      <c r="A520" s="673" t="str">
        <f>Sheet1!E498</f>
        <v>F1-095</v>
      </c>
      <c r="B520" s="673">
        <f>Sheet1!F498</f>
        <v>36.340000000000003</v>
      </c>
      <c r="C520" s="24">
        <f t="shared" si="85"/>
        <v>0.99</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ca="1" si="93"/>
        <v>5702</v>
      </c>
      <c r="S520" s="321">
        <f t="shared" ca="1" si="94"/>
        <v>21</v>
      </c>
    </row>
    <row r="521" spans="1:19">
      <c r="A521" s="673" t="str">
        <f>Sheet1!E499</f>
        <v>F1-096</v>
      </c>
      <c r="B521" s="673">
        <f>Sheet1!F499</f>
        <v>36.340000000000003</v>
      </c>
      <c r="C521" s="24">
        <f t="shared" si="85"/>
        <v>0.99</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ca="1" si="93"/>
        <v>5702</v>
      </c>
      <c r="S521" s="321">
        <f t="shared" ca="1" si="94"/>
        <v>21</v>
      </c>
    </row>
    <row r="522" spans="1:19">
      <c r="A522" s="673" t="str">
        <f>Sheet1!E500</f>
        <v>F1-097</v>
      </c>
      <c r="B522" s="673">
        <f>Sheet1!F500</f>
        <v>36.340000000000003</v>
      </c>
      <c r="C522" s="24">
        <f t="shared" si="85"/>
        <v>0.99</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ca="1" si="93"/>
        <v>5702</v>
      </c>
      <c r="S522" s="321">
        <f t="shared" ca="1" si="94"/>
        <v>21</v>
      </c>
    </row>
    <row r="523" spans="1:19">
      <c r="A523" s="673" t="str">
        <f>Sheet1!E501</f>
        <v>F1-098</v>
      </c>
      <c r="B523" s="673">
        <f>Sheet1!F501</f>
        <v>36.340000000000003</v>
      </c>
      <c r="C523" s="24">
        <f t="shared" si="85"/>
        <v>0.99</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ca="1" si="93"/>
        <v>5702</v>
      </c>
      <c r="S523" s="321">
        <f t="shared" ca="1" si="94"/>
        <v>21</v>
      </c>
    </row>
    <row r="524" spans="1:19">
      <c r="A524" s="673" t="str">
        <f>Sheet1!E502</f>
        <v>F1-099</v>
      </c>
      <c r="B524" s="673">
        <f>Sheet1!F502</f>
        <v>36.340000000000003</v>
      </c>
      <c r="C524" s="24">
        <f t="shared" si="85"/>
        <v>0.99</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ca="1" si="93"/>
        <v>5702</v>
      </c>
      <c r="S524" s="321">
        <f t="shared" ca="1" si="94"/>
        <v>21</v>
      </c>
    </row>
    <row r="525" spans="1:19">
      <c r="A525" s="673" t="str">
        <f>Sheet1!E503</f>
        <v>F1-100</v>
      </c>
      <c r="B525" s="673">
        <f>Sheet1!F503</f>
        <v>36.340000000000003</v>
      </c>
      <c r="C525" s="3257">
        <f t="shared" ref="C525:C588" si="95">IF(B525="",1,(LOOKUP(B525,$3:$3,$4:$4)-LOOKUP($B$24,$3:$3,$4:$4)+100)/100)</f>
        <v>0.99</v>
      </c>
      <c r="D525" s="675"/>
      <c r="E525" s="3257">
        <f t="shared" ref="E525:E588" si="96">(SUMIF($5:$5,D525,$6:$6)-SUMIF($5:$5,$D$24,$6:$6)+100)/100</f>
        <v>1</v>
      </c>
      <c r="F525" s="675"/>
      <c r="G525" s="3257">
        <f t="shared" ref="G525:G588" si="97">(SUMIF($7:$7,F525,$8:$8)-SUMIF($7:$7,$F$24,$8:$8)+100)/100</f>
        <v>1</v>
      </c>
      <c r="H525" s="675"/>
      <c r="I525" s="3257">
        <f t="shared" ref="I525:I588" si="98">(SUMIF($9:$9,H525,$10:$10)-SUMIF($9:$9,$H$24,$10:$10)+100)/100</f>
        <v>1</v>
      </c>
      <c r="J525" s="675"/>
      <c r="K525" s="3257">
        <f t="shared" ref="K525:K588" si="99">(SUMIF($11:$11,J525,$12:$12)-SUMIF($11:$11,$J$24,$12:$12)+100)/100</f>
        <v>1</v>
      </c>
      <c r="L525" s="675"/>
      <c r="M525" s="3257">
        <f t="shared" ref="M525:M588" si="100">(SUMIF($13:$13,L525,$14:$14)-SUMIF($13:$13,$L$24,$14:$14)+100)/100</f>
        <v>1</v>
      </c>
      <c r="N525" s="675"/>
      <c r="O525" s="3257">
        <f t="shared" ref="O525:O588" si="101">(SUMIF($15:$15,N525,$16:$16)-SUMIF($15:$15,$N$24,$16:$16)+100)/100</f>
        <v>1</v>
      </c>
      <c r="P525" s="675"/>
      <c r="Q525" s="3257">
        <f t="shared" ref="Q525:Q588" si="102">(SUMIF($17:$17,P525,$18:$18)-SUMIF($17:$17,$P$24,$18:$18)+100)/100</f>
        <v>1</v>
      </c>
      <c r="R525" s="3258">
        <f t="shared" ref="R525:R588" ca="1" si="103">IF(B525="",0,ROUND($R$24*C525*E525*G525*I525*K525*M525*O525*Q525,0))</f>
        <v>5702</v>
      </c>
      <c r="S525" s="1070">
        <f t="shared" ref="S525:S588" ca="1" si="104">ROUND(R525*B525/10000,0)</f>
        <v>21</v>
      </c>
    </row>
    <row r="526" spans="1:19">
      <c r="A526" s="673" t="str">
        <f>Sheet1!E504</f>
        <v>F1-101</v>
      </c>
      <c r="B526" s="673">
        <f>Sheet1!F504</f>
        <v>36.340000000000003</v>
      </c>
      <c r="C526" s="3257">
        <f t="shared" si="95"/>
        <v>0.99</v>
      </c>
      <c r="D526" s="675"/>
      <c r="E526" s="3257">
        <f t="shared" si="96"/>
        <v>1</v>
      </c>
      <c r="F526" s="675"/>
      <c r="G526" s="3257">
        <f t="shared" si="97"/>
        <v>1</v>
      </c>
      <c r="H526" s="675"/>
      <c r="I526" s="3257">
        <f t="shared" si="98"/>
        <v>1</v>
      </c>
      <c r="J526" s="675"/>
      <c r="K526" s="3257">
        <f t="shared" si="99"/>
        <v>1</v>
      </c>
      <c r="L526" s="675"/>
      <c r="M526" s="3257">
        <f t="shared" si="100"/>
        <v>1</v>
      </c>
      <c r="N526" s="675"/>
      <c r="O526" s="3257">
        <f t="shared" si="101"/>
        <v>1</v>
      </c>
      <c r="P526" s="675"/>
      <c r="Q526" s="3257">
        <f t="shared" si="102"/>
        <v>1</v>
      </c>
      <c r="R526" s="3258">
        <f t="shared" ca="1" si="103"/>
        <v>5702</v>
      </c>
      <c r="S526" s="1070">
        <f t="shared" ca="1" si="104"/>
        <v>21</v>
      </c>
    </row>
    <row r="527" spans="1:19">
      <c r="A527" s="673" t="str">
        <f>Sheet1!E505</f>
        <v>F1-102</v>
      </c>
      <c r="B527" s="673">
        <f>Sheet1!F505</f>
        <v>36.340000000000003</v>
      </c>
      <c r="C527" s="3257">
        <f t="shared" si="95"/>
        <v>0.99</v>
      </c>
      <c r="D527" s="675"/>
      <c r="E527" s="3257">
        <f t="shared" si="96"/>
        <v>1</v>
      </c>
      <c r="F527" s="675"/>
      <c r="G527" s="3257">
        <f t="shared" si="97"/>
        <v>1</v>
      </c>
      <c r="H527" s="675"/>
      <c r="I527" s="3257">
        <f t="shared" si="98"/>
        <v>1</v>
      </c>
      <c r="J527" s="675"/>
      <c r="K527" s="3257">
        <f t="shared" si="99"/>
        <v>1</v>
      </c>
      <c r="L527" s="675"/>
      <c r="M527" s="3257">
        <f t="shared" si="100"/>
        <v>1</v>
      </c>
      <c r="N527" s="675"/>
      <c r="O527" s="3257">
        <f t="shared" si="101"/>
        <v>1</v>
      </c>
      <c r="P527" s="675"/>
      <c r="Q527" s="3257">
        <f t="shared" si="102"/>
        <v>1</v>
      </c>
      <c r="R527" s="3258">
        <f t="shared" ca="1" si="103"/>
        <v>5702</v>
      </c>
      <c r="S527" s="1070">
        <f t="shared" ca="1" si="104"/>
        <v>21</v>
      </c>
    </row>
    <row r="528" spans="1:19">
      <c r="A528" s="673" t="str">
        <f>Sheet1!E506</f>
        <v>F1-103</v>
      </c>
      <c r="B528" s="673">
        <f>Sheet1!F506</f>
        <v>36.340000000000003</v>
      </c>
      <c r="C528" s="3257">
        <f t="shared" si="95"/>
        <v>0.99</v>
      </c>
      <c r="D528" s="675"/>
      <c r="E528" s="3257">
        <f t="shared" si="96"/>
        <v>1</v>
      </c>
      <c r="F528" s="675"/>
      <c r="G528" s="3257">
        <f t="shared" si="97"/>
        <v>1</v>
      </c>
      <c r="H528" s="675"/>
      <c r="I528" s="3257">
        <f t="shared" si="98"/>
        <v>1</v>
      </c>
      <c r="J528" s="675"/>
      <c r="K528" s="3257">
        <f t="shared" si="99"/>
        <v>1</v>
      </c>
      <c r="L528" s="675"/>
      <c r="M528" s="3257">
        <f t="shared" si="100"/>
        <v>1</v>
      </c>
      <c r="N528" s="675"/>
      <c r="O528" s="3257">
        <f t="shared" si="101"/>
        <v>1</v>
      </c>
      <c r="P528" s="675"/>
      <c r="Q528" s="3257">
        <f t="shared" si="102"/>
        <v>1</v>
      </c>
      <c r="R528" s="3258">
        <f t="shared" ca="1" si="103"/>
        <v>5702</v>
      </c>
      <c r="S528" s="1070">
        <f t="shared" ca="1" si="104"/>
        <v>21</v>
      </c>
    </row>
    <row r="529" spans="1:19">
      <c r="A529" s="673" t="str">
        <f>Sheet1!E507</f>
        <v>F1-104</v>
      </c>
      <c r="B529" s="673">
        <f>Sheet1!F507</f>
        <v>36.340000000000003</v>
      </c>
      <c r="C529" s="3257">
        <f t="shared" si="95"/>
        <v>0.99</v>
      </c>
      <c r="D529" s="675"/>
      <c r="E529" s="3257">
        <f t="shared" si="96"/>
        <v>1</v>
      </c>
      <c r="F529" s="675"/>
      <c r="G529" s="3257">
        <f t="shared" si="97"/>
        <v>1</v>
      </c>
      <c r="H529" s="675"/>
      <c r="I529" s="3257">
        <f t="shared" si="98"/>
        <v>1</v>
      </c>
      <c r="J529" s="675"/>
      <c r="K529" s="3257">
        <f t="shared" si="99"/>
        <v>1</v>
      </c>
      <c r="L529" s="675"/>
      <c r="M529" s="3257">
        <f t="shared" si="100"/>
        <v>1</v>
      </c>
      <c r="N529" s="675"/>
      <c r="O529" s="3257">
        <f t="shared" si="101"/>
        <v>1</v>
      </c>
      <c r="P529" s="675"/>
      <c r="Q529" s="3257">
        <f t="shared" si="102"/>
        <v>1</v>
      </c>
      <c r="R529" s="3258">
        <f t="shared" ca="1" si="103"/>
        <v>5702</v>
      </c>
      <c r="S529" s="1070">
        <f t="shared" ca="1" si="104"/>
        <v>21</v>
      </c>
    </row>
    <row r="530" spans="1:19">
      <c r="A530" s="673" t="str">
        <f>Sheet1!E508</f>
        <v>F1-105</v>
      </c>
      <c r="B530" s="673">
        <f>Sheet1!F508</f>
        <v>36.340000000000003</v>
      </c>
      <c r="C530" s="3257">
        <f t="shared" si="95"/>
        <v>0.99</v>
      </c>
      <c r="D530" s="675"/>
      <c r="E530" s="3257">
        <f t="shared" si="96"/>
        <v>1</v>
      </c>
      <c r="F530" s="675"/>
      <c r="G530" s="3257">
        <f t="shared" si="97"/>
        <v>1</v>
      </c>
      <c r="H530" s="675"/>
      <c r="I530" s="3257">
        <f t="shared" si="98"/>
        <v>1</v>
      </c>
      <c r="J530" s="675"/>
      <c r="K530" s="3257">
        <f t="shared" si="99"/>
        <v>1</v>
      </c>
      <c r="L530" s="675"/>
      <c r="M530" s="3257">
        <f t="shared" si="100"/>
        <v>1</v>
      </c>
      <c r="N530" s="675"/>
      <c r="O530" s="3257">
        <f t="shared" si="101"/>
        <v>1</v>
      </c>
      <c r="P530" s="675"/>
      <c r="Q530" s="3257">
        <f t="shared" si="102"/>
        <v>1</v>
      </c>
      <c r="R530" s="3258">
        <f t="shared" ca="1" si="103"/>
        <v>5702</v>
      </c>
      <c r="S530" s="1070">
        <f t="shared" ca="1" si="104"/>
        <v>21</v>
      </c>
    </row>
    <row r="531" spans="1:19">
      <c r="A531" s="673" t="str">
        <f>Sheet1!E509</f>
        <v>F1-107</v>
      </c>
      <c r="B531" s="673">
        <f>Sheet1!F509</f>
        <v>37.11</v>
      </c>
      <c r="C531" s="3257">
        <f t="shared" si="95"/>
        <v>0.99</v>
      </c>
      <c r="D531" s="675"/>
      <c r="E531" s="3257">
        <f t="shared" si="96"/>
        <v>1</v>
      </c>
      <c r="F531" s="675"/>
      <c r="G531" s="3257">
        <f t="shared" si="97"/>
        <v>1</v>
      </c>
      <c r="H531" s="675"/>
      <c r="I531" s="3257">
        <f t="shared" si="98"/>
        <v>1</v>
      </c>
      <c r="J531" s="675"/>
      <c r="K531" s="3257">
        <f t="shared" si="99"/>
        <v>1</v>
      </c>
      <c r="L531" s="675"/>
      <c r="M531" s="3257">
        <f t="shared" si="100"/>
        <v>1</v>
      </c>
      <c r="N531" s="675"/>
      <c r="O531" s="3257">
        <f t="shared" si="101"/>
        <v>1</v>
      </c>
      <c r="P531" s="675"/>
      <c r="Q531" s="3257">
        <f t="shared" si="102"/>
        <v>1</v>
      </c>
      <c r="R531" s="3258">
        <f t="shared" ca="1" si="103"/>
        <v>5702</v>
      </c>
      <c r="S531" s="1070">
        <f t="shared" ca="1" si="104"/>
        <v>21</v>
      </c>
    </row>
    <row r="532" spans="1:19">
      <c r="A532" s="673" t="str">
        <f>Sheet1!E510</f>
        <v>F1-110</v>
      </c>
      <c r="B532" s="673">
        <f>Sheet1!F510</f>
        <v>37.11</v>
      </c>
      <c r="C532" s="3257">
        <f t="shared" si="95"/>
        <v>0.99</v>
      </c>
      <c r="D532" s="675"/>
      <c r="E532" s="3257">
        <f t="shared" si="96"/>
        <v>1</v>
      </c>
      <c r="F532" s="675"/>
      <c r="G532" s="3257">
        <f t="shared" si="97"/>
        <v>1</v>
      </c>
      <c r="H532" s="675"/>
      <c r="I532" s="3257">
        <f t="shared" si="98"/>
        <v>1</v>
      </c>
      <c r="J532" s="675"/>
      <c r="K532" s="3257">
        <f t="shared" si="99"/>
        <v>1</v>
      </c>
      <c r="L532" s="675"/>
      <c r="M532" s="3257">
        <f t="shared" si="100"/>
        <v>1</v>
      </c>
      <c r="N532" s="675"/>
      <c r="O532" s="3257">
        <f t="shared" si="101"/>
        <v>1</v>
      </c>
      <c r="P532" s="675"/>
      <c r="Q532" s="3257">
        <f t="shared" si="102"/>
        <v>1</v>
      </c>
      <c r="R532" s="3258">
        <f t="shared" ca="1" si="103"/>
        <v>5702</v>
      </c>
      <c r="S532" s="1070">
        <f t="shared" ca="1" si="104"/>
        <v>21</v>
      </c>
    </row>
    <row r="533" spans="1:19">
      <c r="A533" s="673" t="str">
        <f>Sheet1!E511</f>
        <v>F1-111</v>
      </c>
      <c r="B533" s="673">
        <f>Sheet1!F511</f>
        <v>37.11</v>
      </c>
      <c r="C533" s="3257">
        <f t="shared" si="95"/>
        <v>0.99</v>
      </c>
      <c r="D533" s="675"/>
      <c r="E533" s="3257">
        <f t="shared" si="96"/>
        <v>1</v>
      </c>
      <c r="F533" s="675"/>
      <c r="G533" s="3257">
        <f t="shared" si="97"/>
        <v>1</v>
      </c>
      <c r="H533" s="675"/>
      <c r="I533" s="3257">
        <f t="shared" si="98"/>
        <v>1</v>
      </c>
      <c r="J533" s="675"/>
      <c r="K533" s="3257">
        <f t="shared" si="99"/>
        <v>1</v>
      </c>
      <c r="L533" s="675"/>
      <c r="M533" s="3257">
        <f t="shared" si="100"/>
        <v>1</v>
      </c>
      <c r="N533" s="675"/>
      <c r="O533" s="3257">
        <f t="shared" si="101"/>
        <v>1</v>
      </c>
      <c r="P533" s="675"/>
      <c r="Q533" s="3257">
        <f t="shared" si="102"/>
        <v>1</v>
      </c>
      <c r="R533" s="3258">
        <f t="shared" ca="1" si="103"/>
        <v>5702</v>
      </c>
      <c r="S533" s="1070">
        <f t="shared" ca="1" si="104"/>
        <v>21</v>
      </c>
    </row>
    <row r="534" spans="1:19">
      <c r="A534" s="673" t="str">
        <f>Sheet1!E512</f>
        <v>F1-112</v>
      </c>
      <c r="B534" s="673">
        <f>Sheet1!F512</f>
        <v>35.630000000000003</v>
      </c>
      <c r="C534" s="3257">
        <f t="shared" si="95"/>
        <v>0.99</v>
      </c>
      <c r="D534" s="675"/>
      <c r="E534" s="3257">
        <f t="shared" si="96"/>
        <v>1</v>
      </c>
      <c r="F534" s="675"/>
      <c r="G534" s="3257">
        <f t="shared" si="97"/>
        <v>1</v>
      </c>
      <c r="H534" s="675"/>
      <c r="I534" s="3257">
        <f t="shared" si="98"/>
        <v>1</v>
      </c>
      <c r="J534" s="675"/>
      <c r="K534" s="3257">
        <f t="shared" si="99"/>
        <v>1</v>
      </c>
      <c r="L534" s="675"/>
      <c r="M534" s="3257">
        <f t="shared" si="100"/>
        <v>1</v>
      </c>
      <c r="N534" s="675"/>
      <c r="O534" s="3257">
        <f t="shared" si="101"/>
        <v>1</v>
      </c>
      <c r="P534" s="675"/>
      <c r="Q534" s="3257">
        <f t="shared" si="102"/>
        <v>1</v>
      </c>
      <c r="R534" s="3258">
        <f t="shared" ca="1" si="103"/>
        <v>5702</v>
      </c>
      <c r="S534" s="1070">
        <f t="shared" ca="1" si="104"/>
        <v>20</v>
      </c>
    </row>
    <row r="535" spans="1:19">
      <c r="A535" s="673" t="str">
        <f>Sheet1!E513</f>
        <v>F1-113</v>
      </c>
      <c r="B535" s="673">
        <f>Sheet1!F513</f>
        <v>35.630000000000003</v>
      </c>
      <c r="C535" s="3257">
        <f t="shared" si="95"/>
        <v>0.99</v>
      </c>
      <c r="D535" s="675"/>
      <c r="E535" s="3257">
        <f t="shared" si="96"/>
        <v>1</v>
      </c>
      <c r="F535" s="675"/>
      <c r="G535" s="3257">
        <f t="shared" si="97"/>
        <v>1</v>
      </c>
      <c r="H535" s="675"/>
      <c r="I535" s="3257">
        <f t="shared" si="98"/>
        <v>1</v>
      </c>
      <c r="J535" s="675"/>
      <c r="K535" s="3257">
        <f t="shared" si="99"/>
        <v>1</v>
      </c>
      <c r="L535" s="675"/>
      <c r="M535" s="3257">
        <f t="shared" si="100"/>
        <v>1</v>
      </c>
      <c r="N535" s="675"/>
      <c r="O535" s="3257">
        <f t="shared" si="101"/>
        <v>1</v>
      </c>
      <c r="P535" s="675"/>
      <c r="Q535" s="3257">
        <f t="shared" si="102"/>
        <v>1</v>
      </c>
      <c r="R535" s="3258">
        <f t="shared" ca="1" si="103"/>
        <v>5702</v>
      </c>
      <c r="S535" s="1070">
        <f t="shared" ca="1" si="104"/>
        <v>20</v>
      </c>
    </row>
    <row r="536" spans="1:19">
      <c r="A536" s="673" t="str">
        <f>Sheet1!E514</f>
        <v>F1-114</v>
      </c>
      <c r="B536" s="673">
        <f>Sheet1!F514</f>
        <v>35.630000000000003</v>
      </c>
      <c r="C536" s="3257">
        <f t="shared" si="95"/>
        <v>0.99</v>
      </c>
      <c r="D536" s="675"/>
      <c r="E536" s="3257">
        <f t="shared" si="96"/>
        <v>1</v>
      </c>
      <c r="F536" s="675"/>
      <c r="G536" s="3257">
        <f t="shared" si="97"/>
        <v>1</v>
      </c>
      <c r="H536" s="675"/>
      <c r="I536" s="3257">
        <f t="shared" si="98"/>
        <v>1</v>
      </c>
      <c r="J536" s="675"/>
      <c r="K536" s="3257">
        <f t="shared" si="99"/>
        <v>1</v>
      </c>
      <c r="L536" s="675"/>
      <c r="M536" s="3257">
        <f t="shared" si="100"/>
        <v>1</v>
      </c>
      <c r="N536" s="675"/>
      <c r="O536" s="3257">
        <f t="shared" si="101"/>
        <v>1</v>
      </c>
      <c r="P536" s="675"/>
      <c r="Q536" s="3257">
        <f t="shared" si="102"/>
        <v>1</v>
      </c>
      <c r="R536" s="3258">
        <f t="shared" ca="1" si="103"/>
        <v>5702</v>
      </c>
      <c r="S536" s="1070">
        <f t="shared" ca="1" si="104"/>
        <v>20</v>
      </c>
    </row>
    <row r="537" spans="1:19">
      <c r="A537" s="673" t="str">
        <f>Sheet1!E515</f>
        <v>F1-116</v>
      </c>
      <c r="B537" s="673">
        <f>Sheet1!F515</f>
        <v>37.85</v>
      </c>
      <c r="C537" s="3257">
        <f t="shared" si="95"/>
        <v>0.99</v>
      </c>
      <c r="D537" s="675"/>
      <c r="E537" s="3257">
        <f t="shared" si="96"/>
        <v>1</v>
      </c>
      <c r="F537" s="675"/>
      <c r="G537" s="3257">
        <f t="shared" si="97"/>
        <v>1</v>
      </c>
      <c r="H537" s="675"/>
      <c r="I537" s="3257">
        <f t="shared" si="98"/>
        <v>1</v>
      </c>
      <c r="J537" s="675"/>
      <c r="K537" s="3257">
        <f t="shared" si="99"/>
        <v>1</v>
      </c>
      <c r="L537" s="675"/>
      <c r="M537" s="3257">
        <f t="shared" si="100"/>
        <v>1</v>
      </c>
      <c r="N537" s="675"/>
      <c r="O537" s="3257">
        <f t="shared" si="101"/>
        <v>1</v>
      </c>
      <c r="P537" s="675"/>
      <c r="Q537" s="3257">
        <f t="shared" si="102"/>
        <v>1</v>
      </c>
      <c r="R537" s="3258">
        <f t="shared" ca="1" si="103"/>
        <v>5702</v>
      </c>
      <c r="S537" s="1070">
        <f t="shared" ca="1" si="104"/>
        <v>22</v>
      </c>
    </row>
    <row r="538" spans="1:19">
      <c r="A538" s="673" t="str">
        <f>Sheet1!E516</f>
        <v>F1-117</v>
      </c>
      <c r="B538" s="673">
        <f>Sheet1!F516</f>
        <v>37.85</v>
      </c>
      <c r="C538" s="3257">
        <f t="shared" si="95"/>
        <v>0.99</v>
      </c>
      <c r="D538" s="675"/>
      <c r="E538" s="3257">
        <f t="shared" si="96"/>
        <v>1</v>
      </c>
      <c r="F538" s="675"/>
      <c r="G538" s="3257">
        <f t="shared" si="97"/>
        <v>1</v>
      </c>
      <c r="H538" s="675"/>
      <c r="I538" s="3257">
        <f t="shared" si="98"/>
        <v>1</v>
      </c>
      <c r="J538" s="675"/>
      <c r="K538" s="3257">
        <f t="shared" si="99"/>
        <v>1</v>
      </c>
      <c r="L538" s="675"/>
      <c r="M538" s="3257">
        <f t="shared" si="100"/>
        <v>1</v>
      </c>
      <c r="N538" s="675"/>
      <c r="O538" s="3257">
        <f t="shared" si="101"/>
        <v>1</v>
      </c>
      <c r="P538" s="675"/>
      <c r="Q538" s="3257">
        <f t="shared" si="102"/>
        <v>1</v>
      </c>
      <c r="R538" s="3258">
        <f t="shared" ca="1" si="103"/>
        <v>5702</v>
      </c>
      <c r="S538" s="1070">
        <f t="shared" ca="1" si="104"/>
        <v>22</v>
      </c>
    </row>
    <row r="539" spans="1:19">
      <c r="A539" s="673" t="str">
        <f>Sheet1!E517</f>
        <v>J1-001</v>
      </c>
      <c r="B539" s="673">
        <f>Sheet1!F517</f>
        <v>35.630000000000003</v>
      </c>
      <c r="C539" s="3257">
        <f t="shared" si="95"/>
        <v>0.99</v>
      </c>
      <c r="D539" s="675"/>
      <c r="E539" s="3257">
        <f t="shared" si="96"/>
        <v>1</v>
      </c>
      <c r="F539" s="675"/>
      <c r="G539" s="3257">
        <f t="shared" si="97"/>
        <v>1</v>
      </c>
      <c r="H539" s="675"/>
      <c r="I539" s="3257">
        <f t="shared" si="98"/>
        <v>1</v>
      </c>
      <c r="J539" s="675"/>
      <c r="K539" s="3257">
        <f t="shared" si="99"/>
        <v>1</v>
      </c>
      <c r="L539" s="675"/>
      <c r="M539" s="3257">
        <f t="shared" si="100"/>
        <v>1</v>
      </c>
      <c r="N539" s="675"/>
      <c r="O539" s="3257">
        <f t="shared" si="101"/>
        <v>1</v>
      </c>
      <c r="P539" s="675"/>
      <c r="Q539" s="3257">
        <f t="shared" si="102"/>
        <v>1</v>
      </c>
      <c r="R539" s="3258">
        <f t="shared" ca="1" si="103"/>
        <v>5702</v>
      </c>
      <c r="S539" s="1070">
        <f t="shared" ca="1" si="104"/>
        <v>20</v>
      </c>
    </row>
    <row r="540" spans="1:19">
      <c r="A540" s="673" t="str">
        <f>Sheet1!E518</f>
        <v>J1-002</v>
      </c>
      <c r="B540" s="673">
        <f>Sheet1!F518</f>
        <v>35.630000000000003</v>
      </c>
      <c r="C540" s="3257">
        <f t="shared" si="95"/>
        <v>0.99</v>
      </c>
      <c r="D540" s="675"/>
      <c r="E540" s="3257">
        <f t="shared" si="96"/>
        <v>1</v>
      </c>
      <c r="F540" s="675"/>
      <c r="G540" s="3257">
        <f t="shared" si="97"/>
        <v>1</v>
      </c>
      <c r="H540" s="675"/>
      <c r="I540" s="3257">
        <f t="shared" si="98"/>
        <v>1</v>
      </c>
      <c r="J540" s="675"/>
      <c r="K540" s="3257">
        <f t="shared" si="99"/>
        <v>1</v>
      </c>
      <c r="L540" s="675"/>
      <c r="M540" s="3257">
        <f t="shared" si="100"/>
        <v>1</v>
      </c>
      <c r="N540" s="675"/>
      <c r="O540" s="3257">
        <f t="shared" si="101"/>
        <v>1</v>
      </c>
      <c r="P540" s="675"/>
      <c r="Q540" s="3257">
        <f t="shared" si="102"/>
        <v>1</v>
      </c>
      <c r="R540" s="3258">
        <f t="shared" ca="1" si="103"/>
        <v>5702</v>
      </c>
      <c r="S540" s="1070">
        <f t="shared" ca="1" si="104"/>
        <v>20</v>
      </c>
    </row>
    <row r="541" spans="1:19">
      <c r="A541" s="673" t="str">
        <f>Sheet1!E519</f>
        <v>J1-003</v>
      </c>
      <c r="B541" s="673">
        <f>Sheet1!F519</f>
        <v>35.630000000000003</v>
      </c>
      <c r="C541" s="3257">
        <f t="shared" si="95"/>
        <v>0.99</v>
      </c>
      <c r="D541" s="675"/>
      <c r="E541" s="3257">
        <f t="shared" si="96"/>
        <v>1</v>
      </c>
      <c r="F541" s="675"/>
      <c r="G541" s="3257">
        <f t="shared" si="97"/>
        <v>1</v>
      </c>
      <c r="H541" s="675"/>
      <c r="I541" s="3257">
        <f t="shared" si="98"/>
        <v>1</v>
      </c>
      <c r="J541" s="675"/>
      <c r="K541" s="3257">
        <f t="shared" si="99"/>
        <v>1</v>
      </c>
      <c r="L541" s="675"/>
      <c r="M541" s="3257">
        <f t="shared" si="100"/>
        <v>1</v>
      </c>
      <c r="N541" s="675"/>
      <c r="O541" s="3257">
        <f t="shared" si="101"/>
        <v>1</v>
      </c>
      <c r="P541" s="675"/>
      <c r="Q541" s="3257">
        <f t="shared" si="102"/>
        <v>1</v>
      </c>
      <c r="R541" s="3258">
        <f t="shared" ca="1" si="103"/>
        <v>5702</v>
      </c>
      <c r="S541" s="1070">
        <f t="shared" ca="1" si="104"/>
        <v>20</v>
      </c>
    </row>
    <row r="542" spans="1:19">
      <c r="A542" s="673" t="str">
        <f>Sheet1!E520</f>
        <v>J1-004</v>
      </c>
      <c r="B542" s="673">
        <f>Sheet1!F520</f>
        <v>35.630000000000003</v>
      </c>
      <c r="C542" s="3257">
        <f t="shared" si="95"/>
        <v>0.99</v>
      </c>
      <c r="D542" s="675"/>
      <c r="E542" s="3257">
        <f t="shared" si="96"/>
        <v>1</v>
      </c>
      <c r="F542" s="675"/>
      <c r="G542" s="3257">
        <f t="shared" si="97"/>
        <v>1</v>
      </c>
      <c r="H542" s="675"/>
      <c r="I542" s="3257">
        <f t="shared" si="98"/>
        <v>1</v>
      </c>
      <c r="J542" s="675"/>
      <c r="K542" s="3257">
        <f t="shared" si="99"/>
        <v>1</v>
      </c>
      <c r="L542" s="675"/>
      <c r="M542" s="3257">
        <f t="shared" si="100"/>
        <v>1</v>
      </c>
      <c r="N542" s="675"/>
      <c r="O542" s="3257">
        <f t="shared" si="101"/>
        <v>1</v>
      </c>
      <c r="P542" s="675"/>
      <c r="Q542" s="3257">
        <f t="shared" si="102"/>
        <v>1</v>
      </c>
      <c r="R542" s="3258">
        <f t="shared" ca="1" si="103"/>
        <v>5702</v>
      </c>
      <c r="S542" s="1070">
        <f t="shared" ca="1" si="104"/>
        <v>20</v>
      </c>
    </row>
    <row r="543" spans="1:19">
      <c r="A543" s="673" t="str">
        <f>Sheet1!E521</f>
        <v>J1-005</v>
      </c>
      <c r="B543" s="673">
        <f>Sheet1!F521</f>
        <v>35.630000000000003</v>
      </c>
      <c r="C543" s="3257">
        <f t="shared" si="95"/>
        <v>0.99</v>
      </c>
      <c r="D543" s="675"/>
      <c r="E543" s="3257">
        <f t="shared" si="96"/>
        <v>1</v>
      </c>
      <c r="F543" s="675"/>
      <c r="G543" s="3257">
        <f t="shared" si="97"/>
        <v>1</v>
      </c>
      <c r="H543" s="675"/>
      <c r="I543" s="3257">
        <f t="shared" si="98"/>
        <v>1</v>
      </c>
      <c r="J543" s="675"/>
      <c r="K543" s="3257">
        <f t="shared" si="99"/>
        <v>1</v>
      </c>
      <c r="L543" s="675"/>
      <c r="M543" s="3257">
        <f t="shared" si="100"/>
        <v>1</v>
      </c>
      <c r="N543" s="675"/>
      <c r="O543" s="3257">
        <f t="shared" si="101"/>
        <v>1</v>
      </c>
      <c r="P543" s="675"/>
      <c r="Q543" s="3257">
        <f t="shared" si="102"/>
        <v>1</v>
      </c>
      <c r="R543" s="3258">
        <f t="shared" ca="1" si="103"/>
        <v>5702</v>
      </c>
      <c r="S543" s="1070">
        <f t="shared" ca="1" si="104"/>
        <v>20</v>
      </c>
    </row>
    <row r="544" spans="1:19">
      <c r="A544" s="673" t="str">
        <f>Sheet1!E522</f>
        <v>J1-006</v>
      </c>
      <c r="B544" s="673">
        <f>Sheet1!F522</f>
        <v>35.630000000000003</v>
      </c>
      <c r="C544" s="3257">
        <f t="shared" si="95"/>
        <v>0.99</v>
      </c>
      <c r="D544" s="675"/>
      <c r="E544" s="3257">
        <f t="shared" si="96"/>
        <v>1</v>
      </c>
      <c r="F544" s="675"/>
      <c r="G544" s="3257">
        <f t="shared" si="97"/>
        <v>1</v>
      </c>
      <c r="H544" s="675"/>
      <c r="I544" s="3257">
        <f t="shared" si="98"/>
        <v>1</v>
      </c>
      <c r="J544" s="675"/>
      <c r="K544" s="3257">
        <f t="shared" si="99"/>
        <v>1</v>
      </c>
      <c r="L544" s="675"/>
      <c r="M544" s="3257">
        <f t="shared" si="100"/>
        <v>1</v>
      </c>
      <c r="N544" s="675"/>
      <c r="O544" s="3257">
        <f t="shared" si="101"/>
        <v>1</v>
      </c>
      <c r="P544" s="675"/>
      <c r="Q544" s="3257">
        <f t="shared" si="102"/>
        <v>1</v>
      </c>
      <c r="R544" s="3258">
        <f t="shared" ca="1" si="103"/>
        <v>5702</v>
      </c>
      <c r="S544" s="1070">
        <f t="shared" ca="1" si="104"/>
        <v>20</v>
      </c>
    </row>
    <row r="545" spans="1:19">
      <c r="A545" s="673" t="str">
        <f>Sheet1!E523</f>
        <v>K1-033</v>
      </c>
      <c r="B545" s="673">
        <f>Sheet1!F523</f>
        <v>35.99</v>
      </c>
      <c r="C545" s="3257">
        <f t="shared" si="95"/>
        <v>0.99</v>
      </c>
      <c r="D545" s="675"/>
      <c r="E545" s="3257">
        <f t="shared" si="96"/>
        <v>1</v>
      </c>
      <c r="F545" s="675"/>
      <c r="G545" s="3257">
        <f t="shared" si="97"/>
        <v>1</v>
      </c>
      <c r="H545" s="675"/>
      <c r="I545" s="3257">
        <f t="shared" si="98"/>
        <v>1</v>
      </c>
      <c r="J545" s="675"/>
      <c r="K545" s="3257">
        <f t="shared" si="99"/>
        <v>1</v>
      </c>
      <c r="L545" s="675"/>
      <c r="M545" s="3257">
        <f t="shared" si="100"/>
        <v>1</v>
      </c>
      <c r="N545" s="675"/>
      <c r="O545" s="3257">
        <f t="shared" si="101"/>
        <v>1</v>
      </c>
      <c r="P545" s="675"/>
      <c r="Q545" s="3257">
        <f t="shared" si="102"/>
        <v>1</v>
      </c>
      <c r="R545" s="3258">
        <f t="shared" ca="1" si="103"/>
        <v>5702</v>
      </c>
      <c r="S545" s="1070">
        <f t="shared" ca="1" si="104"/>
        <v>21</v>
      </c>
    </row>
    <row r="546" spans="1:19">
      <c r="A546" s="673" t="str">
        <f>Sheet1!E524</f>
        <v>K1-034</v>
      </c>
      <c r="B546" s="673">
        <f>Sheet1!F524</f>
        <v>37.49</v>
      </c>
      <c r="C546" s="3257">
        <f t="shared" si="95"/>
        <v>0.99</v>
      </c>
      <c r="D546" s="675"/>
      <c r="E546" s="3257">
        <f t="shared" si="96"/>
        <v>1</v>
      </c>
      <c r="F546" s="675"/>
      <c r="G546" s="3257">
        <f t="shared" si="97"/>
        <v>1</v>
      </c>
      <c r="H546" s="675"/>
      <c r="I546" s="3257">
        <f t="shared" si="98"/>
        <v>1</v>
      </c>
      <c r="J546" s="675"/>
      <c r="K546" s="3257">
        <f t="shared" si="99"/>
        <v>1</v>
      </c>
      <c r="L546" s="675"/>
      <c r="M546" s="3257">
        <f t="shared" si="100"/>
        <v>1</v>
      </c>
      <c r="N546" s="675"/>
      <c r="O546" s="3257">
        <f t="shared" si="101"/>
        <v>1</v>
      </c>
      <c r="P546" s="675"/>
      <c r="Q546" s="3257">
        <f t="shared" si="102"/>
        <v>1</v>
      </c>
      <c r="R546" s="3258">
        <f t="shared" ca="1" si="103"/>
        <v>5702</v>
      </c>
      <c r="S546" s="1070">
        <f t="shared" ca="1" si="104"/>
        <v>21</v>
      </c>
    </row>
    <row r="547" spans="1:19">
      <c r="A547" s="673" t="str">
        <f>Sheet1!E525</f>
        <v>K1-035</v>
      </c>
      <c r="B547" s="673">
        <f>Sheet1!F525</f>
        <v>37.49</v>
      </c>
      <c r="C547" s="3257">
        <f t="shared" si="95"/>
        <v>0.99</v>
      </c>
      <c r="D547" s="675"/>
      <c r="E547" s="3257">
        <f t="shared" si="96"/>
        <v>1</v>
      </c>
      <c r="F547" s="675"/>
      <c r="G547" s="3257">
        <f t="shared" si="97"/>
        <v>1</v>
      </c>
      <c r="H547" s="675"/>
      <c r="I547" s="3257">
        <f t="shared" si="98"/>
        <v>1</v>
      </c>
      <c r="J547" s="675"/>
      <c r="K547" s="3257">
        <f t="shared" si="99"/>
        <v>1</v>
      </c>
      <c r="L547" s="675"/>
      <c r="M547" s="3257">
        <f t="shared" si="100"/>
        <v>1</v>
      </c>
      <c r="N547" s="675"/>
      <c r="O547" s="3257">
        <f t="shared" si="101"/>
        <v>1</v>
      </c>
      <c r="P547" s="675"/>
      <c r="Q547" s="3257">
        <f t="shared" si="102"/>
        <v>1</v>
      </c>
      <c r="R547" s="3258">
        <f t="shared" ca="1" si="103"/>
        <v>5702</v>
      </c>
      <c r="S547" s="1070">
        <f t="shared" ca="1" si="104"/>
        <v>21</v>
      </c>
    </row>
    <row r="548" spans="1:19">
      <c r="A548" s="673" t="str">
        <f>Sheet1!E526</f>
        <v>K1-036</v>
      </c>
      <c r="B548" s="673">
        <f>Sheet1!F526</f>
        <v>35.99</v>
      </c>
      <c r="C548" s="3257">
        <f t="shared" si="95"/>
        <v>0.99</v>
      </c>
      <c r="D548" s="675"/>
      <c r="E548" s="3257">
        <f t="shared" si="96"/>
        <v>1</v>
      </c>
      <c r="F548" s="675"/>
      <c r="G548" s="3257">
        <f t="shared" si="97"/>
        <v>1</v>
      </c>
      <c r="H548" s="675"/>
      <c r="I548" s="3257">
        <f t="shared" si="98"/>
        <v>1</v>
      </c>
      <c r="J548" s="675"/>
      <c r="K548" s="3257">
        <f t="shared" si="99"/>
        <v>1</v>
      </c>
      <c r="L548" s="675"/>
      <c r="M548" s="3257">
        <f t="shared" si="100"/>
        <v>1</v>
      </c>
      <c r="N548" s="675"/>
      <c r="O548" s="3257">
        <f t="shared" si="101"/>
        <v>1</v>
      </c>
      <c r="P548" s="675"/>
      <c r="Q548" s="3257">
        <f t="shared" si="102"/>
        <v>1</v>
      </c>
      <c r="R548" s="3258">
        <f t="shared" ca="1" si="103"/>
        <v>5702</v>
      </c>
      <c r="S548" s="1070">
        <f t="shared" ca="1" si="104"/>
        <v>21</v>
      </c>
    </row>
    <row r="549" spans="1:19">
      <c r="A549" s="673" t="str">
        <f>Sheet1!E527</f>
        <v>K1-037</v>
      </c>
      <c r="B549" s="673">
        <f>Sheet1!F527</f>
        <v>35.99</v>
      </c>
      <c r="C549" s="3257">
        <f t="shared" si="95"/>
        <v>0.99</v>
      </c>
      <c r="D549" s="675"/>
      <c r="E549" s="3257">
        <f t="shared" si="96"/>
        <v>1</v>
      </c>
      <c r="F549" s="675"/>
      <c r="G549" s="3257">
        <f t="shared" si="97"/>
        <v>1</v>
      </c>
      <c r="H549" s="675"/>
      <c r="I549" s="3257">
        <f t="shared" si="98"/>
        <v>1</v>
      </c>
      <c r="J549" s="675"/>
      <c r="K549" s="3257">
        <f t="shared" si="99"/>
        <v>1</v>
      </c>
      <c r="L549" s="675"/>
      <c r="M549" s="3257">
        <f t="shared" si="100"/>
        <v>1</v>
      </c>
      <c r="N549" s="675"/>
      <c r="O549" s="3257">
        <f t="shared" si="101"/>
        <v>1</v>
      </c>
      <c r="P549" s="675"/>
      <c r="Q549" s="3257">
        <f t="shared" si="102"/>
        <v>1</v>
      </c>
      <c r="R549" s="3258">
        <f t="shared" ca="1" si="103"/>
        <v>5702</v>
      </c>
      <c r="S549" s="1070">
        <f t="shared" ca="1" si="104"/>
        <v>21</v>
      </c>
    </row>
    <row r="550" spans="1:19">
      <c r="A550" s="673" t="str">
        <f>Sheet1!E528</f>
        <v>K1-038</v>
      </c>
      <c r="B550" s="673">
        <f>Sheet1!F528</f>
        <v>35.99</v>
      </c>
      <c r="C550" s="3257">
        <f t="shared" si="95"/>
        <v>0.99</v>
      </c>
      <c r="D550" s="675"/>
      <c r="E550" s="3257">
        <f t="shared" si="96"/>
        <v>1</v>
      </c>
      <c r="F550" s="675"/>
      <c r="G550" s="3257">
        <f t="shared" si="97"/>
        <v>1</v>
      </c>
      <c r="H550" s="675"/>
      <c r="I550" s="3257">
        <f t="shared" si="98"/>
        <v>1</v>
      </c>
      <c r="J550" s="675"/>
      <c r="K550" s="3257">
        <f t="shared" si="99"/>
        <v>1</v>
      </c>
      <c r="L550" s="675"/>
      <c r="M550" s="3257">
        <f t="shared" si="100"/>
        <v>1</v>
      </c>
      <c r="N550" s="675"/>
      <c r="O550" s="3257">
        <f t="shared" si="101"/>
        <v>1</v>
      </c>
      <c r="P550" s="675"/>
      <c r="Q550" s="3257">
        <f t="shared" si="102"/>
        <v>1</v>
      </c>
      <c r="R550" s="3258">
        <f t="shared" ca="1" si="103"/>
        <v>5702</v>
      </c>
      <c r="S550" s="1070">
        <f t="shared" ca="1" si="104"/>
        <v>21</v>
      </c>
    </row>
    <row r="551" spans="1:19">
      <c r="A551" s="673" t="str">
        <f>Sheet1!E529</f>
        <v>K1-039</v>
      </c>
      <c r="B551" s="673">
        <f>Sheet1!F529</f>
        <v>35.99</v>
      </c>
      <c r="C551" s="3257">
        <f t="shared" si="95"/>
        <v>0.99</v>
      </c>
      <c r="D551" s="675"/>
      <c r="E551" s="3257">
        <f t="shared" si="96"/>
        <v>1</v>
      </c>
      <c r="F551" s="675"/>
      <c r="G551" s="3257">
        <f t="shared" si="97"/>
        <v>1</v>
      </c>
      <c r="H551" s="675"/>
      <c r="I551" s="3257">
        <f t="shared" si="98"/>
        <v>1</v>
      </c>
      <c r="J551" s="675"/>
      <c r="K551" s="3257">
        <f t="shared" si="99"/>
        <v>1</v>
      </c>
      <c r="L551" s="675"/>
      <c r="M551" s="3257">
        <f t="shared" si="100"/>
        <v>1</v>
      </c>
      <c r="N551" s="675"/>
      <c r="O551" s="3257">
        <f t="shared" si="101"/>
        <v>1</v>
      </c>
      <c r="P551" s="675"/>
      <c r="Q551" s="3257">
        <f t="shared" si="102"/>
        <v>1</v>
      </c>
      <c r="R551" s="3258">
        <f t="shared" ca="1" si="103"/>
        <v>5702</v>
      </c>
      <c r="S551" s="1070">
        <f t="shared" ca="1" si="104"/>
        <v>21</v>
      </c>
    </row>
    <row r="552" spans="1:19">
      <c r="A552" s="673" t="str">
        <f>Sheet1!E530</f>
        <v>K1-040</v>
      </c>
      <c r="B552" s="673">
        <f>Sheet1!F530</f>
        <v>35.99</v>
      </c>
      <c r="C552" s="3257">
        <f t="shared" si="95"/>
        <v>0.99</v>
      </c>
      <c r="D552" s="675"/>
      <c r="E552" s="3257">
        <f t="shared" si="96"/>
        <v>1</v>
      </c>
      <c r="F552" s="675"/>
      <c r="G552" s="3257">
        <f t="shared" si="97"/>
        <v>1</v>
      </c>
      <c r="H552" s="675"/>
      <c r="I552" s="3257">
        <f t="shared" si="98"/>
        <v>1</v>
      </c>
      <c r="J552" s="675"/>
      <c r="K552" s="3257">
        <f t="shared" si="99"/>
        <v>1</v>
      </c>
      <c r="L552" s="675"/>
      <c r="M552" s="3257">
        <f t="shared" si="100"/>
        <v>1</v>
      </c>
      <c r="N552" s="675"/>
      <c r="O552" s="3257">
        <f t="shared" si="101"/>
        <v>1</v>
      </c>
      <c r="P552" s="675"/>
      <c r="Q552" s="3257">
        <f t="shared" si="102"/>
        <v>1</v>
      </c>
      <c r="R552" s="3258">
        <f t="shared" ca="1" si="103"/>
        <v>5702</v>
      </c>
      <c r="S552" s="1070">
        <f t="shared" ca="1" si="104"/>
        <v>21</v>
      </c>
    </row>
    <row r="553" spans="1:19">
      <c r="A553" s="673" t="str">
        <f>Sheet1!E531</f>
        <v>K1-041</v>
      </c>
      <c r="B553" s="673">
        <f>Sheet1!F531</f>
        <v>35.99</v>
      </c>
      <c r="C553" s="3257">
        <f t="shared" si="95"/>
        <v>0.99</v>
      </c>
      <c r="D553" s="675"/>
      <c r="E553" s="3257">
        <f t="shared" si="96"/>
        <v>1</v>
      </c>
      <c r="F553" s="675"/>
      <c r="G553" s="3257">
        <f t="shared" si="97"/>
        <v>1</v>
      </c>
      <c r="H553" s="675"/>
      <c r="I553" s="3257">
        <f t="shared" si="98"/>
        <v>1</v>
      </c>
      <c r="J553" s="675"/>
      <c r="K553" s="3257">
        <f t="shared" si="99"/>
        <v>1</v>
      </c>
      <c r="L553" s="675"/>
      <c r="M553" s="3257">
        <f t="shared" si="100"/>
        <v>1</v>
      </c>
      <c r="N553" s="675"/>
      <c r="O553" s="3257">
        <f t="shared" si="101"/>
        <v>1</v>
      </c>
      <c r="P553" s="675"/>
      <c r="Q553" s="3257">
        <f t="shared" si="102"/>
        <v>1</v>
      </c>
      <c r="R553" s="3258">
        <f t="shared" ca="1" si="103"/>
        <v>5702</v>
      </c>
      <c r="S553" s="1070">
        <f t="shared" ca="1" si="104"/>
        <v>21</v>
      </c>
    </row>
    <row r="554" spans="1:19">
      <c r="A554" s="673" t="str">
        <f>Sheet1!E532</f>
        <v>K1-042</v>
      </c>
      <c r="B554" s="673">
        <f>Sheet1!F532</f>
        <v>35.99</v>
      </c>
      <c r="C554" s="3257">
        <f t="shared" si="95"/>
        <v>0.99</v>
      </c>
      <c r="D554" s="675"/>
      <c r="E554" s="3257">
        <f t="shared" si="96"/>
        <v>1</v>
      </c>
      <c r="F554" s="675"/>
      <c r="G554" s="3257">
        <f t="shared" si="97"/>
        <v>1</v>
      </c>
      <c r="H554" s="675"/>
      <c r="I554" s="3257">
        <f t="shared" si="98"/>
        <v>1</v>
      </c>
      <c r="J554" s="675"/>
      <c r="K554" s="3257">
        <f t="shared" si="99"/>
        <v>1</v>
      </c>
      <c r="L554" s="675"/>
      <c r="M554" s="3257">
        <f t="shared" si="100"/>
        <v>1</v>
      </c>
      <c r="N554" s="675"/>
      <c r="O554" s="3257">
        <f t="shared" si="101"/>
        <v>1</v>
      </c>
      <c r="P554" s="675"/>
      <c r="Q554" s="3257">
        <f t="shared" si="102"/>
        <v>1</v>
      </c>
      <c r="R554" s="3258">
        <f t="shared" ca="1" si="103"/>
        <v>5702</v>
      </c>
      <c r="S554" s="1070">
        <f t="shared" ca="1" si="104"/>
        <v>21</v>
      </c>
    </row>
    <row r="555" spans="1:19">
      <c r="A555" s="673" t="str">
        <f>Sheet1!E533</f>
        <v>K1-043</v>
      </c>
      <c r="B555" s="673">
        <f>Sheet1!F533</f>
        <v>35.99</v>
      </c>
      <c r="C555" s="3257">
        <f t="shared" si="95"/>
        <v>0.99</v>
      </c>
      <c r="D555" s="675"/>
      <c r="E555" s="3257">
        <f t="shared" si="96"/>
        <v>1</v>
      </c>
      <c r="F555" s="675"/>
      <c r="G555" s="3257">
        <f t="shared" si="97"/>
        <v>1</v>
      </c>
      <c r="H555" s="675"/>
      <c r="I555" s="3257">
        <f t="shared" si="98"/>
        <v>1</v>
      </c>
      <c r="J555" s="675"/>
      <c r="K555" s="3257">
        <f t="shared" si="99"/>
        <v>1</v>
      </c>
      <c r="L555" s="675"/>
      <c r="M555" s="3257">
        <f t="shared" si="100"/>
        <v>1</v>
      </c>
      <c r="N555" s="675"/>
      <c r="O555" s="3257">
        <f t="shared" si="101"/>
        <v>1</v>
      </c>
      <c r="P555" s="675"/>
      <c r="Q555" s="3257">
        <f t="shared" si="102"/>
        <v>1</v>
      </c>
      <c r="R555" s="3258">
        <f t="shared" ca="1" si="103"/>
        <v>5702</v>
      </c>
      <c r="S555" s="1070">
        <f t="shared" ca="1" si="104"/>
        <v>21</v>
      </c>
    </row>
    <row r="556" spans="1:19">
      <c r="A556" s="673" t="str">
        <f>Sheet1!E534</f>
        <v>K1-044</v>
      </c>
      <c r="B556" s="673">
        <f>Sheet1!F534</f>
        <v>35.99</v>
      </c>
      <c r="C556" s="3257">
        <f t="shared" si="95"/>
        <v>0.99</v>
      </c>
      <c r="D556" s="675"/>
      <c r="E556" s="3257">
        <f t="shared" si="96"/>
        <v>1</v>
      </c>
      <c r="F556" s="675"/>
      <c r="G556" s="3257">
        <f t="shared" si="97"/>
        <v>1</v>
      </c>
      <c r="H556" s="675"/>
      <c r="I556" s="3257">
        <f t="shared" si="98"/>
        <v>1</v>
      </c>
      <c r="J556" s="675"/>
      <c r="K556" s="3257">
        <f t="shared" si="99"/>
        <v>1</v>
      </c>
      <c r="L556" s="675"/>
      <c r="M556" s="3257">
        <f t="shared" si="100"/>
        <v>1</v>
      </c>
      <c r="N556" s="675"/>
      <c r="O556" s="3257">
        <f t="shared" si="101"/>
        <v>1</v>
      </c>
      <c r="P556" s="675"/>
      <c r="Q556" s="3257">
        <f t="shared" si="102"/>
        <v>1</v>
      </c>
      <c r="R556" s="3258">
        <f t="shared" ca="1" si="103"/>
        <v>5702</v>
      </c>
      <c r="S556" s="1070">
        <f t="shared" ca="1" si="104"/>
        <v>21</v>
      </c>
    </row>
    <row r="557" spans="1:19">
      <c r="A557" s="673" t="str">
        <f>Sheet1!E535</f>
        <v>K1-045</v>
      </c>
      <c r="B557" s="673">
        <f>Sheet1!F535</f>
        <v>33.65</v>
      </c>
      <c r="C557" s="3257">
        <f t="shared" si="95"/>
        <v>1</v>
      </c>
      <c r="D557" s="675"/>
      <c r="E557" s="3257">
        <f t="shared" si="96"/>
        <v>1</v>
      </c>
      <c r="F557" s="675"/>
      <c r="G557" s="3257">
        <f t="shared" si="97"/>
        <v>1</v>
      </c>
      <c r="H557" s="675"/>
      <c r="I557" s="3257">
        <f t="shared" si="98"/>
        <v>1</v>
      </c>
      <c r="J557" s="675"/>
      <c r="K557" s="3257">
        <f t="shared" si="99"/>
        <v>1</v>
      </c>
      <c r="L557" s="675"/>
      <c r="M557" s="3257">
        <f t="shared" si="100"/>
        <v>1</v>
      </c>
      <c r="N557" s="675"/>
      <c r="O557" s="3257">
        <f t="shared" si="101"/>
        <v>1</v>
      </c>
      <c r="P557" s="675"/>
      <c r="Q557" s="3257">
        <f t="shared" si="102"/>
        <v>1</v>
      </c>
      <c r="R557" s="3258">
        <f t="shared" ca="1" si="103"/>
        <v>5760</v>
      </c>
      <c r="S557" s="1070">
        <f t="shared" ca="1" si="104"/>
        <v>19</v>
      </c>
    </row>
    <row r="558" spans="1:19">
      <c r="A558" s="673" t="str">
        <f>Sheet1!E536</f>
        <v>K1-046</v>
      </c>
      <c r="B558" s="673">
        <f>Sheet1!F536</f>
        <v>37.49</v>
      </c>
      <c r="C558" s="3257">
        <f t="shared" si="95"/>
        <v>0.99</v>
      </c>
      <c r="D558" s="675"/>
      <c r="E558" s="3257">
        <f t="shared" si="96"/>
        <v>1</v>
      </c>
      <c r="F558" s="675"/>
      <c r="G558" s="3257">
        <f t="shared" si="97"/>
        <v>1</v>
      </c>
      <c r="H558" s="675"/>
      <c r="I558" s="3257">
        <f t="shared" si="98"/>
        <v>1</v>
      </c>
      <c r="J558" s="675"/>
      <c r="K558" s="3257">
        <f t="shared" si="99"/>
        <v>1</v>
      </c>
      <c r="L558" s="675"/>
      <c r="M558" s="3257">
        <f t="shared" si="100"/>
        <v>1</v>
      </c>
      <c r="N558" s="675"/>
      <c r="O558" s="3257">
        <f t="shared" si="101"/>
        <v>1</v>
      </c>
      <c r="P558" s="675"/>
      <c r="Q558" s="3257">
        <f t="shared" si="102"/>
        <v>1</v>
      </c>
      <c r="R558" s="3258">
        <f t="shared" ca="1" si="103"/>
        <v>5702</v>
      </c>
      <c r="S558" s="1070">
        <f t="shared" ca="1" si="104"/>
        <v>21</v>
      </c>
    </row>
    <row r="559" spans="1:19">
      <c r="A559" s="673" t="str">
        <f>Sheet1!E537</f>
        <v>K1-047</v>
      </c>
      <c r="B559" s="673">
        <f>Sheet1!F537</f>
        <v>37.49</v>
      </c>
      <c r="C559" s="3257">
        <f t="shared" si="95"/>
        <v>0.99</v>
      </c>
      <c r="D559" s="675"/>
      <c r="E559" s="3257">
        <f t="shared" si="96"/>
        <v>1</v>
      </c>
      <c r="F559" s="675"/>
      <c r="G559" s="3257">
        <f t="shared" si="97"/>
        <v>1</v>
      </c>
      <c r="H559" s="675"/>
      <c r="I559" s="3257">
        <f t="shared" si="98"/>
        <v>1</v>
      </c>
      <c r="J559" s="675"/>
      <c r="K559" s="3257">
        <f t="shared" si="99"/>
        <v>1</v>
      </c>
      <c r="L559" s="675"/>
      <c r="M559" s="3257">
        <f t="shared" si="100"/>
        <v>1</v>
      </c>
      <c r="N559" s="675"/>
      <c r="O559" s="3257">
        <f t="shared" si="101"/>
        <v>1</v>
      </c>
      <c r="P559" s="675"/>
      <c r="Q559" s="3257">
        <f t="shared" si="102"/>
        <v>1</v>
      </c>
      <c r="R559" s="3258">
        <f t="shared" ca="1" si="103"/>
        <v>5702</v>
      </c>
      <c r="S559" s="1070">
        <f t="shared" ca="1" si="104"/>
        <v>21</v>
      </c>
    </row>
    <row r="560" spans="1:19">
      <c r="A560" s="673" t="str">
        <f>Sheet1!E538</f>
        <v>K1-048</v>
      </c>
      <c r="B560" s="673">
        <f>Sheet1!F538</f>
        <v>37.49</v>
      </c>
      <c r="C560" s="3257">
        <f t="shared" si="95"/>
        <v>0.99</v>
      </c>
      <c r="D560" s="675"/>
      <c r="E560" s="3257">
        <f t="shared" si="96"/>
        <v>1</v>
      </c>
      <c r="F560" s="675"/>
      <c r="G560" s="3257">
        <f t="shared" si="97"/>
        <v>1</v>
      </c>
      <c r="H560" s="675"/>
      <c r="I560" s="3257">
        <f t="shared" si="98"/>
        <v>1</v>
      </c>
      <c r="J560" s="675"/>
      <c r="K560" s="3257">
        <f t="shared" si="99"/>
        <v>1</v>
      </c>
      <c r="L560" s="675"/>
      <c r="M560" s="3257">
        <f t="shared" si="100"/>
        <v>1</v>
      </c>
      <c r="N560" s="675"/>
      <c r="O560" s="3257">
        <f t="shared" si="101"/>
        <v>1</v>
      </c>
      <c r="P560" s="675"/>
      <c r="Q560" s="3257">
        <f t="shared" si="102"/>
        <v>1</v>
      </c>
      <c r="R560" s="3258">
        <f t="shared" ca="1" si="103"/>
        <v>5702</v>
      </c>
      <c r="S560" s="1070">
        <f t="shared" ca="1" si="104"/>
        <v>21</v>
      </c>
    </row>
    <row r="561" spans="1:19">
      <c r="A561" s="673" t="str">
        <f>Sheet1!E539</f>
        <v>K1-049</v>
      </c>
      <c r="B561" s="673">
        <f>Sheet1!F539</f>
        <v>37.49</v>
      </c>
      <c r="C561" s="3257">
        <f t="shared" si="95"/>
        <v>0.99</v>
      </c>
      <c r="D561" s="675"/>
      <c r="E561" s="3257">
        <f t="shared" si="96"/>
        <v>1</v>
      </c>
      <c r="F561" s="675"/>
      <c r="G561" s="3257">
        <f t="shared" si="97"/>
        <v>1</v>
      </c>
      <c r="H561" s="675"/>
      <c r="I561" s="3257">
        <f t="shared" si="98"/>
        <v>1</v>
      </c>
      <c r="J561" s="675"/>
      <c r="K561" s="3257">
        <f t="shared" si="99"/>
        <v>1</v>
      </c>
      <c r="L561" s="675"/>
      <c r="M561" s="3257">
        <f t="shared" si="100"/>
        <v>1</v>
      </c>
      <c r="N561" s="675"/>
      <c r="O561" s="3257">
        <f t="shared" si="101"/>
        <v>1</v>
      </c>
      <c r="P561" s="675"/>
      <c r="Q561" s="3257">
        <f t="shared" si="102"/>
        <v>1</v>
      </c>
      <c r="R561" s="3258">
        <f t="shared" ca="1" si="103"/>
        <v>5702</v>
      </c>
      <c r="S561" s="1070">
        <f t="shared" ca="1" si="104"/>
        <v>21</v>
      </c>
    </row>
    <row r="562" spans="1:19">
      <c r="A562" s="673" t="str">
        <f>Sheet1!E540</f>
        <v>K1-050</v>
      </c>
      <c r="B562" s="673">
        <f>Sheet1!F540</f>
        <v>37.49</v>
      </c>
      <c r="C562" s="3257">
        <f t="shared" si="95"/>
        <v>0.99</v>
      </c>
      <c r="D562" s="675"/>
      <c r="E562" s="3257">
        <f t="shared" si="96"/>
        <v>1</v>
      </c>
      <c r="F562" s="675"/>
      <c r="G562" s="3257">
        <f t="shared" si="97"/>
        <v>1</v>
      </c>
      <c r="H562" s="675"/>
      <c r="I562" s="3257">
        <f t="shared" si="98"/>
        <v>1</v>
      </c>
      <c r="J562" s="675"/>
      <c r="K562" s="3257">
        <f t="shared" si="99"/>
        <v>1</v>
      </c>
      <c r="L562" s="675"/>
      <c r="M562" s="3257">
        <f t="shared" si="100"/>
        <v>1</v>
      </c>
      <c r="N562" s="675"/>
      <c r="O562" s="3257">
        <f t="shared" si="101"/>
        <v>1</v>
      </c>
      <c r="P562" s="675"/>
      <c r="Q562" s="3257">
        <f t="shared" si="102"/>
        <v>1</v>
      </c>
      <c r="R562" s="3258">
        <f t="shared" ca="1" si="103"/>
        <v>5702</v>
      </c>
      <c r="S562" s="1070">
        <f t="shared" ca="1" si="104"/>
        <v>21</v>
      </c>
    </row>
    <row r="563" spans="1:19">
      <c r="A563" s="673" t="str">
        <f>Sheet1!E541</f>
        <v>K1-052</v>
      </c>
      <c r="B563" s="673">
        <f>Sheet1!F541</f>
        <v>37.49</v>
      </c>
      <c r="C563" s="3257">
        <f t="shared" si="95"/>
        <v>0.99</v>
      </c>
      <c r="D563" s="675"/>
      <c r="E563" s="3257">
        <f t="shared" si="96"/>
        <v>1</v>
      </c>
      <c r="F563" s="675"/>
      <c r="G563" s="3257">
        <f t="shared" si="97"/>
        <v>1</v>
      </c>
      <c r="H563" s="675"/>
      <c r="I563" s="3257">
        <f t="shared" si="98"/>
        <v>1</v>
      </c>
      <c r="J563" s="675"/>
      <c r="K563" s="3257">
        <f t="shared" si="99"/>
        <v>1</v>
      </c>
      <c r="L563" s="675"/>
      <c r="M563" s="3257">
        <f t="shared" si="100"/>
        <v>1</v>
      </c>
      <c r="N563" s="675"/>
      <c r="O563" s="3257">
        <f t="shared" si="101"/>
        <v>1</v>
      </c>
      <c r="P563" s="675"/>
      <c r="Q563" s="3257">
        <f t="shared" si="102"/>
        <v>1</v>
      </c>
      <c r="R563" s="3258">
        <f t="shared" ca="1" si="103"/>
        <v>5702</v>
      </c>
      <c r="S563" s="1070">
        <f t="shared" ca="1" si="104"/>
        <v>21</v>
      </c>
    </row>
    <row r="564" spans="1:19">
      <c r="A564" s="673" t="str">
        <f>Sheet1!E542</f>
        <v>K1-053</v>
      </c>
      <c r="B564" s="673">
        <f>Sheet1!F542</f>
        <v>37.49</v>
      </c>
      <c r="C564" s="3257">
        <f t="shared" si="95"/>
        <v>0.99</v>
      </c>
      <c r="D564" s="675"/>
      <c r="E564" s="3257">
        <f t="shared" si="96"/>
        <v>1</v>
      </c>
      <c r="F564" s="675"/>
      <c r="G564" s="3257">
        <f t="shared" si="97"/>
        <v>1</v>
      </c>
      <c r="H564" s="675"/>
      <c r="I564" s="3257">
        <f t="shared" si="98"/>
        <v>1</v>
      </c>
      <c r="J564" s="675"/>
      <c r="K564" s="3257">
        <f t="shared" si="99"/>
        <v>1</v>
      </c>
      <c r="L564" s="675"/>
      <c r="M564" s="3257">
        <f t="shared" si="100"/>
        <v>1</v>
      </c>
      <c r="N564" s="675"/>
      <c r="O564" s="3257">
        <f t="shared" si="101"/>
        <v>1</v>
      </c>
      <c r="P564" s="675"/>
      <c r="Q564" s="3257">
        <f t="shared" si="102"/>
        <v>1</v>
      </c>
      <c r="R564" s="3258">
        <f t="shared" ca="1" si="103"/>
        <v>5702</v>
      </c>
      <c r="S564" s="1070">
        <f t="shared" ca="1" si="104"/>
        <v>21</v>
      </c>
    </row>
    <row r="565" spans="1:19">
      <c r="A565" s="673" t="str">
        <f>Sheet1!E543</f>
        <v>K1-054</v>
      </c>
      <c r="B565" s="673">
        <f>Sheet1!F543</f>
        <v>37.49</v>
      </c>
      <c r="C565" s="3257">
        <f t="shared" si="95"/>
        <v>0.99</v>
      </c>
      <c r="D565" s="675"/>
      <c r="E565" s="3257">
        <f t="shared" si="96"/>
        <v>1</v>
      </c>
      <c r="F565" s="675"/>
      <c r="G565" s="3257">
        <f t="shared" si="97"/>
        <v>1</v>
      </c>
      <c r="H565" s="675"/>
      <c r="I565" s="3257">
        <f t="shared" si="98"/>
        <v>1</v>
      </c>
      <c r="J565" s="675"/>
      <c r="K565" s="3257">
        <f t="shared" si="99"/>
        <v>1</v>
      </c>
      <c r="L565" s="675"/>
      <c r="M565" s="3257">
        <f t="shared" si="100"/>
        <v>1</v>
      </c>
      <c r="N565" s="675"/>
      <c r="O565" s="3257">
        <f t="shared" si="101"/>
        <v>1</v>
      </c>
      <c r="P565" s="675"/>
      <c r="Q565" s="3257">
        <f t="shared" si="102"/>
        <v>1</v>
      </c>
      <c r="R565" s="3258">
        <f t="shared" ca="1" si="103"/>
        <v>5702</v>
      </c>
      <c r="S565" s="1070">
        <f t="shared" ca="1" si="104"/>
        <v>21</v>
      </c>
    </row>
    <row r="566" spans="1:19">
      <c r="A566" s="673" t="str">
        <f>Sheet1!E544</f>
        <v>K1-055</v>
      </c>
      <c r="B566" s="673">
        <f>Sheet1!F544</f>
        <v>37.49</v>
      </c>
      <c r="C566" s="3257">
        <f t="shared" si="95"/>
        <v>0.99</v>
      </c>
      <c r="D566" s="675"/>
      <c r="E566" s="3257">
        <f t="shared" si="96"/>
        <v>1</v>
      </c>
      <c r="F566" s="675"/>
      <c r="G566" s="3257">
        <f t="shared" si="97"/>
        <v>1</v>
      </c>
      <c r="H566" s="675"/>
      <c r="I566" s="3257">
        <f t="shared" si="98"/>
        <v>1</v>
      </c>
      <c r="J566" s="675"/>
      <c r="K566" s="3257">
        <f t="shared" si="99"/>
        <v>1</v>
      </c>
      <c r="L566" s="675"/>
      <c r="M566" s="3257">
        <f t="shared" si="100"/>
        <v>1</v>
      </c>
      <c r="N566" s="675"/>
      <c r="O566" s="3257">
        <f t="shared" si="101"/>
        <v>1</v>
      </c>
      <c r="P566" s="675"/>
      <c r="Q566" s="3257">
        <f t="shared" si="102"/>
        <v>1</v>
      </c>
      <c r="R566" s="3258">
        <f t="shared" ca="1" si="103"/>
        <v>5702</v>
      </c>
      <c r="S566" s="1070">
        <f t="shared" ca="1" si="104"/>
        <v>21</v>
      </c>
    </row>
    <row r="567" spans="1:19">
      <c r="A567" s="673" t="str">
        <f>Sheet1!E545</f>
        <v>M1-073</v>
      </c>
      <c r="B567" s="673">
        <f>Sheet1!F545</f>
        <v>37.49</v>
      </c>
      <c r="C567" s="3257">
        <f t="shared" si="95"/>
        <v>0.99</v>
      </c>
      <c r="D567" s="675"/>
      <c r="E567" s="3257">
        <f t="shared" si="96"/>
        <v>1</v>
      </c>
      <c r="F567" s="675"/>
      <c r="G567" s="3257">
        <f t="shared" si="97"/>
        <v>1</v>
      </c>
      <c r="H567" s="675"/>
      <c r="I567" s="3257">
        <f t="shared" si="98"/>
        <v>1</v>
      </c>
      <c r="J567" s="675"/>
      <c r="K567" s="3257">
        <f t="shared" si="99"/>
        <v>1</v>
      </c>
      <c r="L567" s="675"/>
      <c r="M567" s="3257">
        <f t="shared" si="100"/>
        <v>1</v>
      </c>
      <c r="N567" s="675"/>
      <c r="O567" s="3257">
        <f t="shared" si="101"/>
        <v>1</v>
      </c>
      <c r="P567" s="675"/>
      <c r="Q567" s="3257">
        <f t="shared" si="102"/>
        <v>1</v>
      </c>
      <c r="R567" s="3258">
        <f t="shared" ca="1" si="103"/>
        <v>5702</v>
      </c>
      <c r="S567" s="1070">
        <f t="shared" ca="1" si="104"/>
        <v>21</v>
      </c>
    </row>
    <row r="568" spans="1:19">
      <c r="A568" s="673" t="str">
        <f>Sheet1!E546</f>
        <v>M1-074</v>
      </c>
      <c r="B568" s="673">
        <f>Sheet1!F546</f>
        <v>37.49</v>
      </c>
      <c r="C568" s="3257">
        <f t="shared" si="95"/>
        <v>0.99</v>
      </c>
      <c r="D568" s="675"/>
      <c r="E568" s="3257">
        <f t="shared" si="96"/>
        <v>1</v>
      </c>
      <c r="F568" s="675"/>
      <c r="G568" s="3257">
        <f t="shared" si="97"/>
        <v>1</v>
      </c>
      <c r="H568" s="675"/>
      <c r="I568" s="3257">
        <f t="shared" si="98"/>
        <v>1</v>
      </c>
      <c r="J568" s="675"/>
      <c r="K568" s="3257">
        <f t="shared" si="99"/>
        <v>1</v>
      </c>
      <c r="L568" s="675"/>
      <c r="M568" s="3257">
        <f t="shared" si="100"/>
        <v>1</v>
      </c>
      <c r="N568" s="675"/>
      <c r="O568" s="3257">
        <f t="shared" si="101"/>
        <v>1</v>
      </c>
      <c r="P568" s="675"/>
      <c r="Q568" s="3257">
        <f t="shared" si="102"/>
        <v>1</v>
      </c>
      <c r="R568" s="3258">
        <f t="shared" ca="1" si="103"/>
        <v>5702</v>
      </c>
      <c r="S568" s="1070">
        <f t="shared" ca="1" si="104"/>
        <v>21</v>
      </c>
    </row>
    <row r="569" spans="1:19">
      <c r="A569" s="673" t="str">
        <f>Sheet1!E547</f>
        <v>M1-075</v>
      </c>
      <c r="B569" s="673">
        <f>Sheet1!F547</f>
        <v>37.49</v>
      </c>
      <c r="C569" s="3257">
        <f t="shared" si="95"/>
        <v>0.99</v>
      </c>
      <c r="D569" s="675"/>
      <c r="E569" s="3257">
        <f t="shared" si="96"/>
        <v>1</v>
      </c>
      <c r="F569" s="675"/>
      <c r="G569" s="3257">
        <f t="shared" si="97"/>
        <v>1</v>
      </c>
      <c r="H569" s="675"/>
      <c r="I569" s="3257">
        <f t="shared" si="98"/>
        <v>1</v>
      </c>
      <c r="J569" s="675"/>
      <c r="K569" s="3257">
        <f t="shared" si="99"/>
        <v>1</v>
      </c>
      <c r="L569" s="675"/>
      <c r="M569" s="3257">
        <f t="shared" si="100"/>
        <v>1</v>
      </c>
      <c r="N569" s="675"/>
      <c r="O569" s="3257">
        <f t="shared" si="101"/>
        <v>1</v>
      </c>
      <c r="P569" s="675"/>
      <c r="Q569" s="3257">
        <f t="shared" si="102"/>
        <v>1</v>
      </c>
      <c r="R569" s="3258">
        <f t="shared" ca="1" si="103"/>
        <v>5702</v>
      </c>
      <c r="S569" s="1070">
        <f t="shared" ca="1" si="104"/>
        <v>21</v>
      </c>
    </row>
    <row r="570" spans="1:19">
      <c r="A570" s="673" t="str">
        <f>Sheet1!E548</f>
        <v>M1-077</v>
      </c>
      <c r="B570" s="673">
        <f>Sheet1!F548</f>
        <v>37.49</v>
      </c>
      <c r="C570" s="3257">
        <f t="shared" si="95"/>
        <v>0.99</v>
      </c>
      <c r="D570" s="675"/>
      <c r="E570" s="3257">
        <f t="shared" si="96"/>
        <v>1</v>
      </c>
      <c r="F570" s="675"/>
      <c r="G570" s="3257">
        <f t="shared" si="97"/>
        <v>1</v>
      </c>
      <c r="H570" s="675"/>
      <c r="I570" s="3257">
        <f t="shared" si="98"/>
        <v>1</v>
      </c>
      <c r="J570" s="675"/>
      <c r="K570" s="3257">
        <f t="shared" si="99"/>
        <v>1</v>
      </c>
      <c r="L570" s="675"/>
      <c r="M570" s="3257">
        <f t="shared" si="100"/>
        <v>1</v>
      </c>
      <c r="N570" s="675"/>
      <c r="O570" s="3257">
        <f t="shared" si="101"/>
        <v>1</v>
      </c>
      <c r="P570" s="675"/>
      <c r="Q570" s="3257">
        <f t="shared" si="102"/>
        <v>1</v>
      </c>
      <c r="R570" s="3258">
        <f t="shared" ca="1" si="103"/>
        <v>5702</v>
      </c>
      <c r="S570" s="1070">
        <f t="shared" ca="1" si="104"/>
        <v>21</v>
      </c>
    </row>
    <row r="571" spans="1:19">
      <c r="A571" s="673" t="str">
        <f>Sheet1!E549</f>
        <v>M1-078</v>
      </c>
      <c r="B571" s="673">
        <f>Sheet1!F549</f>
        <v>37.49</v>
      </c>
      <c r="C571" s="3257">
        <f t="shared" si="95"/>
        <v>0.99</v>
      </c>
      <c r="D571" s="675"/>
      <c r="E571" s="3257">
        <f t="shared" si="96"/>
        <v>1</v>
      </c>
      <c r="F571" s="675"/>
      <c r="G571" s="3257">
        <f t="shared" si="97"/>
        <v>1</v>
      </c>
      <c r="H571" s="675"/>
      <c r="I571" s="3257">
        <f t="shared" si="98"/>
        <v>1</v>
      </c>
      <c r="J571" s="675"/>
      <c r="K571" s="3257">
        <f t="shared" si="99"/>
        <v>1</v>
      </c>
      <c r="L571" s="675"/>
      <c r="M571" s="3257">
        <f t="shared" si="100"/>
        <v>1</v>
      </c>
      <c r="N571" s="675"/>
      <c r="O571" s="3257">
        <f t="shared" si="101"/>
        <v>1</v>
      </c>
      <c r="P571" s="675"/>
      <c r="Q571" s="3257">
        <f t="shared" si="102"/>
        <v>1</v>
      </c>
      <c r="R571" s="3258">
        <f t="shared" ca="1" si="103"/>
        <v>5702</v>
      </c>
      <c r="S571" s="1070">
        <f t="shared" ca="1" si="104"/>
        <v>21</v>
      </c>
    </row>
    <row r="572" spans="1:19">
      <c r="A572" s="673" t="str">
        <f>Sheet1!E550</f>
        <v>M1-079</v>
      </c>
      <c r="B572" s="673">
        <f>Sheet1!F550</f>
        <v>37.49</v>
      </c>
      <c r="C572" s="3257">
        <f t="shared" si="95"/>
        <v>0.99</v>
      </c>
      <c r="D572" s="675"/>
      <c r="E572" s="3257">
        <f t="shared" si="96"/>
        <v>1</v>
      </c>
      <c r="F572" s="675"/>
      <c r="G572" s="3257">
        <f t="shared" si="97"/>
        <v>1</v>
      </c>
      <c r="H572" s="675"/>
      <c r="I572" s="3257">
        <f t="shared" si="98"/>
        <v>1</v>
      </c>
      <c r="J572" s="675"/>
      <c r="K572" s="3257">
        <f t="shared" si="99"/>
        <v>1</v>
      </c>
      <c r="L572" s="675"/>
      <c r="M572" s="3257">
        <f t="shared" si="100"/>
        <v>1</v>
      </c>
      <c r="N572" s="675"/>
      <c r="O572" s="3257">
        <f t="shared" si="101"/>
        <v>1</v>
      </c>
      <c r="P572" s="675"/>
      <c r="Q572" s="3257">
        <f t="shared" si="102"/>
        <v>1</v>
      </c>
      <c r="R572" s="3258">
        <f t="shared" ca="1" si="103"/>
        <v>5702</v>
      </c>
      <c r="S572" s="1070">
        <f t="shared" ca="1" si="104"/>
        <v>21</v>
      </c>
    </row>
    <row r="573" spans="1:19">
      <c r="A573" s="673" t="str">
        <f>Sheet1!E551</f>
        <v>M1-080</v>
      </c>
      <c r="B573" s="673">
        <f>Sheet1!F551</f>
        <v>37.49</v>
      </c>
      <c r="C573" s="3257">
        <f t="shared" si="95"/>
        <v>0.99</v>
      </c>
      <c r="D573" s="675"/>
      <c r="E573" s="3257">
        <f t="shared" si="96"/>
        <v>1</v>
      </c>
      <c r="F573" s="675"/>
      <c r="G573" s="3257">
        <f t="shared" si="97"/>
        <v>1</v>
      </c>
      <c r="H573" s="675"/>
      <c r="I573" s="3257">
        <f t="shared" si="98"/>
        <v>1</v>
      </c>
      <c r="J573" s="675"/>
      <c r="K573" s="3257">
        <f t="shared" si="99"/>
        <v>1</v>
      </c>
      <c r="L573" s="675"/>
      <c r="M573" s="3257">
        <f t="shared" si="100"/>
        <v>1</v>
      </c>
      <c r="N573" s="675"/>
      <c r="O573" s="3257">
        <f t="shared" si="101"/>
        <v>1</v>
      </c>
      <c r="P573" s="675"/>
      <c r="Q573" s="3257">
        <f t="shared" si="102"/>
        <v>1</v>
      </c>
      <c r="R573" s="3258">
        <f t="shared" ca="1" si="103"/>
        <v>5702</v>
      </c>
      <c r="S573" s="1070">
        <f t="shared" ca="1" si="104"/>
        <v>21</v>
      </c>
    </row>
    <row r="574" spans="1:19">
      <c r="A574" s="673" t="str">
        <f>Sheet1!E552</f>
        <v>M1-081</v>
      </c>
      <c r="B574" s="673">
        <f>Sheet1!F552</f>
        <v>37.49</v>
      </c>
      <c r="C574" s="3257">
        <f t="shared" si="95"/>
        <v>0.99</v>
      </c>
      <c r="D574" s="675"/>
      <c r="E574" s="3257">
        <f t="shared" si="96"/>
        <v>1</v>
      </c>
      <c r="F574" s="675"/>
      <c r="G574" s="3257">
        <f t="shared" si="97"/>
        <v>1</v>
      </c>
      <c r="H574" s="675"/>
      <c r="I574" s="3257">
        <f t="shared" si="98"/>
        <v>1</v>
      </c>
      <c r="J574" s="675"/>
      <c r="K574" s="3257">
        <f t="shared" si="99"/>
        <v>1</v>
      </c>
      <c r="L574" s="675"/>
      <c r="M574" s="3257">
        <f t="shared" si="100"/>
        <v>1</v>
      </c>
      <c r="N574" s="675"/>
      <c r="O574" s="3257">
        <f t="shared" si="101"/>
        <v>1</v>
      </c>
      <c r="P574" s="675"/>
      <c r="Q574" s="3257">
        <f t="shared" si="102"/>
        <v>1</v>
      </c>
      <c r="R574" s="3258">
        <f t="shared" ca="1" si="103"/>
        <v>5702</v>
      </c>
      <c r="S574" s="1070">
        <f t="shared" ca="1" si="104"/>
        <v>21</v>
      </c>
    </row>
    <row r="575" spans="1:19">
      <c r="A575" s="673" t="str">
        <f>Sheet1!E553</f>
        <v>C1-010</v>
      </c>
      <c r="B575" s="673">
        <f>Sheet1!F553</f>
        <v>37.520000000000003</v>
      </c>
      <c r="C575" s="3257">
        <f t="shared" si="95"/>
        <v>0.99</v>
      </c>
      <c r="D575" s="675"/>
      <c r="E575" s="3257">
        <f t="shared" si="96"/>
        <v>1</v>
      </c>
      <c r="F575" s="675"/>
      <c r="G575" s="3257">
        <f t="shared" si="97"/>
        <v>1</v>
      </c>
      <c r="H575" s="675"/>
      <c r="I575" s="3257">
        <f t="shared" si="98"/>
        <v>1</v>
      </c>
      <c r="J575" s="675"/>
      <c r="K575" s="3257">
        <f t="shared" si="99"/>
        <v>1</v>
      </c>
      <c r="L575" s="675"/>
      <c r="M575" s="3257">
        <f t="shared" si="100"/>
        <v>1</v>
      </c>
      <c r="N575" s="675"/>
      <c r="O575" s="3257">
        <f t="shared" si="101"/>
        <v>1</v>
      </c>
      <c r="P575" s="675"/>
      <c r="Q575" s="3257">
        <f t="shared" si="102"/>
        <v>1</v>
      </c>
      <c r="R575" s="3258">
        <f t="shared" ca="1" si="103"/>
        <v>5702</v>
      </c>
      <c r="S575" s="1070">
        <f t="shared" ca="1" si="104"/>
        <v>21</v>
      </c>
    </row>
    <row r="576" spans="1:19">
      <c r="A576" s="673" t="str">
        <f>Sheet1!E554</f>
        <v>C1-011</v>
      </c>
      <c r="B576" s="673">
        <f>Sheet1!F554</f>
        <v>37.520000000000003</v>
      </c>
      <c r="C576" s="3257">
        <f t="shared" si="95"/>
        <v>0.99</v>
      </c>
      <c r="D576" s="675"/>
      <c r="E576" s="3257">
        <f t="shared" si="96"/>
        <v>1</v>
      </c>
      <c r="F576" s="675"/>
      <c r="G576" s="3257">
        <f t="shared" si="97"/>
        <v>1</v>
      </c>
      <c r="H576" s="675"/>
      <c r="I576" s="3257">
        <f t="shared" si="98"/>
        <v>1</v>
      </c>
      <c r="J576" s="675"/>
      <c r="K576" s="3257">
        <f t="shared" si="99"/>
        <v>1</v>
      </c>
      <c r="L576" s="675"/>
      <c r="M576" s="3257">
        <f t="shared" si="100"/>
        <v>1</v>
      </c>
      <c r="N576" s="675"/>
      <c r="O576" s="3257">
        <f t="shared" si="101"/>
        <v>1</v>
      </c>
      <c r="P576" s="675"/>
      <c r="Q576" s="3257">
        <f t="shared" si="102"/>
        <v>1</v>
      </c>
      <c r="R576" s="3258">
        <f t="shared" ca="1" si="103"/>
        <v>5702</v>
      </c>
      <c r="S576" s="1070">
        <f t="shared" ca="1" si="104"/>
        <v>21</v>
      </c>
    </row>
    <row r="577" spans="1:19">
      <c r="A577" s="673" t="str">
        <f>Sheet1!E555</f>
        <v>C1-012</v>
      </c>
      <c r="B577" s="673">
        <f>Sheet1!F555</f>
        <v>37.520000000000003</v>
      </c>
      <c r="C577" s="3257">
        <f t="shared" si="95"/>
        <v>0.99</v>
      </c>
      <c r="D577" s="675"/>
      <c r="E577" s="3257">
        <f t="shared" si="96"/>
        <v>1</v>
      </c>
      <c r="F577" s="675"/>
      <c r="G577" s="3257">
        <f t="shared" si="97"/>
        <v>1</v>
      </c>
      <c r="H577" s="675"/>
      <c r="I577" s="3257">
        <f t="shared" si="98"/>
        <v>1</v>
      </c>
      <c r="J577" s="675"/>
      <c r="K577" s="3257">
        <f t="shared" si="99"/>
        <v>1</v>
      </c>
      <c r="L577" s="675"/>
      <c r="M577" s="3257">
        <f t="shared" si="100"/>
        <v>1</v>
      </c>
      <c r="N577" s="675"/>
      <c r="O577" s="3257">
        <f t="shared" si="101"/>
        <v>1</v>
      </c>
      <c r="P577" s="675"/>
      <c r="Q577" s="3257">
        <f t="shared" si="102"/>
        <v>1</v>
      </c>
      <c r="R577" s="3258">
        <f t="shared" ca="1" si="103"/>
        <v>5702</v>
      </c>
      <c r="S577" s="1070">
        <f t="shared" ca="1" si="104"/>
        <v>21</v>
      </c>
    </row>
    <row r="578" spans="1:19">
      <c r="A578" s="673" t="str">
        <f>Sheet1!E556</f>
        <v>C1-013</v>
      </c>
      <c r="B578" s="673">
        <f>Sheet1!F556</f>
        <v>37.520000000000003</v>
      </c>
      <c r="C578" s="3257">
        <f t="shared" si="95"/>
        <v>0.99</v>
      </c>
      <c r="D578" s="675"/>
      <c r="E578" s="3257">
        <f t="shared" si="96"/>
        <v>1</v>
      </c>
      <c r="F578" s="675"/>
      <c r="G578" s="3257">
        <f t="shared" si="97"/>
        <v>1</v>
      </c>
      <c r="H578" s="675"/>
      <c r="I578" s="3257">
        <f t="shared" si="98"/>
        <v>1</v>
      </c>
      <c r="J578" s="675"/>
      <c r="K578" s="3257">
        <f t="shared" si="99"/>
        <v>1</v>
      </c>
      <c r="L578" s="675"/>
      <c r="M578" s="3257">
        <f t="shared" si="100"/>
        <v>1</v>
      </c>
      <c r="N578" s="675"/>
      <c r="O578" s="3257">
        <f t="shared" si="101"/>
        <v>1</v>
      </c>
      <c r="P578" s="675"/>
      <c r="Q578" s="3257">
        <f t="shared" si="102"/>
        <v>1</v>
      </c>
      <c r="R578" s="3258">
        <f t="shared" ca="1" si="103"/>
        <v>5702</v>
      </c>
      <c r="S578" s="1070">
        <f t="shared" ca="1" si="104"/>
        <v>21</v>
      </c>
    </row>
    <row r="579" spans="1:19">
      <c r="A579" s="673" t="str">
        <f>Sheet1!E557</f>
        <v>C1-014</v>
      </c>
      <c r="B579" s="673">
        <f>Sheet1!F557</f>
        <v>37.520000000000003</v>
      </c>
      <c r="C579" s="3257">
        <f t="shared" si="95"/>
        <v>0.99</v>
      </c>
      <c r="D579" s="675"/>
      <c r="E579" s="3257">
        <f t="shared" si="96"/>
        <v>1</v>
      </c>
      <c r="F579" s="675"/>
      <c r="G579" s="3257">
        <f t="shared" si="97"/>
        <v>1</v>
      </c>
      <c r="H579" s="675"/>
      <c r="I579" s="3257">
        <f t="shared" si="98"/>
        <v>1</v>
      </c>
      <c r="J579" s="675"/>
      <c r="K579" s="3257">
        <f t="shared" si="99"/>
        <v>1</v>
      </c>
      <c r="L579" s="675"/>
      <c r="M579" s="3257">
        <f t="shared" si="100"/>
        <v>1</v>
      </c>
      <c r="N579" s="675"/>
      <c r="O579" s="3257">
        <f t="shared" si="101"/>
        <v>1</v>
      </c>
      <c r="P579" s="675"/>
      <c r="Q579" s="3257">
        <f t="shared" si="102"/>
        <v>1</v>
      </c>
      <c r="R579" s="3258">
        <f t="shared" ca="1" si="103"/>
        <v>5702</v>
      </c>
      <c r="S579" s="1070">
        <f t="shared" ca="1" si="104"/>
        <v>21</v>
      </c>
    </row>
    <row r="580" spans="1:19">
      <c r="A580" s="673" t="str">
        <f>Sheet1!E558</f>
        <v>C1-015</v>
      </c>
      <c r="B580" s="673">
        <f>Sheet1!F558</f>
        <v>37.520000000000003</v>
      </c>
      <c r="C580" s="3257">
        <f t="shared" si="95"/>
        <v>0.99</v>
      </c>
      <c r="D580" s="675"/>
      <c r="E580" s="3257">
        <f t="shared" si="96"/>
        <v>1</v>
      </c>
      <c r="F580" s="675"/>
      <c r="G580" s="3257">
        <f t="shared" si="97"/>
        <v>1</v>
      </c>
      <c r="H580" s="675"/>
      <c r="I580" s="3257">
        <f t="shared" si="98"/>
        <v>1</v>
      </c>
      <c r="J580" s="675"/>
      <c r="K580" s="3257">
        <f t="shared" si="99"/>
        <v>1</v>
      </c>
      <c r="L580" s="675"/>
      <c r="M580" s="3257">
        <f t="shared" si="100"/>
        <v>1</v>
      </c>
      <c r="N580" s="675"/>
      <c r="O580" s="3257">
        <f t="shared" si="101"/>
        <v>1</v>
      </c>
      <c r="P580" s="675"/>
      <c r="Q580" s="3257">
        <f t="shared" si="102"/>
        <v>1</v>
      </c>
      <c r="R580" s="3258">
        <f t="shared" ca="1" si="103"/>
        <v>5702</v>
      </c>
      <c r="S580" s="1070">
        <f t="shared" ca="1" si="104"/>
        <v>21</v>
      </c>
    </row>
    <row r="581" spans="1:19">
      <c r="A581" s="673" t="str">
        <f>Sheet1!E559</f>
        <v>C1-016</v>
      </c>
      <c r="B581" s="673">
        <f>Sheet1!F559</f>
        <v>37.520000000000003</v>
      </c>
      <c r="C581" s="3257">
        <f t="shared" si="95"/>
        <v>0.99</v>
      </c>
      <c r="D581" s="675"/>
      <c r="E581" s="3257">
        <f t="shared" si="96"/>
        <v>1</v>
      </c>
      <c r="F581" s="675"/>
      <c r="G581" s="3257">
        <f t="shared" si="97"/>
        <v>1</v>
      </c>
      <c r="H581" s="675"/>
      <c r="I581" s="3257">
        <f t="shared" si="98"/>
        <v>1</v>
      </c>
      <c r="J581" s="675"/>
      <c r="K581" s="3257">
        <f t="shared" si="99"/>
        <v>1</v>
      </c>
      <c r="L581" s="675"/>
      <c r="M581" s="3257">
        <f t="shared" si="100"/>
        <v>1</v>
      </c>
      <c r="N581" s="675"/>
      <c r="O581" s="3257">
        <f t="shared" si="101"/>
        <v>1</v>
      </c>
      <c r="P581" s="675"/>
      <c r="Q581" s="3257">
        <f t="shared" si="102"/>
        <v>1</v>
      </c>
      <c r="R581" s="3258">
        <f t="shared" ca="1" si="103"/>
        <v>5702</v>
      </c>
      <c r="S581" s="1070">
        <f t="shared" ca="1" si="104"/>
        <v>21</v>
      </c>
    </row>
    <row r="582" spans="1:19">
      <c r="A582" s="673" t="str">
        <f>Sheet1!E560</f>
        <v>C1-017</v>
      </c>
      <c r="B582" s="673">
        <f>Sheet1!F560</f>
        <v>37.520000000000003</v>
      </c>
      <c r="C582" s="3257">
        <f t="shared" si="95"/>
        <v>0.99</v>
      </c>
      <c r="D582" s="675"/>
      <c r="E582" s="3257">
        <f t="shared" si="96"/>
        <v>1</v>
      </c>
      <c r="F582" s="675"/>
      <c r="G582" s="3257">
        <f t="shared" si="97"/>
        <v>1</v>
      </c>
      <c r="H582" s="675"/>
      <c r="I582" s="3257">
        <f t="shared" si="98"/>
        <v>1</v>
      </c>
      <c r="J582" s="675"/>
      <c r="K582" s="3257">
        <f t="shared" si="99"/>
        <v>1</v>
      </c>
      <c r="L582" s="675"/>
      <c r="M582" s="3257">
        <f t="shared" si="100"/>
        <v>1</v>
      </c>
      <c r="N582" s="675"/>
      <c r="O582" s="3257">
        <f t="shared" si="101"/>
        <v>1</v>
      </c>
      <c r="P582" s="675"/>
      <c r="Q582" s="3257">
        <f t="shared" si="102"/>
        <v>1</v>
      </c>
      <c r="R582" s="3258">
        <f t="shared" ca="1" si="103"/>
        <v>5702</v>
      </c>
      <c r="S582" s="1070">
        <f t="shared" ca="1" si="104"/>
        <v>21</v>
      </c>
    </row>
    <row r="583" spans="1:19">
      <c r="A583" s="673" t="str">
        <f>Sheet1!E561</f>
        <v>C1-019</v>
      </c>
      <c r="B583" s="673">
        <f>Sheet1!F561</f>
        <v>37.520000000000003</v>
      </c>
      <c r="C583" s="3257">
        <f t="shared" si="95"/>
        <v>0.99</v>
      </c>
      <c r="D583" s="675"/>
      <c r="E583" s="3257">
        <f t="shared" si="96"/>
        <v>1</v>
      </c>
      <c r="F583" s="675"/>
      <c r="G583" s="3257">
        <f t="shared" si="97"/>
        <v>1</v>
      </c>
      <c r="H583" s="675"/>
      <c r="I583" s="3257">
        <f t="shared" si="98"/>
        <v>1</v>
      </c>
      <c r="J583" s="675"/>
      <c r="K583" s="3257">
        <f t="shared" si="99"/>
        <v>1</v>
      </c>
      <c r="L583" s="675"/>
      <c r="M583" s="3257">
        <f t="shared" si="100"/>
        <v>1</v>
      </c>
      <c r="N583" s="675"/>
      <c r="O583" s="3257">
        <f t="shared" si="101"/>
        <v>1</v>
      </c>
      <c r="P583" s="675"/>
      <c r="Q583" s="3257">
        <f t="shared" si="102"/>
        <v>1</v>
      </c>
      <c r="R583" s="3258">
        <f t="shared" ca="1" si="103"/>
        <v>5702</v>
      </c>
      <c r="S583" s="1070">
        <f t="shared" ca="1" si="104"/>
        <v>21</v>
      </c>
    </row>
    <row r="584" spans="1:19">
      <c r="A584" s="673" t="str">
        <f>Sheet1!E562</f>
        <v>C1-020</v>
      </c>
      <c r="B584" s="673">
        <f>Sheet1!F562</f>
        <v>37.520000000000003</v>
      </c>
      <c r="C584" s="3257">
        <f t="shared" si="95"/>
        <v>0.99</v>
      </c>
      <c r="D584" s="675"/>
      <c r="E584" s="3257">
        <f t="shared" si="96"/>
        <v>1</v>
      </c>
      <c r="F584" s="675"/>
      <c r="G584" s="3257">
        <f t="shared" si="97"/>
        <v>1</v>
      </c>
      <c r="H584" s="675"/>
      <c r="I584" s="3257">
        <f t="shared" si="98"/>
        <v>1</v>
      </c>
      <c r="J584" s="675"/>
      <c r="K584" s="3257">
        <f t="shared" si="99"/>
        <v>1</v>
      </c>
      <c r="L584" s="675"/>
      <c r="M584" s="3257">
        <f t="shared" si="100"/>
        <v>1</v>
      </c>
      <c r="N584" s="675"/>
      <c r="O584" s="3257">
        <f t="shared" si="101"/>
        <v>1</v>
      </c>
      <c r="P584" s="675"/>
      <c r="Q584" s="3257">
        <f t="shared" si="102"/>
        <v>1</v>
      </c>
      <c r="R584" s="3258">
        <f t="shared" ca="1" si="103"/>
        <v>5702</v>
      </c>
      <c r="S584" s="1070">
        <f t="shared" ca="1" si="104"/>
        <v>21</v>
      </c>
    </row>
    <row r="585" spans="1:19">
      <c r="A585" s="673" t="str">
        <f>Sheet1!E563</f>
        <v>C1-021</v>
      </c>
      <c r="B585" s="673">
        <f>Sheet1!F563</f>
        <v>37.520000000000003</v>
      </c>
      <c r="C585" s="3257">
        <f t="shared" si="95"/>
        <v>0.99</v>
      </c>
      <c r="D585" s="675"/>
      <c r="E585" s="3257">
        <f t="shared" si="96"/>
        <v>1</v>
      </c>
      <c r="F585" s="675"/>
      <c r="G585" s="3257">
        <f t="shared" si="97"/>
        <v>1</v>
      </c>
      <c r="H585" s="675"/>
      <c r="I585" s="3257">
        <f t="shared" si="98"/>
        <v>1</v>
      </c>
      <c r="J585" s="675"/>
      <c r="K585" s="3257">
        <f t="shared" si="99"/>
        <v>1</v>
      </c>
      <c r="L585" s="675"/>
      <c r="M585" s="3257">
        <f t="shared" si="100"/>
        <v>1</v>
      </c>
      <c r="N585" s="675"/>
      <c r="O585" s="3257">
        <f t="shared" si="101"/>
        <v>1</v>
      </c>
      <c r="P585" s="675"/>
      <c r="Q585" s="3257">
        <f t="shared" si="102"/>
        <v>1</v>
      </c>
      <c r="R585" s="3258">
        <f t="shared" ca="1" si="103"/>
        <v>5702</v>
      </c>
      <c r="S585" s="1070">
        <f t="shared" ca="1" si="104"/>
        <v>21</v>
      </c>
    </row>
    <row r="586" spans="1:19">
      <c r="A586" s="673" t="str">
        <f>Sheet1!E564</f>
        <v>C1-040</v>
      </c>
      <c r="B586" s="673">
        <f>Sheet1!F564</f>
        <v>35.96</v>
      </c>
      <c r="C586" s="3257">
        <f t="shared" si="95"/>
        <v>0.99</v>
      </c>
      <c r="D586" s="675"/>
      <c r="E586" s="3257">
        <f t="shared" si="96"/>
        <v>1</v>
      </c>
      <c r="F586" s="675"/>
      <c r="G586" s="3257">
        <f t="shared" si="97"/>
        <v>1</v>
      </c>
      <c r="H586" s="675"/>
      <c r="I586" s="3257">
        <f t="shared" si="98"/>
        <v>1</v>
      </c>
      <c r="J586" s="675"/>
      <c r="K586" s="3257">
        <f t="shared" si="99"/>
        <v>1</v>
      </c>
      <c r="L586" s="675"/>
      <c r="M586" s="3257">
        <f t="shared" si="100"/>
        <v>1</v>
      </c>
      <c r="N586" s="675"/>
      <c r="O586" s="3257">
        <f t="shared" si="101"/>
        <v>1</v>
      </c>
      <c r="P586" s="675"/>
      <c r="Q586" s="3257">
        <f t="shared" si="102"/>
        <v>1</v>
      </c>
      <c r="R586" s="3258">
        <f t="shared" ca="1" si="103"/>
        <v>5702</v>
      </c>
      <c r="S586" s="1070">
        <f t="shared" ca="1" si="104"/>
        <v>21</v>
      </c>
    </row>
    <row r="587" spans="1:19">
      <c r="A587" s="673" t="str">
        <f>Sheet1!E565</f>
        <v>C1-041</v>
      </c>
      <c r="B587" s="673">
        <f>Sheet1!F565</f>
        <v>35.96</v>
      </c>
      <c r="C587" s="3257">
        <f t="shared" si="95"/>
        <v>0.99</v>
      </c>
      <c r="D587" s="675"/>
      <c r="E587" s="3257">
        <f t="shared" si="96"/>
        <v>1</v>
      </c>
      <c r="F587" s="675"/>
      <c r="G587" s="3257">
        <f t="shared" si="97"/>
        <v>1</v>
      </c>
      <c r="H587" s="675"/>
      <c r="I587" s="3257">
        <f t="shared" si="98"/>
        <v>1</v>
      </c>
      <c r="J587" s="675"/>
      <c r="K587" s="3257">
        <f t="shared" si="99"/>
        <v>1</v>
      </c>
      <c r="L587" s="675"/>
      <c r="M587" s="3257">
        <f t="shared" si="100"/>
        <v>1</v>
      </c>
      <c r="N587" s="675"/>
      <c r="O587" s="3257">
        <f t="shared" si="101"/>
        <v>1</v>
      </c>
      <c r="P587" s="675"/>
      <c r="Q587" s="3257">
        <f t="shared" si="102"/>
        <v>1</v>
      </c>
      <c r="R587" s="3258">
        <f t="shared" ca="1" si="103"/>
        <v>5702</v>
      </c>
      <c r="S587" s="1070">
        <f t="shared" ca="1" si="104"/>
        <v>21</v>
      </c>
    </row>
    <row r="588" spans="1:19">
      <c r="A588" s="673" t="str">
        <f>Sheet1!E566</f>
        <v>C1-042</v>
      </c>
      <c r="B588" s="673">
        <f>Sheet1!F566</f>
        <v>31.27</v>
      </c>
      <c r="C588" s="3257">
        <f t="shared" si="95"/>
        <v>1</v>
      </c>
      <c r="D588" s="675"/>
      <c r="E588" s="3257">
        <f t="shared" si="96"/>
        <v>1</v>
      </c>
      <c r="F588" s="675"/>
      <c r="G588" s="3257">
        <f t="shared" si="97"/>
        <v>1</v>
      </c>
      <c r="H588" s="675"/>
      <c r="I588" s="3257">
        <f t="shared" si="98"/>
        <v>1</v>
      </c>
      <c r="J588" s="675"/>
      <c r="K588" s="3257">
        <f t="shared" si="99"/>
        <v>1</v>
      </c>
      <c r="L588" s="675"/>
      <c r="M588" s="3257">
        <f t="shared" si="100"/>
        <v>1</v>
      </c>
      <c r="N588" s="675"/>
      <c r="O588" s="3257">
        <f t="shared" si="101"/>
        <v>1</v>
      </c>
      <c r="P588" s="675"/>
      <c r="Q588" s="3257">
        <f t="shared" si="102"/>
        <v>1</v>
      </c>
      <c r="R588" s="3258">
        <f t="shared" ca="1" si="103"/>
        <v>5760</v>
      </c>
      <c r="S588" s="1070">
        <f t="shared" ca="1" si="104"/>
        <v>18</v>
      </c>
    </row>
    <row r="589" spans="1:19">
      <c r="A589" s="673" t="str">
        <f>Sheet1!E567</f>
        <v>C1-043</v>
      </c>
      <c r="B589" s="673">
        <f>Sheet1!F567</f>
        <v>39.090000000000003</v>
      </c>
      <c r="C589" s="3257">
        <f t="shared" ref="C589:C652" si="105">IF(B589="",1,(LOOKUP(B589,$3:$3,$4:$4)-LOOKUP($B$24,$3:$3,$4:$4)+100)/100)</f>
        <v>0.99</v>
      </c>
      <c r="D589" s="675"/>
      <c r="E589" s="3257">
        <f t="shared" ref="E589:E652" si="106">(SUMIF($5:$5,D589,$6:$6)-SUMIF($5:$5,$D$24,$6:$6)+100)/100</f>
        <v>1</v>
      </c>
      <c r="F589" s="675"/>
      <c r="G589" s="3257">
        <f t="shared" ref="G589:G652" si="107">(SUMIF($7:$7,F589,$8:$8)-SUMIF($7:$7,$F$24,$8:$8)+100)/100</f>
        <v>1</v>
      </c>
      <c r="H589" s="675"/>
      <c r="I589" s="3257">
        <f t="shared" ref="I589:I652" si="108">(SUMIF($9:$9,H589,$10:$10)-SUMIF($9:$9,$H$24,$10:$10)+100)/100</f>
        <v>1</v>
      </c>
      <c r="J589" s="675"/>
      <c r="K589" s="3257">
        <f t="shared" ref="K589:K652" si="109">(SUMIF($11:$11,J589,$12:$12)-SUMIF($11:$11,$J$24,$12:$12)+100)/100</f>
        <v>1</v>
      </c>
      <c r="L589" s="675"/>
      <c r="M589" s="3257">
        <f t="shared" ref="M589:M652" si="110">(SUMIF($13:$13,L589,$14:$14)-SUMIF($13:$13,$L$24,$14:$14)+100)/100</f>
        <v>1</v>
      </c>
      <c r="N589" s="675"/>
      <c r="O589" s="3257">
        <f t="shared" ref="O589:O652" si="111">(SUMIF($15:$15,N589,$16:$16)-SUMIF($15:$15,$N$24,$16:$16)+100)/100</f>
        <v>1</v>
      </c>
      <c r="P589" s="675"/>
      <c r="Q589" s="3257">
        <f t="shared" ref="Q589:Q652" si="112">(SUMIF($17:$17,P589,$18:$18)-SUMIF($17:$17,$P$24,$18:$18)+100)/100</f>
        <v>1</v>
      </c>
      <c r="R589" s="3258">
        <f t="shared" ref="R589:R652" ca="1" si="113">IF(B589="",0,ROUND($R$24*C589*E589*G589*I589*K589*M589*O589*Q589,0))</f>
        <v>5702</v>
      </c>
      <c r="S589" s="1070">
        <f t="shared" ref="S589:S652" ca="1" si="114">ROUND(R589*B589/10000,0)</f>
        <v>22</v>
      </c>
    </row>
    <row r="590" spans="1:19">
      <c r="A590" s="673" t="str">
        <f>Sheet1!E568</f>
        <v>C1-044</v>
      </c>
      <c r="B590" s="673">
        <f>Sheet1!F568</f>
        <v>35.96</v>
      </c>
      <c r="C590" s="3257">
        <f t="shared" si="105"/>
        <v>0.99</v>
      </c>
      <c r="D590" s="675"/>
      <c r="E590" s="3257">
        <f t="shared" si="106"/>
        <v>1</v>
      </c>
      <c r="F590" s="675"/>
      <c r="G590" s="3257">
        <f t="shared" si="107"/>
        <v>1</v>
      </c>
      <c r="H590" s="675"/>
      <c r="I590" s="3257">
        <f t="shared" si="108"/>
        <v>1</v>
      </c>
      <c r="J590" s="675"/>
      <c r="K590" s="3257">
        <f t="shared" si="109"/>
        <v>1</v>
      </c>
      <c r="L590" s="675"/>
      <c r="M590" s="3257">
        <f t="shared" si="110"/>
        <v>1</v>
      </c>
      <c r="N590" s="675"/>
      <c r="O590" s="3257">
        <f t="shared" si="111"/>
        <v>1</v>
      </c>
      <c r="P590" s="675"/>
      <c r="Q590" s="3257">
        <f t="shared" si="112"/>
        <v>1</v>
      </c>
      <c r="R590" s="3258">
        <f t="shared" ca="1" si="113"/>
        <v>5702</v>
      </c>
      <c r="S590" s="1070">
        <f t="shared" ca="1" si="114"/>
        <v>21</v>
      </c>
    </row>
    <row r="591" spans="1:19">
      <c r="A591" s="673" t="str">
        <f>Sheet1!E569</f>
        <v>C1-045</v>
      </c>
      <c r="B591" s="673">
        <f>Sheet1!F569</f>
        <v>35.96</v>
      </c>
      <c r="C591" s="3257">
        <f t="shared" si="105"/>
        <v>0.99</v>
      </c>
      <c r="D591" s="675"/>
      <c r="E591" s="3257">
        <f t="shared" si="106"/>
        <v>1</v>
      </c>
      <c r="F591" s="675"/>
      <c r="G591" s="3257">
        <f t="shared" si="107"/>
        <v>1</v>
      </c>
      <c r="H591" s="675"/>
      <c r="I591" s="3257">
        <f t="shared" si="108"/>
        <v>1</v>
      </c>
      <c r="J591" s="675"/>
      <c r="K591" s="3257">
        <f t="shared" si="109"/>
        <v>1</v>
      </c>
      <c r="L591" s="675"/>
      <c r="M591" s="3257">
        <f t="shared" si="110"/>
        <v>1</v>
      </c>
      <c r="N591" s="675"/>
      <c r="O591" s="3257">
        <f t="shared" si="111"/>
        <v>1</v>
      </c>
      <c r="P591" s="675"/>
      <c r="Q591" s="3257">
        <f t="shared" si="112"/>
        <v>1</v>
      </c>
      <c r="R591" s="3258">
        <f t="shared" ca="1" si="113"/>
        <v>5702</v>
      </c>
      <c r="S591" s="1070">
        <f t="shared" ca="1" si="114"/>
        <v>21</v>
      </c>
    </row>
    <row r="592" spans="1:19">
      <c r="A592" s="673" t="str">
        <f>Sheet1!E570</f>
        <v>F1-008</v>
      </c>
      <c r="B592" s="673">
        <f>Sheet1!F570</f>
        <v>39.090000000000003</v>
      </c>
      <c r="C592" s="3257">
        <f t="shared" si="105"/>
        <v>0.99</v>
      </c>
      <c r="D592" s="675"/>
      <c r="E592" s="3257">
        <f t="shared" si="106"/>
        <v>1</v>
      </c>
      <c r="F592" s="675"/>
      <c r="G592" s="3257">
        <f t="shared" si="107"/>
        <v>1</v>
      </c>
      <c r="H592" s="675"/>
      <c r="I592" s="3257">
        <f t="shared" si="108"/>
        <v>1</v>
      </c>
      <c r="J592" s="675"/>
      <c r="K592" s="3257">
        <f t="shared" si="109"/>
        <v>1</v>
      </c>
      <c r="L592" s="675"/>
      <c r="M592" s="3257">
        <f t="shared" si="110"/>
        <v>1</v>
      </c>
      <c r="N592" s="675"/>
      <c r="O592" s="3257">
        <f t="shared" si="111"/>
        <v>1</v>
      </c>
      <c r="P592" s="675"/>
      <c r="Q592" s="3257">
        <f t="shared" si="112"/>
        <v>1</v>
      </c>
      <c r="R592" s="3258">
        <f t="shared" ca="1" si="113"/>
        <v>5702</v>
      </c>
      <c r="S592" s="1070">
        <f t="shared" ca="1" si="114"/>
        <v>22</v>
      </c>
    </row>
    <row r="593" spans="1:19">
      <c r="A593" s="673" t="str">
        <f>Sheet1!E571</f>
        <v>F1-009</v>
      </c>
      <c r="B593" s="673">
        <f>Sheet1!F571</f>
        <v>39.090000000000003</v>
      </c>
      <c r="C593" s="3257">
        <f t="shared" si="105"/>
        <v>0.99</v>
      </c>
      <c r="D593" s="675"/>
      <c r="E593" s="3257">
        <f t="shared" si="106"/>
        <v>1</v>
      </c>
      <c r="F593" s="675"/>
      <c r="G593" s="3257">
        <f t="shared" si="107"/>
        <v>1</v>
      </c>
      <c r="H593" s="675"/>
      <c r="I593" s="3257">
        <f t="shared" si="108"/>
        <v>1</v>
      </c>
      <c r="J593" s="675"/>
      <c r="K593" s="3257">
        <f t="shared" si="109"/>
        <v>1</v>
      </c>
      <c r="L593" s="675"/>
      <c r="M593" s="3257">
        <f t="shared" si="110"/>
        <v>1</v>
      </c>
      <c r="N593" s="675"/>
      <c r="O593" s="3257">
        <f t="shared" si="111"/>
        <v>1</v>
      </c>
      <c r="P593" s="675"/>
      <c r="Q593" s="3257">
        <f t="shared" si="112"/>
        <v>1</v>
      </c>
      <c r="R593" s="3258">
        <f t="shared" ca="1" si="113"/>
        <v>5702</v>
      </c>
      <c r="S593" s="1070">
        <f t="shared" ca="1" si="114"/>
        <v>22</v>
      </c>
    </row>
    <row r="594" spans="1:19">
      <c r="A594" s="673" t="str">
        <f>Sheet1!E572</f>
        <v>F1-010</v>
      </c>
      <c r="B594" s="673">
        <f>Sheet1!F572</f>
        <v>39.090000000000003</v>
      </c>
      <c r="C594" s="3257">
        <f t="shared" si="105"/>
        <v>0.99</v>
      </c>
      <c r="D594" s="675"/>
      <c r="E594" s="3257">
        <f t="shared" si="106"/>
        <v>1</v>
      </c>
      <c r="F594" s="675"/>
      <c r="G594" s="3257">
        <f t="shared" si="107"/>
        <v>1</v>
      </c>
      <c r="H594" s="675"/>
      <c r="I594" s="3257">
        <f t="shared" si="108"/>
        <v>1</v>
      </c>
      <c r="J594" s="675"/>
      <c r="K594" s="3257">
        <f t="shared" si="109"/>
        <v>1</v>
      </c>
      <c r="L594" s="675"/>
      <c r="M594" s="3257">
        <f t="shared" si="110"/>
        <v>1</v>
      </c>
      <c r="N594" s="675"/>
      <c r="O594" s="3257">
        <f t="shared" si="111"/>
        <v>1</v>
      </c>
      <c r="P594" s="675"/>
      <c r="Q594" s="3257">
        <f t="shared" si="112"/>
        <v>1</v>
      </c>
      <c r="R594" s="3258">
        <f t="shared" ca="1" si="113"/>
        <v>5702</v>
      </c>
      <c r="S594" s="1070">
        <f t="shared" ca="1" si="114"/>
        <v>22</v>
      </c>
    </row>
    <row r="595" spans="1:19">
      <c r="A595" s="673" t="str">
        <f>Sheet1!E573</f>
        <v>F1-011</v>
      </c>
      <c r="B595" s="673">
        <f>Sheet1!F573</f>
        <v>39.090000000000003</v>
      </c>
      <c r="C595" s="3257">
        <f t="shared" si="105"/>
        <v>0.99</v>
      </c>
      <c r="D595" s="675"/>
      <c r="E595" s="3257">
        <f t="shared" si="106"/>
        <v>1</v>
      </c>
      <c r="F595" s="675"/>
      <c r="G595" s="3257">
        <f t="shared" si="107"/>
        <v>1</v>
      </c>
      <c r="H595" s="675"/>
      <c r="I595" s="3257">
        <f t="shared" si="108"/>
        <v>1</v>
      </c>
      <c r="J595" s="675"/>
      <c r="K595" s="3257">
        <f t="shared" si="109"/>
        <v>1</v>
      </c>
      <c r="L595" s="675"/>
      <c r="M595" s="3257">
        <f t="shared" si="110"/>
        <v>1</v>
      </c>
      <c r="N595" s="675"/>
      <c r="O595" s="3257">
        <f t="shared" si="111"/>
        <v>1</v>
      </c>
      <c r="P595" s="675"/>
      <c r="Q595" s="3257">
        <f t="shared" si="112"/>
        <v>1</v>
      </c>
      <c r="R595" s="3258">
        <f t="shared" ca="1" si="113"/>
        <v>5702</v>
      </c>
      <c r="S595" s="1070">
        <f t="shared" ca="1" si="114"/>
        <v>22</v>
      </c>
    </row>
    <row r="596" spans="1:19">
      <c r="A596" s="673" t="str">
        <f>Sheet1!E574</f>
        <v>F1-012</v>
      </c>
      <c r="B596" s="673">
        <f>Sheet1!F574</f>
        <v>37.520000000000003</v>
      </c>
      <c r="C596" s="3257">
        <f t="shared" si="105"/>
        <v>0.99</v>
      </c>
      <c r="D596" s="675"/>
      <c r="E596" s="3257">
        <f t="shared" si="106"/>
        <v>1</v>
      </c>
      <c r="F596" s="675"/>
      <c r="G596" s="3257">
        <f t="shared" si="107"/>
        <v>1</v>
      </c>
      <c r="H596" s="675"/>
      <c r="I596" s="3257">
        <f t="shared" si="108"/>
        <v>1</v>
      </c>
      <c r="J596" s="675"/>
      <c r="K596" s="3257">
        <f t="shared" si="109"/>
        <v>1</v>
      </c>
      <c r="L596" s="675"/>
      <c r="M596" s="3257">
        <f t="shared" si="110"/>
        <v>1</v>
      </c>
      <c r="N596" s="675"/>
      <c r="O596" s="3257">
        <f t="shared" si="111"/>
        <v>1</v>
      </c>
      <c r="P596" s="675"/>
      <c r="Q596" s="3257">
        <f t="shared" si="112"/>
        <v>1</v>
      </c>
      <c r="R596" s="3258">
        <f t="shared" ca="1" si="113"/>
        <v>5702</v>
      </c>
      <c r="S596" s="1070">
        <f t="shared" ca="1" si="114"/>
        <v>21</v>
      </c>
    </row>
    <row r="597" spans="1:19">
      <c r="A597" s="673" t="str">
        <f>Sheet1!E575</f>
        <v>F1-013</v>
      </c>
      <c r="B597" s="673">
        <f>Sheet1!F575</f>
        <v>37.520000000000003</v>
      </c>
      <c r="C597" s="3257">
        <f t="shared" si="105"/>
        <v>0.99</v>
      </c>
      <c r="D597" s="675"/>
      <c r="E597" s="3257">
        <f t="shared" si="106"/>
        <v>1</v>
      </c>
      <c r="F597" s="675"/>
      <c r="G597" s="3257">
        <f t="shared" si="107"/>
        <v>1</v>
      </c>
      <c r="H597" s="675"/>
      <c r="I597" s="3257">
        <f t="shared" si="108"/>
        <v>1</v>
      </c>
      <c r="J597" s="675"/>
      <c r="K597" s="3257">
        <f t="shared" si="109"/>
        <v>1</v>
      </c>
      <c r="L597" s="675"/>
      <c r="M597" s="3257">
        <f t="shared" si="110"/>
        <v>1</v>
      </c>
      <c r="N597" s="675"/>
      <c r="O597" s="3257">
        <f t="shared" si="111"/>
        <v>1</v>
      </c>
      <c r="P597" s="675"/>
      <c r="Q597" s="3257">
        <f t="shared" si="112"/>
        <v>1</v>
      </c>
      <c r="R597" s="3258">
        <f t="shared" ca="1" si="113"/>
        <v>5702</v>
      </c>
      <c r="S597" s="1070">
        <f t="shared" ca="1" si="114"/>
        <v>21</v>
      </c>
    </row>
    <row r="598" spans="1:19">
      <c r="A598" s="673" t="str">
        <f>Sheet1!E576</f>
        <v>F1-014</v>
      </c>
      <c r="B598" s="673">
        <f>Sheet1!F576</f>
        <v>37.520000000000003</v>
      </c>
      <c r="C598" s="3257">
        <f t="shared" si="105"/>
        <v>0.99</v>
      </c>
      <c r="D598" s="675"/>
      <c r="E598" s="3257">
        <f t="shared" si="106"/>
        <v>1</v>
      </c>
      <c r="F598" s="675"/>
      <c r="G598" s="3257">
        <f t="shared" si="107"/>
        <v>1</v>
      </c>
      <c r="H598" s="675"/>
      <c r="I598" s="3257">
        <f t="shared" si="108"/>
        <v>1</v>
      </c>
      <c r="J598" s="675"/>
      <c r="K598" s="3257">
        <f t="shared" si="109"/>
        <v>1</v>
      </c>
      <c r="L598" s="675"/>
      <c r="M598" s="3257">
        <f t="shared" si="110"/>
        <v>1</v>
      </c>
      <c r="N598" s="675"/>
      <c r="O598" s="3257">
        <f t="shared" si="111"/>
        <v>1</v>
      </c>
      <c r="P598" s="675"/>
      <c r="Q598" s="3257">
        <f t="shared" si="112"/>
        <v>1</v>
      </c>
      <c r="R598" s="3258">
        <f t="shared" ca="1" si="113"/>
        <v>5702</v>
      </c>
      <c r="S598" s="1070">
        <f t="shared" ca="1" si="114"/>
        <v>21</v>
      </c>
    </row>
    <row r="599" spans="1:19">
      <c r="A599" s="673" t="str">
        <f>Sheet1!E577</f>
        <v>F1-015</v>
      </c>
      <c r="B599" s="673">
        <f>Sheet1!F577</f>
        <v>37.520000000000003</v>
      </c>
      <c r="C599" s="3257">
        <f t="shared" si="105"/>
        <v>0.99</v>
      </c>
      <c r="D599" s="675"/>
      <c r="E599" s="3257">
        <f t="shared" si="106"/>
        <v>1</v>
      </c>
      <c r="F599" s="675"/>
      <c r="G599" s="3257">
        <f t="shared" si="107"/>
        <v>1</v>
      </c>
      <c r="H599" s="675"/>
      <c r="I599" s="3257">
        <f t="shared" si="108"/>
        <v>1</v>
      </c>
      <c r="J599" s="675"/>
      <c r="K599" s="3257">
        <f t="shared" si="109"/>
        <v>1</v>
      </c>
      <c r="L599" s="675"/>
      <c r="M599" s="3257">
        <f t="shared" si="110"/>
        <v>1</v>
      </c>
      <c r="N599" s="675"/>
      <c r="O599" s="3257">
        <f t="shared" si="111"/>
        <v>1</v>
      </c>
      <c r="P599" s="675"/>
      <c r="Q599" s="3257">
        <f t="shared" si="112"/>
        <v>1</v>
      </c>
      <c r="R599" s="3258">
        <f t="shared" ca="1" si="113"/>
        <v>5702</v>
      </c>
      <c r="S599" s="1070">
        <f t="shared" ca="1" si="114"/>
        <v>21</v>
      </c>
    </row>
    <row r="600" spans="1:19">
      <c r="A600" s="673" t="str">
        <f>Sheet1!E578</f>
        <v>F1-016</v>
      </c>
      <c r="B600" s="673">
        <f>Sheet1!F578</f>
        <v>37.520000000000003</v>
      </c>
      <c r="C600" s="3257">
        <f t="shared" si="105"/>
        <v>0.99</v>
      </c>
      <c r="D600" s="675"/>
      <c r="E600" s="3257">
        <f t="shared" si="106"/>
        <v>1</v>
      </c>
      <c r="F600" s="675"/>
      <c r="G600" s="3257">
        <f t="shared" si="107"/>
        <v>1</v>
      </c>
      <c r="H600" s="675"/>
      <c r="I600" s="3257">
        <f t="shared" si="108"/>
        <v>1</v>
      </c>
      <c r="J600" s="675"/>
      <c r="K600" s="3257">
        <f t="shared" si="109"/>
        <v>1</v>
      </c>
      <c r="L600" s="675"/>
      <c r="M600" s="3257">
        <f t="shared" si="110"/>
        <v>1</v>
      </c>
      <c r="N600" s="675"/>
      <c r="O600" s="3257">
        <f t="shared" si="111"/>
        <v>1</v>
      </c>
      <c r="P600" s="675"/>
      <c r="Q600" s="3257">
        <f t="shared" si="112"/>
        <v>1</v>
      </c>
      <c r="R600" s="3258">
        <f t="shared" ca="1" si="113"/>
        <v>5702</v>
      </c>
      <c r="S600" s="1070">
        <f t="shared" ca="1" si="114"/>
        <v>21</v>
      </c>
    </row>
    <row r="601" spans="1:19">
      <c r="A601" s="673" t="str">
        <f>Sheet1!E579</f>
        <v>F1-017</v>
      </c>
      <c r="B601" s="673">
        <f>Sheet1!F579</f>
        <v>37.520000000000003</v>
      </c>
      <c r="C601" s="3257">
        <f t="shared" si="105"/>
        <v>0.99</v>
      </c>
      <c r="D601" s="675"/>
      <c r="E601" s="3257">
        <f t="shared" si="106"/>
        <v>1</v>
      </c>
      <c r="F601" s="675"/>
      <c r="G601" s="3257">
        <f t="shared" si="107"/>
        <v>1</v>
      </c>
      <c r="H601" s="675"/>
      <c r="I601" s="3257">
        <f t="shared" si="108"/>
        <v>1</v>
      </c>
      <c r="J601" s="675"/>
      <c r="K601" s="3257">
        <f t="shared" si="109"/>
        <v>1</v>
      </c>
      <c r="L601" s="675"/>
      <c r="M601" s="3257">
        <f t="shared" si="110"/>
        <v>1</v>
      </c>
      <c r="N601" s="675"/>
      <c r="O601" s="3257">
        <f t="shared" si="111"/>
        <v>1</v>
      </c>
      <c r="P601" s="675"/>
      <c r="Q601" s="3257">
        <f t="shared" si="112"/>
        <v>1</v>
      </c>
      <c r="R601" s="3258">
        <f t="shared" ca="1" si="113"/>
        <v>5702</v>
      </c>
      <c r="S601" s="1070">
        <f t="shared" ca="1" si="114"/>
        <v>21</v>
      </c>
    </row>
    <row r="602" spans="1:19">
      <c r="A602" s="673" t="str">
        <f>Sheet1!E580</f>
        <v>F1-018</v>
      </c>
      <c r="B602" s="673">
        <f>Sheet1!F580</f>
        <v>37.520000000000003</v>
      </c>
      <c r="C602" s="3257">
        <f t="shared" si="105"/>
        <v>0.99</v>
      </c>
      <c r="D602" s="675"/>
      <c r="E602" s="3257">
        <f t="shared" si="106"/>
        <v>1</v>
      </c>
      <c r="F602" s="675"/>
      <c r="G602" s="3257">
        <f t="shared" si="107"/>
        <v>1</v>
      </c>
      <c r="H602" s="675"/>
      <c r="I602" s="3257">
        <f t="shared" si="108"/>
        <v>1</v>
      </c>
      <c r="J602" s="675"/>
      <c r="K602" s="3257">
        <f t="shared" si="109"/>
        <v>1</v>
      </c>
      <c r="L602" s="675"/>
      <c r="M602" s="3257">
        <f t="shared" si="110"/>
        <v>1</v>
      </c>
      <c r="N602" s="675"/>
      <c r="O602" s="3257">
        <f t="shared" si="111"/>
        <v>1</v>
      </c>
      <c r="P602" s="675"/>
      <c r="Q602" s="3257">
        <f t="shared" si="112"/>
        <v>1</v>
      </c>
      <c r="R602" s="3258">
        <f t="shared" ca="1" si="113"/>
        <v>5702</v>
      </c>
      <c r="S602" s="1070">
        <f t="shared" ca="1" si="114"/>
        <v>21</v>
      </c>
    </row>
    <row r="603" spans="1:19">
      <c r="A603" s="673" t="str">
        <f>Sheet1!E581</f>
        <v>F1-019</v>
      </c>
      <c r="B603" s="673">
        <f>Sheet1!F581</f>
        <v>37.520000000000003</v>
      </c>
      <c r="C603" s="3257">
        <f t="shared" si="105"/>
        <v>0.99</v>
      </c>
      <c r="D603" s="675"/>
      <c r="E603" s="3257">
        <f t="shared" si="106"/>
        <v>1</v>
      </c>
      <c r="F603" s="675"/>
      <c r="G603" s="3257">
        <f t="shared" si="107"/>
        <v>1</v>
      </c>
      <c r="H603" s="675"/>
      <c r="I603" s="3257">
        <f t="shared" si="108"/>
        <v>1</v>
      </c>
      <c r="J603" s="675"/>
      <c r="K603" s="3257">
        <f t="shared" si="109"/>
        <v>1</v>
      </c>
      <c r="L603" s="675"/>
      <c r="M603" s="3257">
        <f t="shared" si="110"/>
        <v>1</v>
      </c>
      <c r="N603" s="675"/>
      <c r="O603" s="3257">
        <f t="shared" si="111"/>
        <v>1</v>
      </c>
      <c r="P603" s="675"/>
      <c r="Q603" s="3257">
        <f t="shared" si="112"/>
        <v>1</v>
      </c>
      <c r="R603" s="3258">
        <f t="shared" ca="1" si="113"/>
        <v>5702</v>
      </c>
      <c r="S603" s="1070">
        <f t="shared" ca="1" si="114"/>
        <v>21</v>
      </c>
    </row>
    <row r="604" spans="1:19">
      <c r="A604" s="673" t="str">
        <f>Sheet1!E582</f>
        <v>F1-022</v>
      </c>
      <c r="B604" s="673">
        <f>Sheet1!F582</f>
        <v>37.520000000000003</v>
      </c>
      <c r="C604" s="3257">
        <f t="shared" si="105"/>
        <v>0.99</v>
      </c>
      <c r="D604" s="675"/>
      <c r="E604" s="3257">
        <f t="shared" si="106"/>
        <v>1</v>
      </c>
      <c r="F604" s="675"/>
      <c r="G604" s="3257">
        <f t="shared" si="107"/>
        <v>1</v>
      </c>
      <c r="H604" s="675"/>
      <c r="I604" s="3257">
        <f t="shared" si="108"/>
        <v>1</v>
      </c>
      <c r="J604" s="675"/>
      <c r="K604" s="3257">
        <f t="shared" si="109"/>
        <v>1</v>
      </c>
      <c r="L604" s="675"/>
      <c r="M604" s="3257">
        <f t="shared" si="110"/>
        <v>1</v>
      </c>
      <c r="N604" s="675"/>
      <c r="O604" s="3257">
        <f t="shared" si="111"/>
        <v>1</v>
      </c>
      <c r="P604" s="675"/>
      <c r="Q604" s="3257">
        <f t="shared" si="112"/>
        <v>1</v>
      </c>
      <c r="R604" s="3258">
        <f t="shared" ca="1" si="113"/>
        <v>5702</v>
      </c>
      <c r="S604" s="1070">
        <f t="shared" ca="1" si="114"/>
        <v>21</v>
      </c>
    </row>
    <row r="605" spans="1:19">
      <c r="A605" s="673" t="str">
        <f>Sheet1!E583</f>
        <v>F1-024</v>
      </c>
      <c r="B605" s="673">
        <f>Sheet1!F583</f>
        <v>37.520000000000003</v>
      </c>
      <c r="C605" s="3257">
        <f t="shared" si="105"/>
        <v>0.99</v>
      </c>
      <c r="D605" s="675"/>
      <c r="E605" s="3257">
        <f t="shared" si="106"/>
        <v>1</v>
      </c>
      <c r="F605" s="675"/>
      <c r="G605" s="3257">
        <f t="shared" si="107"/>
        <v>1</v>
      </c>
      <c r="H605" s="675"/>
      <c r="I605" s="3257">
        <f t="shared" si="108"/>
        <v>1</v>
      </c>
      <c r="J605" s="675"/>
      <c r="K605" s="3257">
        <f t="shared" si="109"/>
        <v>1</v>
      </c>
      <c r="L605" s="675"/>
      <c r="M605" s="3257">
        <f t="shared" si="110"/>
        <v>1</v>
      </c>
      <c r="N605" s="675"/>
      <c r="O605" s="3257">
        <f t="shared" si="111"/>
        <v>1</v>
      </c>
      <c r="P605" s="675"/>
      <c r="Q605" s="3257">
        <f t="shared" si="112"/>
        <v>1</v>
      </c>
      <c r="R605" s="3258">
        <f t="shared" ca="1" si="113"/>
        <v>5702</v>
      </c>
      <c r="S605" s="1070">
        <f t="shared" ca="1" si="114"/>
        <v>21</v>
      </c>
    </row>
    <row r="606" spans="1:19">
      <c r="A606" s="673" t="str">
        <f>Sheet1!E584</f>
        <v>F1-025</v>
      </c>
      <c r="B606" s="673">
        <f>Sheet1!F584</f>
        <v>37.520000000000003</v>
      </c>
      <c r="C606" s="3257">
        <f t="shared" si="105"/>
        <v>0.99</v>
      </c>
      <c r="D606" s="675"/>
      <c r="E606" s="3257">
        <f t="shared" si="106"/>
        <v>1</v>
      </c>
      <c r="F606" s="675"/>
      <c r="G606" s="3257">
        <f t="shared" si="107"/>
        <v>1</v>
      </c>
      <c r="H606" s="675"/>
      <c r="I606" s="3257">
        <f t="shared" si="108"/>
        <v>1</v>
      </c>
      <c r="J606" s="675"/>
      <c r="K606" s="3257">
        <f t="shared" si="109"/>
        <v>1</v>
      </c>
      <c r="L606" s="675"/>
      <c r="M606" s="3257">
        <f t="shared" si="110"/>
        <v>1</v>
      </c>
      <c r="N606" s="675"/>
      <c r="O606" s="3257">
        <f t="shared" si="111"/>
        <v>1</v>
      </c>
      <c r="P606" s="675"/>
      <c r="Q606" s="3257">
        <f t="shared" si="112"/>
        <v>1</v>
      </c>
      <c r="R606" s="3258">
        <f t="shared" ca="1" si="113"/>
        <v>5702</v>
      </c>
      <c r="S606" s="1070">
        <f t="shared" ca="1" si="114"/>
        <v>21</v>
      </c>
    </row>
    <row r="607" spans="1:19">
      <c r="A607" s="673" t="str">
        <f>Sheet1!E585</f>
        <v>F1-027</v>
      </c>
      <c r="B607" s="673">
        <f>Sheet1!F585</f>
        <v>37.520000000000003</v>
      </c>
      <c r="C607" s="3257">
        <f t="shared" si="105"/>
        <v>0.99</v>
      </c>
      <c r="D607" s="675"/>
      <c r="E607" s="3257">
        <f t="shared" si="106"/>
        <v>1</v>
      </c>
      <c r="F607" s="675"/>
      <c r="G607" s="3257">
        <f t="shared" si="107"/>
        <v>1</v>
      </c>
      <c r="H607" s="675"/>
      <c r="I607" s="3257">
        <f t="shared" si="108"/>
        <v>1</v>
      </c>
      <c r="J607" s="675"/>
      <c r="K607" s="3257">
        <f t="shared" si="109"/>
        <v>1</v>
      </c>
      <c r="L607" s="675"/>
      <c r="M607" s="3257">
        <f t="shared" si="110"/>
        <v>1</v>
      </c>
      <c r="N607" s="675"/>
      <c r="O607" s="3257">
        <f t="shared" si="111"/>
        <v>1</v>
      </c>
      <c r="P607" s="675"/>
      <c r="Q607" s="3257">
        <f t="shared" si="112"/>
        <v>1</v>
      </c>
      <c r="R607" s="3258">
        <f t="shared" ca="1" si="113"/>
        <v>5702</v>
      </c>
      <c r="S607" s="1070">
        <f t="shared" ca="1" si="114"/>
        <v>21</v>
      </c>
    </row>
    <row r="608" spans="1:19">
      <c r="A608" s="673" t="str">
        <f>Sheet1!E586</f>
        <v>F1-028</v>
      </c>
      <c r="B608" s="673">
        <f>Sheet1!F586</f>
        <v>37.520000000000003</v>
      </c>
      <c r="C608" s="3257">
        <f t="shared" si="105"/>
        <v>0.99</v>
      </c>
      <c r="D608" s="675"/>
      <c r="E608" s="3257">
        <f t="shared" si="106"/>
        <v>1</v>
      </c>
      <c r="F608" s="675"/>
      <c r="G608" s="3257">
        <f t="shared" si="107"/>
        <v>1</v>
      </c>
      <c r="H608" s="675"/>
      <c r="I608" s="3257">
        <f t="shared" si="108"/>
        <v>1</v>
      </c>
      <c r="J608" s="675"/>
      <c r="K608" s="3257">
        <f t="shared" si="109"/>
        <v>1</v>
      </c>
      <c r="L608" s="675"/>
      <c r="M608" s="3257">
        <f t="shared" si="110"/>
        <v>1</v>
      </c>
      <c r="N608" s="675"/>
      <c r="O608" s="3257">
        <f t="shared" si="111"/>
        <v>1</v>
      </c>
      <c r="P608" s="675"/>
      <c r="Q608" s="3257">
        <f t="shared" si="112"/>
        <v>1</v>
      </c>
      <c r="R608" s="3258">
        <f t="shared" ca="1" si="113"/>
        <v>5702</v>
      </c>
      <c r="S608" s="1070">
        <f t="shared" ca="1" si="114"/>
        <v>21</v>
      </c>
    </row>
    <row r="609" spans="1:19">
      <c r="A609" s="673" t="str">
        <f>Sheet1!E587</f>
        <v>F1-029</v>
      </c>
      <c r="B609" s="673">
        <f>Sheet1!F587</f>
        <v>37.520000000000003</v>
      </c>
      <c r="C609" s="3257">
        <f t="shared" si="105"/>
        <v>0.99</v>
      </c>
      <c r="D609" s="675"/>
      <c r="E609" s="3257">
        <f t="shared" si="106"/>
        <v>1</v>
      </c>
      <c r="F609" s="675"/>
      <c r="G609" s="3257">
        <f t="shared" si="107"/>
        <v>1</v>
      </c>
      <c r="H609" s="675"/>
      <c r="I609" s="3257">
        <f t="shared" si="108"/>
        <v>1</v>
      </c>
      <c r="J609" s="675"/>
      <c r="K609" s="3257">
        <f t="shared" si="109"/>
        <v>1</v>
      </c>
      <c r="L609" s="675"/>
      <c r="M609" s="3257">
        <f t="shared" si="110"/>
        <v>1</v>
      </c>
      <c r="N609" s="675"/>
      <c r="O609" s="3257">
        <f t="shared" si="111"/>
        <v>1</v>
      </c>
      <c r="P609" s="675"/>
      <c r="Q609" s="3257">
        <f t="shared" si="112"/>
        <v>1</v>
      </c>
      <c r="R609" s="3258">
        <f t="shared" ca="1" si="113"/>
        <v>5702</v>
      </c>
      <c r="S609" s="1070">
        <f t="shared" ca="1" si="114"/>
        <v>21</v>
      </c>
    </row>
    <row r="610" spans="1:19">
      <c r="A610" s="673" t="str">
        <f>Sheet1!E588</f>
        <v>F1-032</v>
      </c>
      <c r="B610" s="673">
        <f>Sheet1!F588</f>
        <v>37.520000000000003</v>
      </c>
      <c r="C610" s="3257">
        <f t="shared" si="105"/>
        <v>0.99</v>
      </c>
      <c r="D610" s="675"/>
      <c r="E610" s="3257">
        <f t="shared" si="106"/>
        <v>1</v>
      </c>
      <c r="F610" s="675"/>
      <c r="G610" s="3257">
        <f t="shared" si="107"/>
        <v>1</v>
      </c>
      <c r="H610" s="675"/>
      <c r="I610" s="3257">
        <f t="shared" si="108"/>
        <v>1</v>
      </c>
      <c r="J610" s="675"/>
      <c r="K610" s="3257">
        <f t="shared" si="109"/>
        <v>1</v>
      </c>
      <c r="L610" s="675"/>
      <c r="M610" s="3257">
        <f t="shared" si="110"/>
        <v>1</v>
      </c>
      <c r="N610" s="675"/>
      <c r="O610" s="3257">
        <f t="shared" si="111"/>
        <v>1</v>
      </c>
      <c r="P610" s="675"/>
      <c r="Q610" s="3257">
        <f t="shared" si="112"/>
        <v>1</v>
      </c>
      <c r="R610" s="3258">
        <f t="shared" ca="1" si="113"/>
        <v>5702</v>
      </c>
      <c r="S610" s="1070">
        <f t="shared" ca="1" si="114"/>
        <v>21</v>
      </c>
    </row>
    <row r="611" spans="1:19">
      <c r="A611" s="673" t="str">
        <f>Sheet1!E589</f>
        <v>F1-033</v>
      </c>
      <c r="B611" s="673">
        <f>Sheet1!F589</f>
        <v>37.520000000000003</v>
      </c>
      <c r="C611" s="3257">
        <f t="shared" si="105"/>
        <v>0.99</v>
      </c>
      <c r="D611" s="675"/>
      <c r="E611" s="3257">
        <f t="shared" si="106"/>
        <v>1</v>
      </c>
      <c r="F611" s="675"/>
      <c r="G611" s="3257">
        <f t="shared" si="107"/>
        <v>1</v>
      </c>
      <c r="H611" s="675"/>
      <c r="I611" s="3257">
        <f t="shared" si="108"/>
        <v>1</v>
      </c>
      <c r="J611" s="675"/>
      <c r="K611" s="3257">
        <f t="shared" si="109"/>
        <v>1</v>
      </c>
      <c r="L611" s="675"/>
      <c r="M611" s="3257">
        <f t="shared" si="110"/>
        <v>1</v>
      </c>
      <c r="N611" s="675"/>
      <c r="O611" s="3257">
        <f t="shared" si="111"/>
        <v>1</v>
      </c>
      <c r="P611" s="675"/>
      <c r="Q611" s="3257">
        <f t="shared" si="112"/>
        <v>1</v>
      </c>
      <c r="R611" s="3258">
        <f t="shared" ca="1" si="113"/>
        <v>5702</v>
      </c>
      <c r="S611" s="1070">
        <f t="shared" ca="1" si="114"/>
        <v>21</v>
      </c>
    </row>
    <row r="612" spans="1:19">
      <c r="A612" s="673" t="str">
        <f>Sheet1!E590</f>
        <v>F1-034</v>
      </c>
      <c r="B612" s="673">
        <f>Sheet1!F590</f>
        <v>37.520000000000003</v>
      </c>
      <c r="C612" s="3257">
        <f t="shared" si="105"/>
        <v>0.99</v>
      </c>
      <c r="D612" s="675"/>
      <c r="E612" s="3257">
        <f t="shared" si="106"/>
        <v>1</v>
      </c>
      <c r="F612" s="675"/>
      <c r="G612" s="3257">
        <f t="shared" si="107"/>
        <v>1</v>
      </c>
      <c r="H612" s="675"/>
      <c r="I612" s="3257">
        <f t="shared" si="108"/>
        <v>1</v>
      </c>
      <c r="J612" s="675"/>
      <c r="K612" s="3257">
        <f t="shared" si="109"/>
        <v>1</v>
      </c>
      <c r="L612" s="675"/>
      <c r="M612" s="3257">
        <f t="shared" si="110"/>
        <v>1</v>
      </c>
      <c r="N612" s="675"/>
      <c r="O612" s="3257">
        <f t="shared" si="111"/>
        <v>1</v>
      </c>
      <c r="P612" s="675"/>
      <c r="Q612" s="3257">
        <f t="shared" si="112"/>
        <v>1</v>
      </c>
      <c r="R612" s="3258">
        <f t="shared" ca="1" si="113"/>
        <v>5702</v>
      </c>
      <c r="S612" s="1070">
        <f t="shared" ca="1" si="114"/>
        <v>21</v>
      </c>
    </row>
    <row r="613" spans="1:19">
      <c r="A613" s="673" t="str">
        <f>Sheet1!E591</f>
        <v>F1-035</v>
      </c>
      <c r="B613" s="673">
        <f>Sheet1!F591</f>
        <v>37.520000000000003</v>
      </c>
      <c r="C613" s="3257">
        <f t="shared" si="105"/>
        <v>0.99</v>
      </c>
      <c r="D613" s="675"/>
      <c r="E613" s="3257">
        <f t="shared" si="106"/>
        <v>1</v>
      </c>
      <c r="F613" s="675"/>
      <c r="G613" s="3257">
        <f t="shared" si="107"/>
        <v>1</v>
      </c>
      <c r="H613" s="675"/>
      <c r="I613" s="3257">
        <f t="shared" si="108"/>
        <v>1</v>
      </c>
      <c r="J613" s="675"/>
      <c r="K613" s="3257">
        <f t="shared" si="109"/>
        <v>1</v>
      </c>
      <c r="L613" s="675"/>
      <c r="M613" s="3257">
        <f t="shared" si="110"/>
        <v>1</v>
      </c>
      <c r="N613" s="675"/>
      <c r="O613" s="3257">
        <f t="shared" si="111"/>
        <v>1</v>
      </c>
      <c r="P613" s="675"/>
      <c r="Q613" s="3257">
        <f t="shared" si="112"/>
        <v>1</v>
      </c>
      <c r="R613" s="3258">
        <f t="shared" ca="1" si="113"/>
        <v>5702</v>
      </c>
      <c r="S613" s="1070">
        <f t="shared" ca="1" si="114"/>
        <v>21</v>
      </c>
    </row>
    <row r="614" spans="1:19">
      <c r="A614" s="673" t="str">
        <f>Sheet1!E592</f>
        <v>F1-036</v>
      </c>
      <c r="B614" s="673">
        <f>Sheet1!F592</f>
        <v>37.520000000000003</v>
      </c>
      <c r="C614" s="3257">
        <f t="shared" si="105"/>
        <v>0.99</v>
      </c>
      <c r="D614" s="675"/>
      <c r="E614" s="3257">
        <f t="shared" si="106"/>
        <v>1</v>
      </c>
      <c r="F614" s="675"/>
      <c r="G614" s="3257">
        <f t="shared" si="107"/>
        <v>1</v>
      </c>
      <c r="H614" s="675"/>
      <c r="I614" s="3257">
        <f t="shared" si="108"/>
        <v>1</v>
      </c>
      <c r="J614" s="675"/>
      <c r="K614" s="3257">
        <f t="shared" si="109"/>
        <v>1</v>
      </c>
      <c r="L614" s="675"/>
      <c r="M614" s="3257">
        <f t="shared" si="110"/>
        <v>1</v>
      </c>
      <c r="N614" s="675"/>
      <c r="O614" s="3257">
        <f t="shared" si="111"/>
        <v>1</v>
      </c>
      <c r="P614" s="675"/>
      <c r="Q614" s="3257">
        <f t="shared" si="112"/>
        <v>1</v>
      </c>
      <c r="R614" s="3258">
        <f t="shared" ca="1" si="113"/>
        <v>5702</v>
      </c>
      <c r="S614" s="1070">
        <f t="shared" ca="1" si="114"/>
        <v>21</v>
      </c>
    </row>
    <row r="615" spans="1:19">
      <c r="A615" s="673" t="str">
        <f>Sheet1!E593</f>
        <v>F1-041</v>
      </c>
      <c r="B615" s="673">
        <f>Sheet1!F593</f>
        <v>37.520000000000003</v>
      </c>
      <c r="C615" s="3257">
        <f t="shared" si="105"/>
        <v>0.99</v>
      </c>
      <c r="D615" s="675"/>
      <c r="E615" s="3257">
        <f t="shared" si="106"/>
        <v>1</v>
      </c>
      <c r="F615" s="675"/>
      <c r="G615" s="3257">
        <f t="shared" si="107"/>
        <v>1</v>
      </c>
      <c r="H615" s="675"/>
      <c r="I615" s="3257">
        <f t="shared" si="108"/>
        <v>1</v>
      </c>
      <c r="J615" s="675"/>
      <c r="K615" s="3257">
        <f t="shared" si="109"/>
        <v>1</v>
      </c>
      <c r="L615" s="675"/>
      <c r="M615" s="3257">
        <f t="shared" si="110"/>
        <v>1</v>
      </c>
      <c r="N615" s="675"/>
      <c r="O615" s="3257">
        <f t="shared" si="111"/>
        <v>1</v>
      </c>
      <c r="P615" s="675"/>
      <c r="Q615" s="3257">
        <f t="shared" si="112"/>
        <v>1</v>
      </c>
      <c r="R615" s="3258">
        <f t="shared" ca="1" si="113"/>
        <v>5702</v>
      </c>
      <c r="S615" s="1070">
        <f t="shared" ca="1" si="114"/>
        <v>21</v>
      </c>
    </row>
    <row r="616" spans="1:19">
      <c r="A616" s="673" t="str">
        <f>Sheet1!E594</f>
        <v>F1-042</v>
      </c>
      <c r="B616" s="673">
        <f>Sheet1!F594</f>
        <v>37.520000000000003</v>
      </c>
      <c r="C616" s="3257">
        <f t="shared" si="105"/>
        <v>0.99</v>
      </c>
      <c r="D616" s="675"/>
      <c r="E616" s="3257">
        <f t="shared" si="106"/>
        <v>1</v>
      </c>
      <c r="F616" s="675"/>
      <c r="G616" s="3257">
        <f t="shared" si="107"/>
        <v>1</v>
      </c>
      <c r="H616" s="675"/>
      <c r="I616" s="3257">
        <f t="shared" si="108"/>
        <v>1</v>
      </c>
      <c r="J616" s="675"/>
      <c r="K616" s="3257">
        <f t="shared" si="109"/>
        <v>1</v>
      </c>
      <c r="L616" s="675"/>
      <c r="M616" s="3257">
        <f t="shared" si="110"/>
        <v>1</v>
      </c>
      <c r="N616" s="675"/>
      <c r="O616" s="3257">
        <f t="shared" si="111"/>
        <v>1</v>
      </c>
      <c r="P616" s="675"/>
      <c r="Q616" s="3257">
        <f t="shared" si="112"/>
        <v>1</v>
      </c>
      <c r="R616" s="3258">
        <f t="shared" ca="1" si="113"/>
        <v>5702</v>
      </c>
      <c r="S616" s="1070">
        <f t="shared" ca="1" si="114"/>
        <v>21</v>
      </c>
    </row>
    <row r="617" spans="1:19">
      <c r="A617" s="673" t="str">
        <f>Sheet1!E595</f>
        <v>F1-046</v>
      </c>
      <c r="B617" s="673">
        <f>Sheet1!F595</f>
        <v>37.520000000000003</v>
      </c>
      <c r="C617" s="3257">
        <f t="shared" si="105"/>
        <v>0.99</v>
      </c>
      <c r="D617" s="675"/>
      <c r="E617" s="3257">
        <f t="shared" si="106"/>
        <v>1</v>
      </c>
      <c r="F617" s="675"/>
      <c r="G617" s="3257">
        <f t="shared" si="107"/>
        <v>1</v>
      </c>
      <c r="H617" s="675"/>
      <c r="I617" s="3257">
        <f t="shared" si="108"/>
        <v>1</v>
      </c>
      <c r="J617" s="675"/>
      <c r="K617" s="3257">
        <f t="shared" si="109"/>
        <v>1</v>
      </c>
      <c r="L617" s="675"/>
      <c r="M617" s="3257">
        <f t="shared" si="110"/>
        <v>1</v>
      </c>
      <c r="N617" s="675"/>
      <c r="O617" s="3257">
        <f t="shared" si="111"/>
        <v>1</v>
      </c>
      <c r="P617" s="675"/>
      <c r="Q617" s="3257">
        <f t="shared" si="112"/>
        <v>1</v>
      </c>
      <c r="R617" s="3258">
        <f t="shared" ca="1" si="113"/>
        <v>5702</v>
      </c>
      <c r="S617" s="1070">
        <f t="shared" ca="1" si="114"/>
        <v>21</v>
      </c>
    </row>
    <row r="618" spans="1:19">
      <c r="A618" s="673" t="str">
        <f>Sheet1!E596</f>
        <v>G1-002</v>
      </c>
      <c r="B618" s="673">
        <f>Sheet1!F596</f>
        <v>37.520000000000003</v>
      </c>
      <c r="C618" s="3257">
        <f t="shared" si="105"/>
        <v>0.99</v>
      </c>
      <c r="D618" s="675"/>
      <c r="E618" s="3257">
        <f t="shared" si="106"/>
        <v>1</v>
      </c>
      <c r="F618" s="675"/>
      <c r="G618" s="3257">
        <f t="shared" si="107"/>
        <v>1</v>
      </c>
      <c r="H618" s="675"/>
      <c r="I618" s="3257">
        <f t="shared" si="108"/>
        <v>1</v>
      </c>
      <c r="J618" s="675"/>
      <c r="K618" s="3257">
        <f t="shared" si="109"/>
        <v>1</v>
      </c>
      <c r="L618" s="675"/>
      <c r="M618" s="3257">
        <f t="shared" si="110"/>
        <v>1</v>
      </c>
      <c r="N618" s="675"/>
      <c r="O618" s="3257">
        <f t="shared" si="111"/>
        <v>1</v>
      </c>
      <c r="P618" s="675"/>
      <c r="Q618" s="3257">
        <f t="shared" si="112"/>
        <v>1</v>
      </c>
      <c r="R618" s="3258">
        <f t="shared" ca="1" si="113"/>
        <v>5702</v>
      </c>
      <c r="S618" s="1070">
        <f t="shared" ca="1" si="114"/>
        <v>21</v>
      </c>
    </row>
    <row r="619" spans="1:19">
      <c r="A619" s="673" t="str">
        <f>Sheet1!E597</f>
        <v>G1-003</v>
      </c>
      <c r="B619" s="673">
        <f>Sheet1!F597</f>
        <v>37.520000000000003</v>
      </c>
      <c r="C619" s="3257">
        <f t="shared" si="105"/>
        <v>0.99</v>
      </c>
      <c r="D619" s="675"/>
      <c r="E619" s="3257">
        <f t="shared" si="106"/>
        <v>1</v>
      </c>
      <c r="F619" s="675"/>
      <c r="G619" s="3257">
        <f t="shared" si="107"/>
        <v>1</v>
      </c>
      <c r="H619" s="675"/>
      <c r="I619" s="3257">
        <f t="shared" si="108"/>
        <v>1</v>
      </c>
      <c r="J619" s="675"/>
      <c r="K619" s="3257">
        <f t="shared" si="109"/>
        <v>1</v>
      </c>
      <c r="L619" s="675"/>
      <c r="M619" s="3257">
        <f t="shared" si="110"/>
        <v>1</v>
      </c>
      <c r="N619" s="675"/>
      <c r="O619" s="3257">
        <f t="shared" si="111"/>
        <v>1</v>
      </c>
      <c r="P619" s="675"/>
      <c r="Q619" s="3257">
        <f t="shared" si="112"/>
        <v>1</v>
      </c>
      <c r="R619" s="3258">
        <f t="shared" ca="1" si="113"/>
        <v>5702</v>
      </c>
      <c r="S619" s="1070">
        <f t="shared" ca="1" si="114"/>
        <v>21</v>
      </c>
    </row>
    <row r="620" spans="1:19">
      <c r="A620" s="673" t="str">
        <f>Sheet1!E598</f>
        <v>G1-004</v>
      </c>
      <c r="B620" s="673">
        <f>Sheet1!F598</f>
        <v>37.520000000000003</v>
      </c>
      <c r="C620" s="3257">
        <f t="shared" si="105"/>
        <v>0.99</v>
      </c>
      <c r="D620" s="675"/>
      <c r="E620" s="3257">
        <f t="shared" si="106"/>
        <v>1</v>
      </c>
      <c r="F620" s="675"/>
      <c r="G620" s="3257">
        <f t="shared" si="107"/>
        <v>1</v>
      </c>
      <c r="H620" s="675"/>
      <c r="I620" s="3257">
        <f t="shared" si="108"/>
        <v>1</v>
      </c>
      <c r="J620" s="675"/>
      <c r="K620" s="3257">
        <f t="shared" si="109"/>
        <v>1</v>
      </c>
      <c r="L620" s="675"/>
      <c r="M620" s="3257">
        <f t="shared" si="110"/>
        <v>1</v>
      </c>
      <c r="N620" s="675"/>
      <c r="O620" s="3257">
        <f t="shared" si="111"/>
        <v>1</v>
      </c>
      <c r="P620" s="675"/>
      <c r="Q620" s="3257">
        <f t="shared" si="112"/>
        <v>1</v>
      </c>
      <c r="R620" s="3258">
        <f t="shared" ca="1" si="113"/>
        <v>5702</v>
      </c>
      <c r="S620" s="1070">
        <f t="shared" ca="1" si="114"/>
        <v>21</v>
      </c>
    </row>
    <row r="621" spans="1:19">
      <c r="A621" s="673" t="str">
        <f>Sheet1!E599</f>
        <v>G1-005</v>
      </c>
      <c r="B621" s="673">
        <f>Sheet1!F599</f>
        <v>37.520000000000003</v>
      </c>
      <c r="C621" s="3257">
        <f t="shared" si="105"/>
        <v>0.99</v>
      </c>
      <c r="D621" s="675"/>
      <c r="E621" s="3257">
        <f t="shared" si="106"/>
        <v>1</v>
      </c>
      <c r="F621" s="675"/>
      <c r="G621" s="3257">
        <f t="shared" si="107"/>
        <v>1</v>
      </c>
      <c r="H621" s="675"/>
      <c r="I621" s="3257">
        <f t="shared" si="108"/>
        <v>1</v>
      </c>
      <c r="J621" s="675"/>
      <c r="K621" s="3257">
        <f t="shared" si="109"/>
        <v>1</v>
      </c>
      <c r="L621" s="675"/>
      <c r="M621" s="3257">
        <f t="shared" si="110"/>
        <v>1</v>
      </c>
      <c r="N621" s="675"/>
      <c r="O621" s="3257">
        <f t="shared" si="111"/>
        <v>1</v>
      </c>
      <c r="P621" s="675"/>
      <c r="Q621" s="3257">
        <f t="shared" si="112"/>
        <v>1</v>
      </c>
      <c r="R621" s="3258">
        <f t="shared" ca="1" si="113"/>
        <v>5702</v>
      </c>
      <c r="S621" s="1070">
        <f t="shared" ca="1" si="114"/>
        <v>21</v>
      </c>
    </row>
    <row r="622" spans="1:19">
      <c r="A622" s="673" t="str">
        <f>Sheet1!E600</f>
        <v>G1-006</v>
      </c>
      <c r="B622" s="673">
        <f>Sheet1!F600</f>
        <v>37.520000000000003</v>
      </c>
      <c r="C622" s="3257">
        <f t="shared" si="105"/>
        <v>0.99</v>
      </c>
      <c r="D622" s="675"/>
      <c r="E622" s="3257">
        <f t="shared" si="106"/>
        <v>1</v>
      </c>
      <c r="F622" s="675"/>
      <c r="G622" s="3257">
        <f t="shared" si="107"/>
        <v>1</v>
      </c>
      <c r="H622" s="675"/>
      <c r="I622" s="3257">
        <f t="shared" si="108"/>
        <v>1</v>
      </c>
      <c r="J622" s="675"/>
      <c r="K622" s="3257">
        <f t="shared" si="109"/>
        <v>1</v>
      </c>
      <c r="L622" s="675"/>
      <c r="M622" s="3257">
        <f t="shared" si="110"/>
        <v>1</v>
      </c>
      <c r="N622" s="675"/>
      <c r="O622" s="3257">
        <f t="shared" si="111"/>
        <v>1</v>
      </c>
      <c r="P622" s="675"/>
      <c r="Q622" s="3257">
        <f t="shared" si="112"/>
        <v>1</v>
      </c>
      <c r="R622" s="3258">
        <f t="shared" ca="1" si="113"/>
        <v>5702</v>
      </c>
      <c r="S622" s="1070">
        <f t="shared" ca="1" si="114"/>
        <v>21</v>
      </c>
    </row>
    <row r="623" spans="1:19">
      <c r="A623" s="673" t="str">
        <f>Sheet1!E601</f>
        <v>G1-007</v>
      </c>
      <c r="B623" s="673">
        <f>Sheet1!F601</f>
        <v>37.520000000000003</v>
      </c>
      <c r="C623" s="3257">
        <f t="shared" si="105"/>
        <v>0.99</v>
      </c>
      <c r="D623" s="675"/>
      <c r="E623" s="3257">
        <f t="shared" si="106"/>
        <v>1</v>
      </c>
      <c r="F623" s="675"/>
      <c r="G623" s="3257">
        <f t="shared" si="107"/>
        <v>1</v>
      </c>
      <c r="H623" s="675"/>
      <c r="I623" s="3257">
        <f t="shared" si="108"/>
        <v>1</v>
      </c>
      <c r="J623" s="675"/>
      <c r="K623" s="3257">
        <f t="shared" si="109"/>
        <v>1</v>
      </c>
      <c r="L623" s="675"/>
      <c r="M623" s="3257">
        <f t="shared" si="110"/>
        <v>1</v>
      </c>
      <c r="N623" s="675"/>
      <c r="O623" s="3257">
        <f t="shared" si="111"/>
        <v>1</v>
      </c>
      <c r="P623" s="675"/>
      <c r="Q623" s="3257">
        <f t="shared" si="112"/>
        <v>1</v>
      </c>
      <c r="R623" s="3258">
        <f t="shared" ca="1" si="113"/>
        <v>5702</v>
      </c>
      <c r="S623" s="1070">
        <f t="shared" ca="1" si="114"/>
        <v>21</v>
      </c>
    </row>
    <row r="624" spans="1:19">
      <c r="A624" s="673" t="str">
        <f>Sheet1!E602</f>
        <v>G1-008</v>
      </c>
      <c r="B624" s="673">
        <f>Sheet1!F602</f>
        <v>37.520000000000003</v>
      </c>
      <c r="C624" s="3257">
        <f t="shared" si="105"/>
        <v>0.99</v>
      </c>
      <c r="D624" s="675"/>
      <c r="E624" s="3257">
        <f t="shared" si="106"/>
        <v>1</v>
      </c>
      <c r="F624" s="675"/>
      <c r="G624" s="3257">
        <f t="shared" si="107"/>
        <v>1</v>
      </c>
      <c r="H624" s="675"/>
      <c r="I624" s="3257">
        <f t="shared" si="108"/>
        <v>1</v>
      </c>
      <c r="J624" s="675"/>
      <c r="K624" s="3257">
        <f t="shared" si="109"/>
        <v>1</v>
      </c>
      <c r="L624" s="675"/>
      <c r="M624" s="3257">
        <f t="shared" si="110"/>
        <v>1</v>
      </c>
      <c r="N624" s="675"/>
      <c r="O624" s="3257">
        <f t="shared" si="111"/>
        <v>1</v>
      </c>
      <c r="P624" s="675"/>
      <c r="Q624" s="3257">
        <f t="shared" si="112"/>
        <v>1</v>
      </c>
      <c r="R624" s="3258">
        <f t="shared" ca="1" si="113"/>
        <v>5702</v>
      </c>
      <c r="S624" s="1070">
        <f t="shared" ca="1" si="114"/>
        <v>21</v>
      </c>
    </row>
    <row r="625" spans="1:19">
      <c r="A625" s="673" t="str">
        <f>Sheet1!E603</f>
        <v>G1-009</v>
      </c>
      <c r="B625" s="673">
        <f>Sheet1!F603</f>
        <v>37.520000000000003</v>
      </c>
      <c r="C625" s="3257">
        <f t="shared" si="105"/>
        <v>0.99</v>
      </c>
      <c r="D625" s="675"/>
      <c r="E625" s="3257">
        <f t="shared" si="106"/>
        <v>1</v>
      </c>
      <c r="F625" s="675"/>
      <c r="G625" s="3257">
        <f t="shared" si="107"/>
        <v>1</v>
      </c>
      <c r="H625" s="675"/>
      <c r="I625" s="3257">
        <f t="shared" si="108"/>
        <v>1</v>
      </c>
      <c r="J625" s="675"/>
      <c r="K625" s="3257">
        <f t="shared" si="109"/>
        <v>1</v>
      </c>
      <c r="L625" s="675"/>
      <c r="M625" s="3257">
        <f t="shared" si="110"/>
        <v>1</v>
      </c>
      <c r="N625" s="675"/>
      <c r="O625" s="3257">
        <f t="shared" si="111"/>
        <v>1</v>
      </c>
      <c r="P625" s="675"/>
      <c r="Q625" s="3257">
        <f t="shared" si="112"/>
        <v>1</v>
      </c>
      <c r="R625" s="3258">
        <f t="shared" ca="1" si="113"/>
        <v>5702</v>
      </c>
      <c r="S625" s="1070">
        <f t="shared" ca="1" si="114"/>
        <v>21</v>
      </c>
    </row>
    <row r="626" spans="1:19">
      <c r="A626" s="673" t="str">
        <f>Sheet1!E604</f>
        <v>G1-010</v>
      </c>
      <c r="B626" s="673">
        <f>Sheet1!F604</f>
        <v>37.520000000000003</v>
      </c>
      <c r="C626" s="3257">
        <f t="shared" si="105"/>
        <v>0.99</v>
      </c>
      <c r="D626" s="675"/>
      <c r="E626" s="3257">
        <f t="shared" si="106"/>
        <v>1</v>
      </c>
      <c r="F626" s="675"/>
      <c r="G626" s="3257">
        <f t="shared" si="107"/>
        <v>1</v>
      </c>
      <c r="H626" s="675"/>
      <c r="I626" s="3257">
        <f t="shared" si="108"/>
        <v>1</v>
      </c>
      <c r="J626" s="675"/>
      <c r="K626" s="3257">
        <f t="shared" si="109"/>
        <v>1</v>
      </c>
      <c r="L626" s="675"/>
      <c r="M626" s="3257">
        <f t="shared" si="110"/>
        <v>1</v>
      </c>
      <c r="N626" s="675"/>
      <c r="O626" s="3257">
        <f t="shared" si="111"/>
        <v>1</v>
      </c>
      <c r="P626" s="675"/>
      <c r="Q626" s="3257">
        <f t="shared" si="112"/>
        <v>1</v>
      </c>
      <c r="R626" s="3258">
        <f t="shared" ca="1" si="113"/>
        <v>5702</v>
      </c>
      <c r="S626" s="1070">
        <f t="shared" ca="1" si="114"/>
        <v>21</v>
      </c>
    </row>
    <row r="627" spans="1:19">
      <c r="A627" s="673" t="str">
        <f>Sheet1!E605</f>
        <v>G1-011</v>
      </c>
      <c r="B627" s="673">
        <f>Sheet1!F605</f>
        <v>37.520000000000003</v>
      </c>
      <c r="C627" s="3257">
        <f t="shared" si="105"/>
        <v>0.99</v>
      </c>
      <c r="D627" s="675"/>
      <c r="E627" s="3257">
        <f t="shared" si="106"/>
        <v>1</v>
      </c>
      <c r="F627" s="675"/>
      <c r="G627" s="3257">
        <f t="shared" si="107"/>
        <v>1</v>
      </c>
      <c r="H627" s="675"/>
      <c r="I627" s="3257">
        <f t="shared" si="108"/>
        <v>1</v>
      </c>
      <c r="J627" s="675"/>
      <c r="K627" s="3257">
        <f t="shared" si="109"/>
        <v>1</v>
      </c>
      <c r="L627" s="675"/>
      <c r="M627" s="3257">
        <f t="shared" si="110"/>
        <v>1</v>
      </c>
      <c r="N627" s="675"/>
      <c r="O627" s="3257">
        <f t="shared" si="111"/>
        <v>1</v>
      </c>
      <c r="P627" s="675"/>
      <c r="Q627" s="3257">
        <f t="shared" si="112"/>
        <v>1</v>
      </c>
      <c r="R627" s="3258">
        <f t="shared" ca="1" si="113"/>
        <v>5702</v>
      </c>
      <c r="S627" s="1070">
        <f t="shared" ca="1" si="114"/>
        <v>21</v>
      </c>
    </row>
    <row r="628" spans="1:19">
      <c r="A628" s="673" t="str">
        <f>Sheet1!E606</f>
        <v>G1-012</v>
      </c>
      <c r="B628" s="673">
        <f>Sheet1!F606</f>
        <v>37.520000000000003</v>
      </c>
      <c r="C628" s="3257">
        <f t="shared" si="105"/>
        <v>0.99</v>
      </c>
      <c r="D628" s="675"/>
      <c r="E628" s="3257">
        <f t="shared" si="106"/>
        <v>1</v>
      </c>
      <c r="F628" s="675"/>
      <c r="G628" s="3257">
        <f t="shared" si="107"/>
        <v>1</v>
      </c>
      <c r="H628" s="675"/>
      <c r="I628" s="3257">
        <f t="shared" si="108"/>
        <v>1</v>
      </c>
      <c r="J628" s="675"/>
      <c r="K628" s="3257">
        <f t="shared" si="109"/>
        <v>1</v>
      </c>
      <c r="L628" s="675"/>
      <c r="M628" s="3257">
        <f t="shared" si="110"/>
        <v>1</v>
      </c>
      <c r="N628" s="675"/>
      <c r="O628" s="3257">
        <f t="shared" si="111"/>
        <v>1</v>
      </c>
      <c r="P628" s="675"/>
      <c r="Q628" s="3257">
        <f t="shared" si="112"/>
        <v>1</v>
      </c>
      <c r="R628" s="3258">
        <f t="shared" ca="1" si="113"/>
        <v>5702</v>
      </c>
      <c r="S628" s="1070">
        <f t="shared" ca="1" si="114"/>
        <v>21</v>
      </c>
    </row>
    <row r="629" spans="1:19">
      <c r="A629" s="673" t="str">
        <f>Sheet1!E607</f>
        <v>G1-013</v>
      </c>
      <c r="B629" s="673">
        <f>Sheet1!F607</f>
        <v>37.520000000000003</v>
      </c>
      <c r="C629" s="3257">
        <f t="shared" si="105"/>
        <v>0.99</v>
      </c>
      <c r="D629" s="675"/>
      <c r="E629" s="3257">
        <f t="shared" si="106"/>
        <v>1</v>
      </c>
      <c r="F629" s="675"/>
      <c r="G629" s="3257">
        <f t="shared" si="107"/>
        <v>1</v>
      </c>
      <c r="H629" s="675"/>
      <c r="I629" s="3257">
        <f t="shared" si="108"/>
        <v>1</v>
      </c>
      <c r="J629" s="675"/>
      <c r="K629" s="3257">
        <f t="shared" si="109"/>
        <v>1</v>
      </c>
      <c r="L629" s="675"/>
      <c r="M629" s="3257">
        <f t="shared" si="110"/>
        <v>1</v>
      </c>
      <c r="N629" s="675"/>
      <c r="O629" s="3257">
        <f t="shared" si="111"/>
        <v>1</v>
      </c>
      <c r="P629" s="675"/>
      <c r="Q629" s="3257">
        <f t="shared" si="112"/>
        <v>1</v>
      </c>
      <c r="R629" s="3258">
        <f t="shared" ca="1" si="113"/>
        <v>5702</v>
      </c>
      <c r="S629" s="1070">
        <f t="shared" ca="1" si="114"/>
        <v>21</v>
      </c>
    </row>
    <row r="630" spans="1:19">
      <c r="A630" s="673" t="str">
        <f>Sheet1!E608</f>
        <v>G1-014</v>
      </c>
      <c r="B630" s="673">
        <f>Sheet1!F608</f>
        <v>37.520000000000003</v>
      </c>
      <c r="C630" s="3257">
        <f t="shared" si="105"/>
        <v>0.99</v>
      </c>
      <c r="D630" s="675"/>
      <c r="E630" s="3257">
        <f t="shared" si="106"/>
        <v>1</v>
      </c>
      <c r="F630" s="675"/>
      <c r="G630" s="3257">
        <f t="shared" si="107"/>
        <v>1</v>
      </c>
      <c r="H630" s="675"/>
      <c r="I630" s="3257">
        <f t="shared" si="108"/>
        <v>1</v>
      </c>
      <c r="J630" s="675"/>
      <c r="K630" s="3257">
        <f t="shared" si="109"/>
        <v>1</v>
      </c>
      <c r="L630" s="675"/>
      <c r="M630" s="3257">
        <f t="shared" si="110"/>
        <v>1</v>
      </c>
      <c r="N630" s="675"/>
      <c r="O630" s="3257">
        <f t="shared" si="111"/>
        <v>1</v>
      </c>
      <c r="P630" s="675"/>
      <c r="Q630" s="3257">
        <f t="shared" si="112"/>
        <v>1</v>
      </c>
      <c r="R630" s="3258">
        <f t="shared" ca="1" si="113"/>
        <v>5702</v>
      </c>
      <c r="S630" s="1070">
        <f t="shared" ca="1" si="114"/>
        <v>21</v>
      </c>
    </row>
    <row r="631" spans="1:19">
      <c r="A631" s="673" t="str">
        <f>Sheet1!E609</f>
        <v>G1-017</v>
      </c>
      <c r="B631" s="673">
        <f>Sheet1!F609</f>
        <v>37.520000000000003</v>
      </c>
      <c r="C631" s="3257">
        <f t="shared" si="105"/>
        <v>0.99</v>
      </c>
      <c r="D631" s="675"/>
      <c r="E631" s="3257">
        <f t="shared" si="106"/>
        <v>1</v>
      </c>
      <c r="F631" s="675"/>
      <c r="G631" s="3257">
        <f t="shared" si="107"/>
        <v>1</v>
      </c>
      <c r="H631" s="675"/>
      <c r="I631" s="3257">
        <f t="shared" si="108"/>
        <v>1</v>
      </c>
      <c r="J631" s="675"/>
      <c r="K631" s="3257">
        <f t="shared" si="109"/>
        <v>1</v>
      </c>
      <c r="L631" s="675"/>
      <c r="M631" s="3257">
        <f t="shared" si="110"/>
        <v>1</v>
      </c>
      <c r="N631" s="675"/>
      <c r="O631" s="3257">
        <f t="shared" si="111"/>
        <v>1</v>
      </c>
      <c r="P631" s="675"/>
      <c r="Q631" s="3257">
        <f t="shared" si="112"/>
        <v>1</v>
      </c>
      <c r="R631" s="3258">
        <f t="shared" ca="1" si="113"/>
        <v>5702</v>
      </c>
      <c r="S631" s="1070">
        <f t="shared" ca="1" si="114"/>
        <v>21</v>
      </c>
    </row>
    <row r="632" spans="1:19">
      <c r="A632" s="673" t="str">
        <f>Sheet1!E610</f>
        <v>G1-018</v>
      </c>
      <c r="B632" s="673">
        <f>Sheet1!F610</f>
        <v>37.520000000000003</v>
      </c>
      <c r="C632" s="3257">
        <f t="shared" si="105"/>
        <v>0.99</v>
      </c>
      <c r="D632" s="675"/>
      <c r="E632" s="3257">
        <f t="shared" si="106"/>
        <v>1</v>
      </c>
      <c r="F632" s="675"/>
      <c r="G632" s="3257">
        <f t="shared" si="107"/>
        <v>1</v>
      </c>
      <c r="H632" s="675"/>
      <c r="I632" s="3257">
        <f t="shared" si="108"/>
        <v>1</v>
      </c>
      <c r="J632" s="675"/>
      <c r="K632" s="3257">
        <f t="shared" si="109"/>
        <v>1</v>
      </c>
      <c r="L632" s="675"/>
      <c r="M632" s="3257">
        <f t="shared" si="110"/>
        <v>1</v>
      </c>
      <c r="N632" s="675"/>
      <c r="O632" s="3257">
        <f t="shared" si="111"/>
        <v>1</v>
      </c>
      <c r="P632" s="675"/>
      <c r="Q632" s="3257">
        <f t="shared" si="112"/>
        <v>1</v>
      </c>
      <c r="R632" s="3258">
        <f t="shared" ca="1" si="113"/>
        <v>5702</v>
      </c>
      <c r="S632" s="1070">
        <f t="shared" ca="1" si="114"/>
        <v>21</v>
      </c>
    </row>
    <row r="633" spans="1:19">
      <c r="A633" s="673" t="str">
        <f>Sheet1!E611</f>
        <v>G1-019</v>
      </c>
      <c r="B633" s="673">
        <f>Sheet1!F611</f>
        <v>37.520000000000003</v>
      </c>
      <c r="C633" s="3257">
        <f t="shared" si="105"/>
        <v>0.99</v>
      </c>
      <c r="D633" s="675"/>
      <c r="E633" s="3257">
        <f t="shared" si="106"/>
        <v>1</v>
      </c>
      <c r="F633" s="675"/>
      <c r="G633" s="3257">
        <f t="shared" si="107"/>
        <v>1</v>
      </c>
      <c r="H633" s="675"/>
      <c r="I633" s="3257">
        <f t="shared" si="108"/>
        <v>1</v>
      </c>
      <c r="J633" s="675"/>
      <c r="K633" s="3257">
        <f t="shared" si="109"/>
        <v>1</v>
      </c>
      <c r="L633" s="675"/>
      <c r="M633" s="3257">
        <f t="shared" si="110"/>
        <v>1</v>
      </c>
      <c r="N633" s="675"/>
      <c r="O633" s="3257">
        <f t="shared" si="111"/>
        <v>1</v>
      </c>
      <c r="P633" s="675"/>
      <c r="Q633" s="3257">
        <f t="shared" si="112"/>
        <v>1</v>
      </c>
      <c r="R633" s="3258">
        <f t="shared" ca="1" si="113"/>
        <v>5702</v>
      </c>
      <c r="S633" s="1070">
        <f t="shared" ca="1" si="114"/>
        <v>21</v>
      </c>
    </row>
    <row r="634" spans="1:19">
      <c r="A634" s="673" t="str">
        <f>Sheet1!E612</f>
        <v>G1-023</v>
      </c>
      <c r="B634" s="673">
        <f>Sheet1!F612</f>
        <v>37.520000000000003</v>
      </c>
      <c r="C634" s="3257">
        <f t="shared" si="105"/>
        <v>0.99</v>
      </c>
      <c r="D634" s="675"/>
      <c r="E634" s="3257">
        <f t="shared" si="106"/>
        <v>1</v>
      </c>
      <c r="F634" s="675"/>
      <c r="G634" s="3257">
        <f t="shared" si="107"/>
        <v>1</v>
      </c>
      <c r="H634" s="675"/>
      <c r="I634" s="3257">
        <f t="shared" si="108"/>
        <v>1</v>
      </c>
      <c r="J634" s="675"/>
      <c r="K634" s="3257">
        <f t="shared" si="109"/>
        <v>1</v>
      </c>
      <c r="L634" s="675"/>
      <c r="M634" s="3257">
        <f t="shared" si="110"/>
        <v>1</v>
      </c>
      <c r="N634" s="675"/>
      <c r="O634" s="3257">
        <f t="shared" si="111"/>
        <v>1</v>
      </c>
      <c r="P634" s="675"/>
      <c r="Q634" s="3257">
        <f t="shared" si="112"/>
        <v>1</v>
      </c>
      <c r="R634" s="3258">
        <f t="shared" ca="1" si="113"/>
        <v>5702</v>
      </c>
      <c r="S634" s="1070">
        <f t="shared" ca="1" si="114"/>
        <v>21</v>
      </c>
    </row>
    <row r="635" spans="1:19">
      <c r="A635" s="673" t="str">
        <f>Sheet1!E613</f>
        <v>G1-024</v>
      </c>
      <c r="B635" s="673">
        <f>Sheet1!F613</f>
        <v>37.520000000000003</v>
      </c>
      <c r="C635" s="3257">
        <f t="shared" si="105"/>
        <v>0.99</v>
      </c>
      <c r="D635" s="675"/>
      <c r="E635" s="3257">
        <f t="shared" si="106"/>
        <v>1</v>
      </c>
      <c r="F635" s="675"/>
      <c r="G635" s="3257">
        <f t="shared" si="107"/>
        <v>1</v>
      </c>
      <c r="H635" s="675"/>
      <c r="I635" s="3257">
        <f t="shared" si="108"/>
        <v>1</v>
      </c>
      <c r="J635" s="675"/>
      <c r="K635" s="3257">
        <f t="shared" si="109"/>
        <v>1</v>
      </c>
      <c r="L635" s="675"/>
      <c r="M635" s="3257">
        <f t="shared" si="110"/>
        <v>1</v>
      </c>
      <c r="N635" s="675"/>
      <c r="O635" s="3257">
        <f t="shared" si="111"/>
        <v>1</v>
      </c>
      <c r="P635" s="675"/>
      <c r="Q635" s="3257">
        <f t="shared" si="112"/>
        <v>1</v>
      </c>
      <c r="R635" s="3258">
        <f t="shared" ca="1" si="113"/>
        <v>5702</v>
      </c>
      <c r="S635" s="1070">
        <f t="shared" ca="1" si="114"/>
        <v>21</v>
      </c>
    </row>
    <row r="636" spans="1:19">
      <c r="A636" s="673" t="str">
        <f>Sheet1!E614</f>
        <v>G1-025</v>
      </c>
      <c r="B636" s="673">
        <f>Sheet1!F614</f>
        <v>37.520000000000003</v>
      </c>
      <c r="C636" s="3257">
        <f t="shared" si="105"/>
        <v>0.99</v>
      </c>
      <c r="D636" s="675"/>
      <c r="E636" s="3257">
        <f t="shared" si="106"/>
        <v>1</v>
      </c>
      <c r="F636" s="675"/>
      <c r="G636" s="3257">
        <f t="shared" si="107"/>
        <v>1</v>
      </c>
      <c r="H636" s="675"/>
      <c r="I636" s="3257">
        <f t="shared" si="108"/>
        <v>1</v>
      </c>
      <c r="J636" s="675"/>
      <c r="K636" s="3257">
        <f t="shared" si="109"/>
        <v>1</v>
      </c>
      <c r="L636" s="675"/>
      <c r="M636" s="3257">
        <f t="shared" si="110"/>
        <v>1</v>
      </c>
      <c r="N636" s="675"/>
      <c r="O636" s="3257">
        <f t="shared" si="111"/>
        <v>1</v>
      </c>
      <c r="P636" s="675"/>
      <c r="Q636" s="3257">
        <f t="shared" si="112"/>
        <v>1</v>
      </c>
      <c r="R636" s="3258">
        <f t="shared" ca="1" si="113"/>
        <v>5702</v>
      </c>
      <c r="S636" s="1070">
        <f t="shared" ca="1" si="114"/>
        <v>21</v>
      </c>
    </row>
    <row r="637" spans="1:19">
      <c r="A637" s="673" t="str">
        <f>Sheet1!E615</f>
        <v>G1-026</v>
      </c>
      <c r="B637" s="673">
        <f>Sheet1!F615</f>
        <v>37.520000000000003</v>
      </c>
      <c r="C637" s="3257">
        <f t="shared" si="105"/>
        <v>0.99</v>
      </c>
      <c r="D637" s="675"/>
      <c r="E637" s="3257">
        <f t="shared" si="106"/>
        <v>1</v>
      </c>
      <c r="F637" s="675"/>
      <c r="G637" s="3257">
        <f t="shared" si="107"/>
        <v>1</v>
      </c>
      <c r="H637" s="675"/>
      <c r="I637" s="3257">
        <f t="shared" si="108"/>
        <v>1</v>
      </c>
      <c r="J637" s="675"/>
      <c r="K637" s="3257">
        <f t="shared" si="109"/>
        <v>1</v>
      </c>
      <c r="L637" s="675"/>
      <c r="M637" s="3257">
        <f t="shared" si="110"/>
        <v>1</v>
      </c>
      <c r="N637" s="675"/>
      <c r="O637" s="3257">
        <f t="shared" si="111"/>
        <v>1</v>
      </c>
      <c r="P637" s="675"/>
      <c r="Q637" s="3257">
        <f t="shared" si="112"/>
        <v>1</v>
      </c>
      <c r="R637" s="3258">
        <f t="shared" ca="1" si="113"/>
        <v>5702</v>
      </c>
      <c r="S637" s="1070">
        <f t="shared" ca="1" si="114"/>
        <v>21</v>
      </c>
    </row>
    <row r="638" spans="1:19">
      <c r="A638" s="673" t="str">
        <f>Sheet1!E616</f>
        <v>G1-027</v>
      </c>
      <c r="B638" s="673">
        <f>Sheet1!F616</f>
        <v>37.520000000000003</v>
      </c>
      <c r="C638" s="3257">
        <f t="shared" si="105"/>
        <v>0.99</v>
      </c>
      <c r="D638" s="675"/>
      <c r="E638" s="3257">
        <f t="shared" si="106"/>
        <v>1</v>
      </c>
      <c r="F638" s="675"/>
      <c r="G638" s="3257">
        <f t="shared" si="107"/>
        <v>1</v>
      </c>
      <c r="H638" s="675"/>
      <c r="I638" s="3257">
        <f t="shared" si="108"/>
        <v>1</v>
      </c>
      <c r="J638" s="675"/>
      <c r="K638" s="3257">
        <f t="shared" si="109"/>
        <v>1</v>
      </c>
      <c r="L638" s="675"/>
      <c r="M638" s="3257">
        <f t="shared" si="110"/>
        <v>1</v>
      </c>
      <c r="N638" s="675"/>
      <c r="O638" s="3257">
        <f t="shared" si="111"/>
        <v>1</v>
      </c>
      <c r="P638" s="675"/>
      <c r="Q638" s="3257">
        <f t="shared" si="112"/>
        <v>1</v>
      </c>
      <c r="R638" s="3258">
        <f t="shared" ca="1" si="113"/>
        <v>5702</v>
      </c>
      <c r="S638" s="1070">
        <f t="shared" ca="1" si="114"/>
        <v>21</v>
      </c>
    </row>
    <row r="639" spans="1:19">
      <c r="A639" s="673" t="str">
        <f>Sheet1!E617</f>
        <v>G1-028</v>
      </c>
      <c r="B639" s="673">
        <f>Sheet1!F617</f>
        <v>37.520000000000003</v>
      </c>
      <c r="C639" s="3257">
        <f t="shared" si="105"/>
        <v>0.99</v>
      </c>
      <c r="D639" s="675"/>
      <c r="E639" s="3257">
        <f t="shared" si="106"/>
        <v>1</v>
      </c>
      <c r="F639" s="675"/>
      <c r="G639" s="3257">
        <f t="shared" si="107"/>
        <v>1</v>
      </c>
      <c r="H639" s="675"/>
      <c r="I639" s="3257">
        <f t="shared" si="108"/>
        <v>1</v>
      </c>
      <c r="J639" s="675"/>
      <c r="K639" s="3257">
        <f t="shared" si="109"/>
        <v>1</v>
      </c>
      <c r="L639" s="675"/>
      <c r="M639" s="3257">
        <f t="shared" si="110"/>
        <v>1</v>
      </c>
      <c r="N639" s="675"/>
      <c r="O639" s="3257">
        <f t="shared" si="111"/>
        <v>1</v>
      </c>
      <c r="P639" s="675"/>
      <c r="Q639" s="3257">
        <f t="shared" si="112"/>
        <v>1</v>
      </c>
      <c r="R639" s="3258">
        <f t="shared" ca="1" si="113"/>
        <v>5702</v>
      </c>
      <c r="S639" s="1070">
        <f t="shared" ca="1" si="114"/>
        <v>21</v>
      </c>
    </row>
    <row r="640" spans="1:19">
      <c r="A640" s="673" t="str">
        <f>Sheet1!E618</f>
        <v>G1-029</v>
      </c>
      <c r="B640" s="673">
        <f>Sheet1!F618</f>
        <v>37.520000000000003</v>
      </c>
      <c r="C640" s="3257">
        <f t="shared" si="105"/>
        <v>0.99</v>
      </c>
      <c r="D640" s="675"/>
      <c r="E640" s="3257">
        <f t="shared" si="106"/>
        <v>1</v>
      </c>
      <c r="F640" s="675"/>
      <c r="G640" s="3257">
        <f t="shared" si="107"/>
        <v>1</v>
      </c>
      <c r="H640" s="675"/>
      <c r="I640" s="3257">
        <f t="shared" si="108"/>
        <v>1</v>
      </c>
      <c r="J640" s="675"/>
      <c r="K640" s="3257">
        <f t="shared" si="109"/>
        <v>1</v>
      </c>
      <c r="L640" s="675"/>
      <c r="M640" s="3257">
        <f t="shared" si="110"/>
        <v>1</v>
      </c>
      <c r="N640" s="675"/>
      <c r="O640" s="3257">
        <f t="shared" si="111"/>
        <v>1</v>
      </c>
      <c r="P640" s="675"/>
      <c r="Q640" s="3257">
        <f t="shared" si="112"/>
        <v>1</v>
      </c>
      <c r="R640" s="3258">
        <f t="shared" ca="1" si="113"/>
        <v>5702</v>
      </c>
      <c r="S640" s="1070">
        <f t="shared" ca="1" si="114"/>
        <v>21</v>
      </c>
    </row>
    <row r="641" spans="1:19">
      <c r="A641" s="673" t="str">
        <f>Sheet1!E619</f>
        <v>G1-030</v>
      </c>
      <c r="B641" s="673">
        <f>Sheet1!F619</f>
        <v>37.520000000000003</v>
      </c>
      <c r="C641" s="3257">
        <f t="shared" si="105"/>
        <v>0.99</v>
      </c>
      <c r="D641" s="675"/>
      <c r="E641" s="3257">
        <f t="shared" si="106"/>
        <v>1</v>
      </c>
      <c r="F641" s="675"/>
      <c r="G641" s="3257">
        <f t="shared" si="107"/>
        <v>1</v>
      </c>
      <c r="H641" s="675"/>
      <c r="I641" s="3257">
        <f t="shared" si="108"/>
        <v>1</v>
      </c>
      <c r="J641" s="675"/>
      <c r="K641" s="3257">
        <f t="shared" si="109"/>
        <v>1</v>
      </c>
      <c r="L641" s="675"/>
      <c r="M641" s="3257">
        <f t="shared" si="110"/>
        <v>1</v>
      </c>
      <c r="N641" s="675"/>
      <c r="O641" s="3257">
        <f t="shared" si="111"/>
        <v>1</v>
      </c>
      <c r="P641" s="675"/>
      <c r="Q641" s="3257">
        <f t="shared" si="112"/>
        <v>1</v>
      </c>
      <c r="R641" s="3258">
        <f t="shared" ca="1" si="113"/>
        <v>5702</v>
      </c>
      <c r="S641" s="1070">
        <f t="shared" ca="1" si="114"/>
        <v>21</v>
      </c>
    </row>
    <row r="642" spans="1:19">
      <c r="A642" s="673" t="str">
        <f>Sheet1!E620</f>
        <v>G1-031</v>
      </c>
      <c r="B642" s="673">
        <f>Sheet1!F620</f>
        <v>37.520000000000003</v>
      </c>
      <c r="C642" s="3257">
        <f t="shared" si="105"/>
        <v>0.99</v>
      </c>
      <c r="D642" s="675"/>
      <c r="E642" s="3257">
        <f t="shared" si="106"/>
        <v>1</v>
      </c>
      <c r="F642" s="675"/>
      <c r="G642" s="3257">
        <f t="shared" si="107"/>
        <v>1</v>
      </c>
      <c r="H642" s="675"/>
      <c r="I642" s="3257">
        <f t="shared" si="108"/>
        <v>1</v>
      </c>
      <c r="J642" s="675"/>
      <c r="K642" s="3257">
        <f t="shared" si="109"/>
        <v>1</v>
      </c>
      <c r="L642" s="675"/>
      <c r="M642" s="3257">
        <f t="shared" si="110"/>
        <v>1</v>
      </c>
      <c r="N642" s="675"/>
      <c r="O642" s="3257">
        <f t="shared" si="111"/>
        <v>1</v>
      </c>
      <c r="P642" s="675"/>
      <c r="Q642" s="3257">
        <f t="shared" si="112"/>
        <v>1</v>
      </c>
      <c r="R642" s="3258">
        <f t="shared" ca="1" si="113"/>
        <v>5702</v>
      </c>
      <c r="S642" s="1070">
        <f t="shared" ca="1" si="114"/>
        <v>21</v>
      </c>
    </row>
    <row r="643" spans="1:19">
      <c r="A643" s="673" t="str">
        <f>Sheet1!E621</f>
        <v>G1-032</v>
      </c>
      <c r="B643" s="673">
        <f>Sheet1!F621</f>
        <v>37.520000000000003</v>
      </c>
      <c r="C643" s="3257">
        <f t="shared" si="105"/>
        <v>0.99</v>
      </c>
      <c r="D643" s="675"/>
      <c r="E643" s="3257">
        <f t="shared" si="106"/>
        <v>1</v>
      </c>
      <c r="F643" s="675"/>
      <c r="G643" s="3257">
        <f t="shared" si="107"/>
        <v>1</v>
      </c>
      <c r="H643" s="675"/>
      <c r="I643" s="3257">
        <f t="shared" si="108"/>
        <v>1</v>
      </c>
      <c r="J643" s="675"/>
      <c r="K643" s="3257">
        <f t="shared" si="109"/>
        <v>1</v>
      </c>
      <c r="L643" s="675"/>
      <c r="M643" s="3257">
        <f t="shared" si="110"/>
        <v>1</v>
      </c>
      <c r="N643" s="675"/>
      <c r="O643" s="3257">
        <f t="shared" si="111"/>
        <v>1</v>
      </c>
      <c r="P643" s="675"/>
      <c r="Q643" s="3257">
        <f t="shared" si="112"/>
        <v>1</v>
      </c>
      <c r="R643" s="3258">
        <f t="shared" ca="1" si="113"/>
        <v>5702</v>
      </c>
      <c r="S643" s="1070">
        <f t="shared" ca="1" si="114"/>
        <v>21</v>
      </c>
    </row>
    <row r="644" spans="1:19">
      <c r="A644" s="673" t="str">
        <f>Sheet1!E622</f>
        <v>G1-036</v>
      </c>
      <c r="B644" s="673">
        <f>Sheet1!F622</f>
        <v>37.520000000000003</v>
      </c>
      <c r="C644" s="3257">
        <f t="shared" si="105"/>
        <v>0.99</v>
      </c>
      <c r="D644" s="675"/>
      <c r="E644" s="3257">
        <f t="shared" si="106"/>
        <v>1</v>
      </c>
      <c r="F644" s="675"/>
      <c r="G644" s="3257">
        <f t="shared" si="107"/>
        <v>1</v>
      </c>
      <c r="H644" s="675"/>
      <c r="I644" s="3257">
        <f t="shared" si="108"/>
        <v>1</v>
      </c>
      <c r="J644" s="675"/>
      <c r="K644" s="3257">
        <f t="shared" si="109"/>
        <v>1</v>
      </c>
      <c r="L644" s="675"/>
      <c r="M644" s="3257">
        <f t="shared" si="110"/>
        <v>1</v>
      </c>
      <c r="N644" s="675"/>
      <c r="O644" s="3257">
        <f t="shared" si="111"/>
        <v>1</v>
      </c>
      <c r="P644" s="675"/>
      <c r="Q644" s="3257">
        <f t="shared" si="112"/>
        <v>1</v>
      </c>
      <c r="R644" s="3258">
        <f t="shared" ca="1" si="113"/>
        <v>5702</v>
      </c>
      <c r="S644" s="1070">
        <f t="shared" ca="1" si="114"/>
        <v>21</v>
      </c>
    </row>
    <row r="645" spans="1:19">
      <c r="A645" s="673" t="str">
        <f>Sheet1!E623</f>
        <v>G1-038</v>
      </c>
      <c r="B645" s="673">
        <f>Sheet1!F623</f>
        <v>37.520000000000003</v>
      </c>
      <c r="C645" s="3257">
        <f t="shared" si="105"/>
        <v>0.99</v>
      </c>
      <c r="D645" s="675"/>
      <c r="E645" s="3257">
        <f t="shared" si="106"/>
        <v>1</v>
      </c>
      <c r="F645" s="675"/>
      <c r="G645" s="3257">
        <f t="shared" si="107"/>
        <v>1</v>
      </c>
      <c r="H645" s="675"/>
      <c r="I645" s="3257">
        <f t="shared" si="108"/>
        <v>1</v>
      </c>
      <c r="J645" s="675"/>
      <c r="K645" s="3257">
        <f t="shared" si="109"/>
        <v>1</v>
      </c>
      <c r="L645" s="675"/>
      <c r="M645" s="3257">
        <f t="shared" si="110"/>
        <v>1</v>
      </c>
      <c r="N645" s="675"/>
      <c r="O645" s="3257">
        <f t="shared" si="111"/>
        <v>1</v>
      </c>
      <c r="P645" s="675"/>
      <c r="Q645" s="3257">
        <f t="shared" si="112"/>
        <v>1</v>
      </c>
      <c r="R645" s="3258">
        <f t="shared" ca="1" si="113"/>
        <v>5702</v>
      </c>
      <c r="S645" s="1070">
        <f t="shared" ca="1" si="114"/>
        <v>21</v>
      </c>
    </row>
    <row r="646" spans="1:19">
      <c r="A646" s="673" t="str">
        <f>Sheet1!E624</f>
        <v>G1-040</v>
      </c>
      <c r="B646" s="673">
        <f>Sheet1!F624</f>
        <v>37.520000000000003</v>
      </c>
      <c r="C646" s="3257">
        <f t="shared" si="105"/>
        <v>0.99</v>
      </c>
      <c r="D646" s="675"/>
      <c r="E646" s="3257">
        <f t="shared" si="106"/>
        <v>1</v>
      </c>
      <c r="F646" s="675"/>
      <c r="G646" s="3257">
        <f t="shared" si="107"/>
        <v>1</v>
      </c>
      <c r="H646" s="675"/>
      <c r="I646" s="3257">
        <f t="shared" si="108"/>
        <v>1</v>
      </c>
      <c r="J646" s="675"/>
      <c r="K646" s="3257">
        <f t="shared" si="109"/>
        <v>1</v>
      </c>
      <c r="L646" s="675"/>
      <c r="M646" s="3257">
        <f t="shared" si="110"/>
        <v>1</v>
      </c>
      <c r="N646" s="675"/>
      <c r="O646" s="3257">
        <f t="shared" si="111"/>
        <v>1</v>
      </c>
      <c r="P646" s="675"/>
      <c r="Q646" s="3257">
        <f t="shared" si="112"/>
        <v>1</v>
      </c>
      <c r="R646" s="3258">
        <f t="shared" ca="1" si="113"/>
        <v>5702</v>
      </c>
      <c r="S646" s="1070">
        <f t="shared" ca="1" si="114"/>
        <v>21</v>
      </c>
    </row>
    <row r="647" spans="1:19">
      <c r="A647" s="673" t="str">
        <f>Sheet1!E625</f>
        <v>G1-041</v>
      </c>
      <c r="B647" s="673">
        <f>Sheet1!F625</f>
        <v>37.520000000000003</v>
      </c>
      <c r="C647" s="3257">
        <f t="shared" si="105"/>
        <v>0.99</v>
      </c>
      <c r="D647" s="675"/>
      <c r="E647" s="3257">
        <f t="shared" si="106"/>
        <v>1</v>
      </c>
      <c r="F647" s="675"/>
      <c r="G647" s="3257">
        <f t="shared" si="107"/>
        <v>1</v>
      </c>
      <c r="H647" s="675"/>
      <c r="I647" s="3257">
        <f t="shared" si="108"/>
        <v>1</v>
      </c>
      <c r="J647" s="675"/>
      <c r="K647" s="3257">
        <f t="shared" si="109"/>
        <v>1</v>
      </c>
      <c r="L647" s="675"/>
      <c r="M647" s="3257">
        <f t="shared" si="110"/>
        <v>1</v>
      </c>
      <c r="N647" s="675"/>
      <c r="O647" s="3257">
        <f t="shared" si="111"/>
        <v>1</v>
      </c>
      <c r="P647" s="675"/>
      <c r="Q647" s="3257">
        <f t="shared" si="112"/>
        <v>1</v>
      </c>
      <c r="R647" s="3258">
        <f t="shared" ca="1" si="113"/>
        <v>5702</v>
      </c>
      <c r="S647" s="1070">
        <f t="shared" ca="1" si="114"/>
        <v>21</v>
      </c>
    </row>
    <row r="648" spans="1:19">
      <c r="A648" s="673" t="str">
        <f>Sheet1!E626</f>
        <v>G1-044</v>
      </c>
      <c r="B648" s="673">
        <f>Sheet1!F626</f>
        <v>37.520000000000003</v>
      </c>
      <c r="C648" s="3257">
        <f t="shared" si="105"/>
        <v>0.99</v>
      </c>
      <c r="D648" s="675"/>
      <c r="E648" s="3257">
        <f t="shared" si="106"/>
        <v>1</v>
      </c>
      <c r="F648" s="675"/>
      <c r="G648" s="3257">
        <f t="shared" si="107"/>
        <v>1</v>
      </c>
      <c r="H648" s="675"/>
      <c r="I648" s="3257">
        <f t="shared" si="108"/>
        <v>1</v>
      </c>
      <c r="J648" s="675"/>
      <c r="K648" s="3257">
        <f t="shared" si="109"/>
        <v>1</v>
      </c>
      <c r="L648" s="675"/>
      <c r="M648" s="3257">
        <f t="shared" si="110"/>
        <v>1</v>
      </c>
      <c r="N648" s="675"/>
      <c r="O648" s="3257">
        <f t="shared" si="111"/>
        <v>1</v>
      </c>
      <c r="P648" s="675"/>
      <c r="Q648" s="3257">
        <f t="shared" si="112"/>
        <v>1</v>
      </c>
      <c r="R648" s="3258">
        <f t="shared" ca="1" si="113"/>
        <v>5702</v>
      </c>
      <c r="S648" s="1070">
        <f t="shared" ca="1" si="114"/>
        <v>21</v>
      </c>
    </row>
    <row r="649" spans="1:19">
      <c r="A649" s="673" t="str">
        <f>Sheet1!E627</f>
        <v>G1-047</v>
      </c>
      <c r="B649" s="673">
        <f>Sheet1!F627</f>
        <v>37.520000000000003</v>
      </c>
      <c r="C649" s="3257">
        <f t="shared" si="105"/>
        <v>0.99</v>
      </c>
      <c r="D649" s="675"/>
      <c r="E649" s="3257">
        <f t="shared" si="106"/>
        <v>1</v>
      </c>
      <c r="F649" s="675"/>
      <c r="G649" s="3257">
        <f t="shared" si="107"/>
        <v>1</v>
      </c>
      <c r="H649" s="675"/>
      <c r="I649" s="3257">
        <f t="shared" si="108"/>
        <v>1</v>
      </c>
      <c r="J649" s="675"/>
      <c r="K649" s="3257">
        <f t="shared" si="109"/>
        <v>1</v>
      </c>
      <c r="L649" s="675"/>
      <c r="M649" s="3257">
        <f t="shared" si="110"/>
        <v>1</v>
      </c>
      <c r="N649" s="675"/>
      <c r="O649" s="3257">
        <f t="shared" si="111"/>
        <v>1</v>
      </c>
      <c r="P649" s="675"/>
      <c r="Q649" s="3257">
        <f t="shared" si="112"/>
        <v>1</v>
      </c>
      <c r="R649" s="3258">
        <f t="shared" ca="1" si="113"/>
        <v>5702</v>
      </c>
      <c r="S649" s="1070">
        <f t="shared" ca="1" si="114"/>
        <v>21</v>
      </c>
    </row>
    <row r="650" spans="1:19">
      <c r="A650" s="673" t="str">
        <f>Sheet1!E628</f>
        <v>G1-052</v>
      </c>
      <c r="B650" s="673">
        <f>Sheet1!F628</f>
        <v>37.520000000000003</v>
      </c>
      <c r="C650" s="3257">
        <f t="shared" si="105"/>
        <v>0.99</v>
      </c>
      <c r="D650" s="675"/>
      <c r="E650" s="3257">
        <f t="shared" si="106"/>
        <v>1</v>
      </c>
      <c r="F650" s="675"/>
      <c r="G650" s="3257">
        <f t="shared" si="107"/>
        <v>1</v>
      </c>
      <c r="H650" s="675"/>
      <c r="I650" s="3257">
        <f t="shared" si="108"/>
        <v>1</v>
      </c>
      <c r="J650" s="675"/>
      <c r="K650" s="3257">
        <f t="shared" si="109"/>
        <v>1</v>
      </c>
      <c r="L650" s="675"/>
      <c r="M650" s="3257">
        <f t="shared" si="110"/>
        <v>1</v>
      </c>
      <c r="N650" s="675"/>
      <c r="O650" s="3257">
        <f t="shared" si="111"/>
        <v>1</v>
      </c>
      <c r="P650" s="675"/>
      <c r="Q650" s="3257">
        <f t="shared" si="112"/>
        <v>1</v>
      </c>
      <c r="R650" s="3258">
        <f t="shared" ca="1" si="113"/>
        <v>5702</v>
      </c>
      <c r="S650" s="1070">
        <f t="shared" ca="1" si="114"/>
        <v>21</v>
      </c>
    </row>
    <row r="651" spans="1:19">
      <c r="A651" s="673" t="str">
        <f>Sheet1!E629</f>
        <v>G1-053</v>
      </c>
      <c r="B651" s="673">
        <f>Sheet1!F629</f>
        <v>37.520000000000003</v>
      </c>
      <c r="C651" s="3257">
        <f t="shared" si="105"/>
        <v>0.99</v>
      </c>
      <c r="D651" s="675"/>
      <c r="E651" s="3257">
        <f t="shared" si="106"/>
        <v>1</v>
      </c>
      <c r="F651" s="675"/>
      <c r="G651" s="3257">
        <f t="shared" si="107"/>
        <v>1</v>
      </c>
      <c r="H651" s="675"/>
      <c r="I651" s="3257">
        <f t="shared" si="108"/>
        <v>1</v>
      </c>
      <c r="J651" s="675"/>
      <c r="K651" s="3257">
        <f t="shared" si="109"/>
        <v>1</v>
      </c>
      <c r="L651" s="675"/>
      <c r="M651" s="3257">
        <f t="shared" si="110"/>
        <v>1</v>
      </c>
      <c r="N651" s="675"/>
      <c r="O651" s="3257">
        <f t="shared" si="111"/>
        <v>1</v>
      </c>
      <c r="P651" s="675"/>
      <c r="Q651" s="3257">
        <f t="shared" si="112"/>
        <v>1</v>
      </c>
      <c r="R651" s="3258">
        <f t="shared" ca="1" si="113"/>
        <v>5702</v>
      </c>
      <c r="S651" s="1070">
        <f t="shared" ca="1" si="114"/>
        <v>21</v>
      </c>
    </row>
    <row r="652" spans="1:19">
      <c r="A652" s="673" t="str">
        <f>Sheet1!E630</f>
        <v>G1-054</v>
      </c>
      <c r="B652" s="673">
        <f>Sheet1!F630</f>
        <v>37.520000000000003</v>
      </c>
      <c r="C652" s="3257">
        <f t="shared" si="105"/>
        <v>0.99</v>
      </c>
      <c r="D652" s="675"/>
      <c r="E652" s="3257">
        <f t="shared" si="106"/>
        <v>1</v>
      </c>
      <c r="F652" s="675"/>
      <c r="G652" s="3257">
        <f t="shared" si="107"/>
        <v>1</v>
      </c>
      <c r="H652" s="675"/>
      <c r="I652" s="3257">
        <f t="shared" si="108"/>
        <v>1</v>
      </c>
      <c r="J652" s="675"/>
      <c r="K652" s="3257">
        <f t="shared" si="109"/>
        <v>1</v>
      </c>
      <c r="L652" s="675"/>
      <c r="M652" s="3257">
        <f t="shared" si="110"/>
        <v>1</v>
      </c>
      <c r="N652" s="675"/>
      <c r="O652" s="3257">
        <f t="shared" si="111"/>
        <v>1</v>
      </c>
      <c r="P652" s="675"/>
      <c r="Q652" s="3257">
        <f t="shared" si="112"/>
        <v>1</v>
      </c>
      <c r="R652" s="3258">
        <f t="shared" ca="1" si="113"/>
        <v>5702</v>
      </c>
      <c r="S652" s="1070">
        <f t="shared" ca="1" si="114"/>
        <v>21</v>
      </c>
    </row>
    <row r="653" spans="1:19">
      <c r="A653" s="673" t="str">
        <f>Sheet1!E631</f>
        <v>G1-055</v>
      </c>
      <c r="B653" s="673">
        <f>Sheet1!F631</f>
        <v>37.520000000000003</v>
      </c>
      <c r="C653" s="3257">
        <f t="shared" ref="C653:C716" si="115">IF(B653="",1,(LOOKUP(B653,$3:$3,$4:$4)-LOOKUP($B$24,$3:$3,$4:$4)+100)/100)</f>
        <v>0.99</v>
      </c>
      <c r="D653" s="675"/>
      <c r="E653" s="3257">
        <f t="shared" ref="E653:E716" si="116">(SUMIF($5:$5,D653,$6:$6)-SUMIF($5:$5,$D$24,$6:$6)+100)/100</f>
        <v>1</v>
      </c>
      <c r="F653" s="675"/>
      <c r="G653" s="3257">
        <f t="shared" ref="G653:G716" si="117">(SUMIF($7:$7,F653,$8:$8)-SUMIF($7:$7,$F$24,$8:$8)+100)/100</f>
        <v>1</v>
      </c>
      <c r="H653" s="675"/>
      <c r="I653" s="3257">
        <f t="shared" ref="I653:I716" si="118">(SUMIF($9:$9,H653,$10:$10)-SUMIF($9:$9,$H$24,$10:$10)+100)/100</f>
        <v>1</v>
      </c>
      <c r="J653" s="675"/>
      <c r="K653" s="3257">
        <f t="shared" ref="K653:K716" si="119">(SUMIF($11:$11,J653,$12:$12)-SUMIF($11:$11,$J$24,$12:$12)+100)/100</f>
        <v>1</v>
      </c>
      <c r="L653" s="675"/>
      <c r="M653" s="3257">
        <f t="shared" ref="M653:M716" si="120">(SUMIF($13:$13,L653,$14:$14)-SUMIF($13:$13,$L$24,$14:$14)+100)/100</f>
        <v>1</v>
      </c>
      <c r="N653" s="675"/>
      <c r="O653" s="3257">
        <f t="shared" ref="O653:O716" si="121">(SUMIF($15:$15,N653,$16:$16)-SUMIF($15:$15,$N$24,$16:$16)+100)/100</f>
        <v>1</v>
      </c>
      <c r="P653" s="675"/>
      <c r="Q653" s="3257">
        <f t="shared" ref="Q653:Q716" si="122">(SUMIF($17:$17,P653,$18:$18)-SUMIF($17:$17,$P$24,$18:$18)+100)/100</f>
        <v>1</v>
      </c>
      <c r="R653" s="3258">
        <f t="shared" ref="R653:R716" ca="1" si="123">IF(B653="",0,ROUND($R$24*C653*E653*G653*I653*K653*M653*O653*Q653,0))</f>
        <v>5702</v>
      </c>
      <c r="S653" s="1070">
        <f t="shared" ref="S653:S716" ca="1" si="124">ROUND(R653*B653/10000,0)</f>
        <v>21</v>
      </c>
    </row>
    <row r="654" spans="1:19">
      <c r="A654" s="673" t="str">
        <f>Sheet1!E632</f>
        <v>G1-056</v>
      </c>
      <c r="B654" s="673">
        <f>Sheet1!F632</f>
        <v>37.520000000000003</v>
      </c>
      <c r="C654" s="3257">
        <f t="shared" si="115"/>
        <v>0.99</v>
      </c>
      <c r="D654" s="675"/>
      <c r="E654" s="3257">
        <f t="shared" si="116"/>
        <v>1</v>
      </c>
      <c r="F654" s="675"/>
      <c r="G654" s="3257">
        <f t="shared" si="117"/>
        <v>1</v>
      </c>
      <c r="H654" s="675"/>
      <c r="I654" s="3257">
        <f t="shared" si="118"/>
        <v>1</v>
      </c>
      <c r="J654" s="675"/>
      <c r="K654" s="3257">
        <f t="shared" si="119"/>
        <v>1</v>
      </c>
      <c r="L654" s="675"/>
      <c r="M654" s="3257">
        <f t="shared" si="120"/>
        <v>1</v>
      </c>
      <c r="N654" s="675"/>
      <c r="O654" s="3257">
        <f t="shared" si="121"/>
        <v>1</v>
      </c>
      <c r="P654" s="675"/>
      <c r="Q654" s="3257">
        <f t="shared" si="122"/>
        <v>1</v>
      </c>
      <c r="R654" s="3258">
        <f t="shared" ca="1" si="123"/>
        <v>5702</v>
      </c>
      <c r="S654" s="1070">
        <f t="shared" ca="1" si="124"/>
        <v>21</v>
      </c>
    </row>
    <row r="655" spans="1:19">
      <c r="A655" s="673" t="str">
        <f>Sheet1!E633</f>
        <v>G1-057</v>
      </c>
      <c r="B655" s="673">
        <f>Sheet1!F633</f>
        <v>37.520000000000003</v>
      </c>
      <c r="C655" s="3257">
        <f t="shared" si="115"/>
        <v>0.99</v>
      </c>
      <c r="D655" s="675"/>
      <c r="E655" s="3257">
        <f t="shared" si="116"/>
        <v>1</v>
      </c>
      <c r="F655" s="675"/>
      <c r="G655" s="3257">
        <f t="shared" si="117"/>
        <v>1</v>
      </c>
      <c r="H655" s="675"/>
      <c r="I655" s="3257">
        <f t="shared" si="118"/>
        <v>1</v>
      </c>
      <c r="J655" s="675"/>
      <c r="K655" s="3257">
        <f t="shared" si="119"/>
        <v>1</v>
      </c>
      <c r="L655" s="675"/>
      <c r="M655" s="3257">
        <f t="shared" si="120"/>
        <v>1</v>
      </c>
      <c r="N655" s="675"/>
      <c r="O655" s="3257">
        <f t="shared" si="121"/>
        <v>1</v>
      </c>
      <c r="P655" s="675"/>
      <c r="Q655" s="3257">
        <f t="shared" si="122"/>
        <v>1</v>
      </c>
      <c r="R655" s="3258">
        <f t="shared" ca="1" si="123"/>
        <v>5702</v>
      </c>
      <c r="S655" s="1070">
        <f t="shared" ca="1" si="124"/>
        <v>21</v>
      </c>
    </row>
    <row r="656" spans="1:19">
      <c r="A656" s="673" t="str">
        <f>Sheet1!E634</f>
        <v>G1-058</v>
      </c>
      <c r="B656" s="673">
        <f>Sheet1!F634</f>
        <v>37.520000000000003</v>
      </c>
      <c r="C656" s="3257">
        <f t="shared" si="115"/>
        <v>0.99</v>
      </c>
      <c r="D656" s="675"/>
      <c r="E656" s="3257">
        <f t="shared" si="116"/>
        <v>1</v>
      </c>
      <c r="F656" s="675"/>
      <c r="G656" s="3257">
        <f t="shared" si="117"/>
        <v>1</v>
      </c>
      <c r="H656" s="675"/>
      <c r="I656" s="3257">
        <f t="shared" si="118"/>
        <v>1</v>
      </c>
      <c r="J656" s="675"/>
      <c r="K656" s="3257">
        <f t="shared" si="119"/>
        <v>1</v>
      </c>
      <c r="L656" s="675"/>
      <c r="M656" s="3257">
        <f t="shared" si="120"/>
        <v>1</v>
      </c>
      <c r="N656" s="675"/>
      <c r="O656" s="3257">
        <f t="shared" si="121"/>
        <v>1</v>
      </c>
      <c r="P656" s="675"/>
      <c r="Q656" s="3257">
        <f t="shared" si="122"/>
        <v>1</v>
      </c>
      <c r="R656" s="3258">
        <f t="shared" ca="1" si="123"/>
        <v>5702</v>
      </c>
      <c r="S656" s="1070">
        <f t="shared" ca="1" si="124"/>
        <v>21</v>
      </c>
    </row>
    <row r="657" spans="1:19">
      <c r="A657" s="673" t="str">
        <f>Sheet1!E635</f>
        <v>G1-059</v>
      </c>
      <c r="B657" s="673">
        <f>Sheet1!F635</f>
        <v>37.520000000000003</v>
      </c>
      <c r="C657" s="3257">
        <f t="shared" si="115"/>
        <v>0.99</v>
      </c>
      <c r="D657" s="675"/>
      <c r="E657" s="3257">
        <f t="shared" si="116"/>
        <v>1</v>
      </c>
      <c r="F657" s="675"/>
      <c r="G657" s="3257">
        <f t="shared" si="117"/>
        <v>1</v>
      </c>
      <c r="H657" s="675"/>
      <c r="I657" s="3257">
        <f t="shared" si="118"/>
        <v>1</v>
      </c>
      <c r="J657" s="675"/>
      <c r="K657" s="3257">
        <f t="shared" si="119"/>
        <v>1</v>
      </c>
      <c r="L657" s="675"/>
      <c r="M657" s="3257">
        <f t="shared" si="120"/>
        <v>1</v>
      </c>
      <c r="N657" s="675"/>
      <c r="O657" s="3257">
        <f t="shared" si="121"/>
        <v>1</v>
      </c>
      <c r="P657" s="675"/>
      <c r="Q657" s="3257">
        <f t="shared" si="122"/>
        <v>1</v>
      </c>
      <c r="R657" s="3258">
        <f t="shared" ca="1" si="123"/>
        <v>5702</v>
      </c>
      <c r="S657" s="1070">
        <f t="shared" ca="1" si="124"/>
        <v>21</v>
      </c>
    </row>
    <row r="658" spans="1:19">
      <c r="A658" s="673" t="str">
        <f>Sheet1!E636</f>
        <v>G1-060</v>
      </c>
      <c r="B658" s="673">
        <f>Sheet1!F636</f>
        <v>37.520000000000003</v>
      </c>
      <c r="C658" s="3257">
        <f t="shared" si="115"/>
        <v>0.99</v>
      </c>
      <c r="D658" s="675"/>
      <c r="E658" s="3257">
        <f t="shared" si="116"/>
        <v>1</v>
      </c>
      <c r="F658" s="675"/>
      <c r="G658" s="3257">
        <f t="shared" si="117"/>
        <v>1</v>
      </c>
      <c r="H658" s="675"/>
      <c r="I658" s="3257">
        <f t="shared" si="118"/>
        <v>1</v>
      </c>
      <c r="J658" s="675"/>
      <c r="K658" s="3257">
        <f t="shared" si="119"/>
        <v>1</v>
      </c>
      <c r="L658" s="675"/>
      <c r="M658" s="3257">
        <f t="shared" si="120"/>
        <v>1</v>
      </c>
      <c r="N658" s="675"/>
      <c r="O658" s="3257">
        <f t="shared" si="121"/>
        <v>1</v>
      </c>
      <c r="P658" s="675"/>
      <c r="Q658" s="3257">
        <f t="shared" si="122"/>
        <v>1</v>
      </c>
      <c r="R658" s="3258">
        <f t="shared" ca="1" si="123"/>
        <v>5702</v>
      </c>
      <c r="S658" s="1070">
        <f t="shared" ca="1" si="124"/>
        <v>21</v>
      </c>
    </row>
    <row r="659" spans="1:19">
      <c r="A659" s="673" t="str">
        <f>Sheet1!E637</f>
        <v>G1-061</v>
      </c>
      <c r="B659" s="673">
        <f>Sheet1!F637</f>
        <v>37.520000000000003</v>
      </c>
      <c r="C659" s="3257">
        <f t="shared" si="115"/>
        <v>0.99</v>
      </c>
      <c r="D659" s="675"/>
      <c r="E659" s="3257">
        <f t="shared" si="116"/>
        <v>1</v>
      </c>
      <c r="F659" s="675"/>
      <c r="G659" s="3257">
        <f t="shared" si="117"/>
        <v>1</v>
      </c>
      <c r="H659" s="675"/>
      <c r="I659" s="3257">
        <f t="shared" si="118"/>
        <v>1</v>
      </c>
      <c r="J659" s="675"/>
      <c r="K659" s="3257">
        <f t="shared" si="119"/>
        <v>1</v>
      </c>
      <c r="L659" s="675"/>
      <c r="M659" s="3257">
        <f t="shared" si="120"/>
        <v>1</v>
      </c>
      <c r="N659" s="675"/>
      <c r="O659" s="3257">
        <f t="shared" si="121"/>
        <v>1</v>
      </c>
      <c r="P659" s="675"/>
      <c r="Q659" s="3257">
        <f t="shared" si="122"/>
        <v>1</v>
      </c>
      <c r="R659" s="3258">
        <f t="shared" ca="1" si="123"/>
        <v>5702</v>
      </c>
      <c r="S659" s="1070">
        <f t="shared" ca="1" si="124"/>
        <v>21</v>
      </c>
    </row>
    <row r="660" spans="1:19">
      <c r="A660" s="673" t="str">
        <f>Sheet1!E638</f>
        <v>G1-063</v>
      </c>
      <c r="B660" s="673">
        <f>Sheet1!F638</f>
        <v>39.090000000000003</v>
      </c>
      <c r="C660" s="3257">
        <f t="shared" si="115"/>
        <v>0.99</v>
      </c>
      <c r="D660" s="675"/>
      <c r="E660" s="3257">
        <f t="shared" si="116"/>
        <v>1</v>
      </c>
      <c r="F660" s="675"/>
      <c r="G660" s="3257">
        <f t="shared" si="117"/>
        <v>1</v>
      </c>
      <c r="H660" s="675"/>
      <c r="I660" s="3257">
        <f t="shared" si="118"/>
        <v>1</v>
      </c>
      <c r="J660" s="675"/>
      <c r="K660" s="3257">
        <f t="shared" si="119"/>
        <v>1</v>
      </c>
      <c r="L660" s="675"/>
      <c r="M660" s="3257">
        <f t="shared" si="120"/>
        <v>1</v>
      </c>
      <c r="N660" s="675"/>
      <c r="O660" s="3257">
        <f t="shared" si="121"/>
        <v>1</v>
      </c>
      <c r="P660" s="675"/>
      <c r="Q660" s="3257">
        <f t="shared" si="122"/>
        <v>1</v>
      </c>
      <c r="R660" s="3258">
        <f t="shared" ca="1" si="123"/>
        <v>5702</v>
      </c>
      <c r="S660" s="1070">
        <f t="shared" ca="1" si="124"/>
        <v>22</v>
      </c>
    </row>
    <row r="661" spans="1:19">
      <c r="A661" s="673" t="str">
        <f>Sheet1!E639</f>
        <v>G1-064</v>
      </c>
      <c r="B661" s="673">
        <f>Sheet1!F639</f>
        <v>39.090000000000003</v>
      </c>
      <c r="C661" s="3257">
        <f t="shared" si="115"/>
        <v>0.99</v>
      </c>
      <c r="D661" s="675"/>
      <c r="E661" s="3257">
        <f t="shared" si="116"/>
        <v>1</v>
      </c>
      <c r="F661" s="675"/>
      <c r="G661" s="3257">
        <f t="shared" si="117"/>
        <v>1</v>
      </c>
      <c r="H661" s="675"/>
      <c r="I661" s="3257">
        <f t="shared" si="118"/>
        <v>1</v>
      </c>
      <c r="J661" s="675"/>
      <c r="K661" s="3257">
        <f t="shared" si="119"/>
        <v>1</v>
      </c>
      <c r="L661" s="675"/>
      <c r="M661" s="3257">
        <f t="shared" si="120"/>
        <v>1</v>
      </c>
      <c r="N661" s="675"/>
      <c r="O661" s="3257">
        <f t="shared" si="121"/>
        <v>1</v>
      </c>
      <c r="P661" s="675"/>
      <c r="Q661" s="3257">
        <f t="shared" si="122"/>
        <v>1</v>
      </c>
      <c r="R661" s="3258">
        <f t="shared" ca="1" si="123"/>
        <v>5702</v>
      </c>
      <c r="S661" s="1070">
        <f t="shared" ca="1" si="124"/>
        <v>22</v>
      </c>
    </row>
    <row r="662" spans="1:19">
      <c r="A662" s="673" t="str">
        <f>Sheet1!E640</f>
        <v>G1-065</v>
      </c>
      <c r="B662" s="673">
        <f>Sheet1!F640</f>
        <v>39.090000000000003</v>
      </c>
      <c r="C662" s="3257">
        <f t="shared" si="115"/>
        <v>0.99</v>
      </c>
      <c r="D662" s="675"/>
      <c r="E662" s="3257">
        <f t="shared" si="116"/>
        <v>1</v>
      </c>
      <c r="F662" s="675"/>
      <c r="G662" s="3257">
        <f t="shared" si="117"/>
        <v>1</v>
      </c>
      <c r="H662" s="675"/>
      <c r="I662" s="3257">
        <f t="shared" si="118"/>
        <v>1</v>
      </c>
      <c r="J662" s="675"/>
      <c r="K662" s="3257">
        <f t="shared" si="119"/>
        <v>1</v>
      </c>
      <c r="L662" s="675"/>
      <c r="M662" s="3257">
        <f t="shared" si="120"/>
        <v>1</v>
      </c>
      <c r="N662" s="675"/>
      <c r="O662" s="3257">
        <f t="shared" si="121"/>
        <v>1</v>
      </c>
      <c r="P662" s="675"/>
      <c r="Q662" s="3257">
        <f t="shared" si="122"/>
        <v>1</v>
      </c>
      <c r="R662" s="3258">
        <f t="shared" ca="1" si="123"/>
        <v>5702</v>
      </c>
      <c r="S662" s="1070">
        <f t="shared" ca="1" si="124"/>
        <v>22</v>
      </c>
    </row>
    <row r="663" spans="1:19">
      <c r="A663" s="673" t="str">
        <f>Sheet1!E641</f>
        <v>G1-067</v>
      </c>
      <c r="B663" s="673">
        <f>Sheet1!F641</f>
        <v>37.520000000000003</v>
      </c>
      <c r="C663" s="3257">
        <f t="shared" si="115"/>
        <v>0.99</v>
      </c>
      <c r="D663" s="675"/>
      <c r="E663" s="3257">
        <f t="shared" si="116"/>
        <v>1</v>
      </c>
      <c r="F663" s="675"/>
      <c r="G663" s="3257">
        <f t="shared" si="117"/>
        <v>1</v>
      </c>
      <c r="H663" s="675"/>
      <c r="I663" s="3257">
        <f t="shared" si="118"/>
        <v>1</v>
      </c>
      <c r="J663" s="675"/>
      <c r="K663" s="3257">
        <f t="shared" si="119"/>
        <v>1</v>
      </c>
      <c r="L663" s="675"/>
      <c r="M663" s="3257">
        <f t="shared" si="120"/>
        <v>1</v>
      </c>
      <c r="N663" s="675"/>
      <c r="O663" s="3257">
        <f t="shared" si="121"/>
        <v>1</v>
      </c>
      <c r="P663" s="675"/>
      <c r="Q663" s="3257">
        <f t="shared" si="122"/>
        <v>1</v>
      </c>
      <c r="R663" s="3258">
        <f t="shared" ca="1" si="123"/>
        <v>5702</v>
      </c>
      <c r="S663" s="1070">
        <f t="shared" ca="1" si="124"/>
        <v>21</v>
      </c>
    </row>
    <row r="664" spans="1:19">
      <c r="A664" s="673" t="str">
        <f>Sheet1!E642</f>
        <v>G1-072</v>
      </c>
      <c r="B664" s="673">
        <f>Sheet1!F642</f>
        <v>36.020000000000003</v>
      </c>
      <c r="C664" s="3257">
        <f t="shared" si="115"/>
        <v>0.99</v>
      </c>
      <c r="D664" s="675"/>
      <c r="E664" s="3257">
        <f t="shared" si="116"/>
        <v>1</v>
      </c>
      <c r="F664" s="675"/>
      <c r="G664" s="3257">
        <f t="shared" si="117"/>
        <v>1</v>
      </c>
      <c r="H664" s="675"/>
      <c r="I664" s="3257">
        <f t="shared" si="118"/>
        <v>1</v>
      </c>
      <c r="J664" s="675"/>
      <c r="K664" s="3257">
        <f t="shared" si="119"/>
        <v>1</v>
      </c>
      <c r="L664" s="675"/>
      <c r="M664" s="3257">
        <f t="shared" si="120"/>
        <v>1</v>
      </c>
      <c r="N664" s="675"/>
      <c r="O664" s="3257">
        <f t="shared" si="121"/>
        <v>1</v>
      </c>
      <c r="P664" s="675"/>
      <c r="Q664" s="3257">
        <f t="shared" si="122"/>
        <v>1</v>
      </c>
      <c r="R664" s="3258">
        <f t="shared" ca="1" si="123"/>
        <v>5702</v>
      </c>
      <c r="S664" s="1070">
        <f t="shared" ca="1" si="124"/>
        <v>21</v>
      </c>
    </row>
    <row r="665" spans="1:19">
      <c r="A665" s="673" t="str">
        <f>Sheet1!E643</f>
        <v>G1-073</v>
      </c>
      <c r="B665" s="673">
        <f>Sheet1!F643</f>
        <v>36.020000000000003</v>
      </c>
      <c r="C665" s="3257">
        <f t="shared" si="115"/>
        <v>0.99</v>
      </c>
      <c r="D665" s="675"/>
      <c r="E665" s="3257">
        <f t="shared" si="116"/>
        <v>1</v>
      </c>
      <c r="F665" s="675"/>
      <c r="G665" s="3257">
        <f t="shared" si="117"/>
        <v>1</v>
      </c>
      <c r="H665" s="675"/>
      <c r="I665" s="3257">
        <f t="shared" si="118"/>
        <v>1</v>
      </c>
      <c r="J665" s="675"/>
      <c r="K665" s="3257">
        <f t="shared" si="119"/>
        <v>1</v>
      </c>
      <c r="L665" s="675"/>
      <c r="M665" s="3257">
        <f t="shared" si="120"/>
        <v>1</v>
      </c>
      <c r="N665" s="675"/>
      <c r="O665" s="3257">
        <f t="shared" si="121"/>
        <v>1</v>
      </c>
      <c r="P665" s="675"/>
      <c r="Q665" s="3257">
        <f t="shared" si="122"/>
        <v>1</v>
      </c>
      <c r="R665" s="3258">
        <f t="shared" ca="1" si="123"/>
        <v>5702</v>
      </c>
      <c r="S665" s="1070">
        <f t="shared" ca="1" si="124"/>
        <v>21</v>
      </c>
    </row>
    <row r="666" spans="1:19">
      <c r="A666" s="673" t="str">
        <f>Sheet1!E644</f>
        <v>G1-074</v>
      </c>
      <c r="B666" s="673">
        <f>Sheet1!F644</f>
        <v>36.020000000000003</v>
      </c>
      <c r="C666" s="3257">
        <f t="shared" si="115"/>
        <v>0.99</v>
      </c>
      <c r="D666" s="675"/>
      <c r="E666" s="3257">
        <f t="shared" si="116"/>
        <v>1</v>
      </c>
      <c r="F666" s="675"/>
      <c r="G666" s="3257">
        <f t="shared" si="117"/>
        <v>1</v>
      </c>
      <c r="H666" s="675"/>
      <c r="I666" s="3257">
        <f t="shared" si="118"/>
        <v>1</v>
      </c>
      <c r="J666" s="675"/>
      <c r="K666" s="3257">
        <f t="shared" si="119"/>
        <v>1</v>
      </c>
      <c r="L666" s="675"/>
      <c r="M666" s="3257">
        <f t="shared" si="120"/>
        <v>1</v>
      </c>
      <c r="N666" s="675"/>
      <c r="O666" s="3257">
        <f t="shared" si="121"/>
        <v>1</v>
      </c>
      <c r="P666" s="675"/>
      <c r="Q666" s="3257">
        <f t="shared" si="122"/>
        <v>1</v>
      </c>
      <c r="R666" s="3258">
        <f t="shared" ca="1" si="123"/>
        <v>5702</v>
      </c>
      <c r="S666" s="1070">
        <f t="shared" ca="1" si="124"/>
        <v>21</v>
      </c>
    </row>
    <row r="667" spans="1:19">
      <c r="A667" s="673" t="str">
        <f>Sheet1!E645</f>
        <v>G1-075</v>
      </c>
      <c r="B667" s="673">
        <f>Sheet1!F645</f>
        <v>36.020000000000003</v>
      </c>
      <c r="C667" s="3257">
        <f t="shared" si="115"/>
        <v>0.99</v>
      </c>
      <c r="D667" s="675"/>
      <c r="E667" s="3257">
        <f t="shared" si="116"/>
        <v>1</v>
      </c>
      <c r="F667" s="675"/>
      <c r="G667" s="3257">
        <f t="shared" si="117"/>
        <v>1</v>
      </c>
      <c r="H667" s="675"/>
      <c r="I667" s="3257">
        <f t="shared" si="118"/>
        <v>1</v>
      </c>
      <c r="J667" s="675"/>
      <c r="K667" s="3257">
        <f t="shared" si="119"/>
        <v>1</v>
      </c>
      <c r="L667" s="675"/>
      <c r="M667" s="3257">
        <f t="shared" si="120"/>
        <v>1</v>
      </c>
      <c r="N667" s="675"/>
      <c r="O667" s="3257">
        <f t="shared" si="121"/>
        <v>1</v>
      </c>
      <c r="P667" s="675"/>
      <c r="Q667" s="3257">
        <f t="shared" si="122"/>
        <v>1</v>
      </c>
      <c r="R667" s="3258">
        <f t="shared" ca="1" si="123"/>
        <v>5702</v>
      </c>
      <c r="S667" s="1070">
        <f t="shared" ca="1" si="124"/>
        <v>21</v>
      </c>
    </row>
    <row r="668" spans="1:19">
      <c r="A668" s="673" t="str">
        <f>Sheet1!E646</f>
        <v>G1-076</v>
      </c>
      <c r="B668" s="673">
        <f>Sheet1!F646</f>
        <v>36.020000000000003</v>
      </c>
      <c r="C668" s="3257">
        <f t="shared" si="115"/>
        <v>0.99</v>
      </c>
      <c r="D668" s="675"/>
      <c r="E668" s="3257">
        <f t="shared" si="116"/>
        <v>1</v>
      </c>
      <c r="F668" s="675"/>
      <c r="G668" s="3257">
        <f t="shared" si="117"/>
        <v>1</v>
      </c>
      <c r="H668" s="675"/>
      <c r="I668" s="3257">
        <f t="shared" si="118"/>
        <v>1</v>
      </c>
      <c r="J668" s="675"/>
      <c r="K668" s="3257">
        <f t="shared" si="119"/>
        <v>1</v>
      </c>
      <c r="L668" s="675"/>
      <c r="M668" s="3257">
        <f t="shared" si="120"/>
        <v>1</v>
      </c>
      <c r="N668" s="675"/>
      <c r="O668" s="3257">
        <f t="shared" si="121"/>
        <v>1</v>
      </c>
      <c r="P668" s="675"/>
      <c r="Q668" s="3257">
        <f t="shared" si="122"/>
        <v>1</v>
      </c>
      <c r="R668" s="3258">
        <f t="shared" ca="1" si="123"/>
        <v>5702</v>
      </c>
      <c r="S668" s="1070">
        <f t="shared" ca="1" si="124"/>
        <v>21</v>
      </c>
    </row>
    <row r="669" spans="1:19">
      <c r="A669" s="673" t="str">
        <f>Sheet1!E647</f>
        <v>G1-077</v>
      </c>
      <c r="B669" s="673">
        <f>Sheet1!F647</f>
        <v>36.020000000000003</v>
      </c>
      <c r="C669" s="3257">
        <f t="shared" si="115"/>
        <v>0.99</v>
      </c>
      <c r="D669" s="675"/>
      <c r="E669" s="3257">
        <f t="shared" si="116"/>
        <v>1</v>
      </c>
      <c r="F669" s="675"/>
      <c r="G669" s="3257">
        <f t="shared" si="117"/>
        <v>1</v>
      </c>
      <c r="H669" s="675"/>
      <c r="I669" s="3257">
        <f t="shared" si="118"/>
        <v>1</v>
      </c>
      <c r="J669" s="675"/>
      <c r="K669" s="3257">
        <f t="shared" si="119"/>
        <v>1</v>
      </c>
      <c r="L669" s="675"/>
      <c r="M669" s="3257">
        <f t="shared" si="120"/>
        <v>1</v>
      </c>
      <c r="N669" s="675"/>
      <c r="O669" s="3257">
        <f t="shared" si="121"/>
        <v>1</v>
      </c>
      <c r="P669" s="675"/>
      <c r="Q669" s="3257">
        <f t="shared" si="122"/>
        <v>1</v>
      </c>
      <c r="R669" s="3258">
        <f t="shared" ca="1" si="123"/>
        <v>5702</v>
      </c>
      <c r="S669" s="1070">
        <f t="shared" ca="1" si="124"/>
        <v>21</v>
      </c>
    </row>
    <row r="670" spans="1:19">
      <c r="A670" s="673" t="str">
        <f>Sheet1!E648</f>
        <v>G1-078</v>
      </c>
      <c r="B670" s="673">
        <f>Sheet1!F648</f>
        <v>36.020000000000003</v>
      </c>
      <c r="C670" s="3257">
        <f t="shared" si="115"/>
        <v>0.99</v>
      </c>
      <c r="D670" s="675"/>
      <c r="E670" s="3257">
        <f t="shared" si="116"/>
        <v>1</v>
      </c>
      <c r="F670" s="675"/>
      <c r="G670" s="3257">
        <f t="shared" si="117"/>
        <v>1</v>
      </c>
      <c r="H670" s="675"/>
      <c r="I670" s="3257">
        <f t="shared" si="118"/>
        <v>1</v>
      </c>
      <c r="J670" s="675"/>
      <c r="K670" s="3257">
        <f t="shared" si="119"/>
        <v>1</v>
      </c>
      <c r="L670" s="675"/>
      <c r="M670" s="3257">
        <f t="shared" si="120"/>
        <v>1</v>
      </c>
      <c r="N670" s="675"/>
      <c r="O670" s="3257">
        <f t="shared" si="121"/>
        <v>1</v>
      </c>
      <c r="P670" s="675"/>
      <c r="Q670" s="3257">
        <f t="shared" si="122"/>
        <v>1</v>
      </c>
      <c r="R670" s="3258">
        <f t="shared" ca="1" si="123"/>
        <v>5702</v>
      </c>
      <c r="S670" s="1070">
        <f t="shared" ca="1" si="124"/>
        <v>21</v>
      </c>
    </row>
    <row r="671" spans="1:19">
      <c r="A671" s="673" t="str">
        <f>Sheet1!E649</f>
        <v>G1-079</v>
      </c>
      <c r="B671" s="673">
        <f>Sheet1!F649</f>
        <v>36.020000000000003</v>
      </c>
      <c r="C671" s="3257">
        <f t="shared" si="115"/>
        <v>0.99</v>
      </c>
      <c r="D671" s="675"/>
      <c r="E671" s="3257">
        <f t="shared" si="116"/>
        <v>1</v>
      </c>
      <c r="F671" s="675"/>
      <c r="G671" s="3257">
        <f t="shared" si="117"/>
        <v>1</v>
      </c>
      <c r="H671" s="675"/>
      <c r="I671" s="3257">
        <f t="shared" si="118"/>
        <v>1</v>
      </c>
      <c r="J671" s="675"/>
      <c r="K671" s="3257">
        <f t="shared" si="119"/>
        <v>1</v>
      </c>
      <c r="L671" s="675"/>
      <c r="M671" s="3257">
        <f t="shared" si="120"/>
        <v>1</v>
      </c>
      <c r="N671" s="675"/>
      <c r="O671" s="3257">
        <f t="shared" si="121"/>
        <v>1</v>
      </c>
      <c r="P671" s="675"/>
      <c r="Q671" s="3257">
        <f t="shared" si="122"/>
        <v>1</v>
      </c>
      <c r="R671" s="3258">
        <f t="shared" ca="1" si="123"/>
        <v>5702</v>
      </c>
      <c r="S671" s="1070">
        <f t="shared" ca="1" si="124"/>
        <v>21</v>
      </c>
    </row>
    <row r="672" spans="1:19">
      <c r="A672" s="673" t="str">
        <f>Sheet1!E650</f>
        <v>G1-080</v>
      </c>
      <c r="B672" s="673">
        <f>Sheet1!F650</f>
        <v>36.020000000000003</v>
      </c>
      <c r="C672" s="3257">
        <f t="shared" si="115"/>
        <v>0.99</v>
      </c>
      <c r="D672" s="675"/>
      <c r="E672" s="3257">
        <f t="shared" si="116"/>
        <v>1</v>
      </c>
      <c r="F672" s="675"/>
      <c r="G672" s="3257">
        <f t="shared" si="117"/>
        <v>1</v>
      </c>
      <c r="H672" s="675"/>
      <c r="I672" s="3257">
        <f t="shared" si="118"/>
        <v>1</v>
      </c>
      <c r="J672" s="675"/>
      <c r="K672" s="3257">
        <f t="shared" si="119"/>
        <v>1</v>
      </c>
      <c r="L672" s="675"/>
      <c r="M672" s="3257">
        <f t="shared" si="120"/>
        <v>1</v>
      </c>
      <c r="N672" s="675"/>
      <c r="O672" s="3257">
        <f t="shared" si="121"/>
        <v>1</v>
      </c>
      <c r="P672" s="675"/>
      <c r="Q672" s="3257">
        <f t="shared" si="122"/>
        <v>1</v>
      </c>
      <c r="R672" s="3258">
        <f t="shared" ca="1" si="123"/>
        <v>5702</v>
      </c>
      <c r="S672" s="1070">
        <f t="shared" ca="1" si="124"/>
        <v>21</v>
      </c>
    </row>
    <row r="673" spans="1:19">
      <c r="A673" s="673" t="str">
        <f>Sheet1!E651</f>
        <v>G1-081</v>
      </c>
      <c r="B673" s="673">
        <f>Sheet1!F651</f>
        <v>36.020000000000003</v>
      </c>
      <c r="C673" s="3257">
        <f t="shared" si="115"/>
        <v>0.99</v>
      </c>
      <c r="D673" s="675"/>
      <c r="E673" s="3257">
        <f t="shared" si="116"/>
        <v>1</v>
      </c>
      <c r="F673" s="675"/>
      <c r="G673" s="3257">
        <f t="shared" si="117"/>
        <v>1</v>
      </c>
      <c r="H673" s="675"/>
      <c r="I673" s="3257">
        <f t="shared" si="118"/>
        <v>1</v>
      </c>
      <c r="J673" s="675"/>
      <c r="K673" s="3257">
        <f t="shared" si="119"/>
        <v>1</v>
      </c>
      <c r="L673" s="675"/>
      <c r="M673" s="3257">
        <f t="shared" si="120"/>
        <v>1</v>
      </c>
      <c r="N673" s="675"/>
      <c r="O673" s="3257">
        <f t="shared" si="121"/>
        <v>1</v>
      </c>
      <c r="P673" s="675"/>
      <c r="Q673" s="3257">
        <f t="shared" si="122"/>
        <v>1</v>
      </c>
      <c r="R673" s="3258">
        <f t="shared" ca="1" si="123"/>
        <v>5702</v>
      </c>
      <c r="S673" s="1070">
        <f t="shared" ca="1" si="124"/>
        <v>21</v>
      </c>
    </row>
    <row r="674" spans="1:19">
      <c r="A674" s="673" t="str">
        <f>Sheet1!E652</f>
        <v>G1-082</v>
      </c>
      <c r="B674" s="673">
        <f>Sheet1!F652</f>
        <v>36.020000000000003</v>
      </c>
      <c r="C674" s="3257">
        <f t="shared" si="115"/>
        <v>0.99</v>
      </c>
      <c r="D674" s="675"/>
      <c r="E674" s="3257">
        <f t="shared" si="116"/>
        <v>1</v>
      </c>
      <c r="F674" s="675"/>
      <c r="G674" s="3257">
        <f t="shared" si="117"/>
        <v>1</v>
      </c>
      <c r="H674" s="675"/>
      <c r="I674" s="3257">
        <f t="shared" si="118"/>
        <v>1</v>
      </c>
      <c r="J674" s="675"/>
      <c r="K674" s="3257">
        <f t="shared" si="119"/>
        <v>1</v>
      </c>
      <c r="L674" s="675"/>
      <c r="M674" s="3257">
        <f t="shared" si="120"/>
        <v>1</v>
      </c>
      <c r="N674" s="675"/>
      <c r="O674" s="3257">
        <f t="shared" si="121"/>
        <v>1</v>
      </c>
      <c r="P674" s="675"/>
      <c r="Q674" s="3257">
        <f t="shared" si="122"/>
        <v>1</v>
      </c>
      <c r="R674" s="3258">
        <f t="shared" ca="1" si="123"/>
        <v>5702</v>
      </c>
      <c r="S674" s="1070">
        <f t="shared" ca="1" si="124"/>
        <v>21</v>
      </c>
    </row>
    <row r="675" spans="1:19">
      <c r="A675" s="673" t="str">
        <f>Sheet1!E653</f>
        <v>G1-083</v>
      </c>
      <c r="B675" s="673">
        <f>Sheet1!F653</f>
        <v>36.020000000000003</v>
      </c>
      <c r="C675" s="3257">
        <f t="shared" si="115"/>
        <v>0.99</v>
      </c>
      <c r="D675" s="675"/>
      <c r="E675" s="3257">
        <f t="shared" si="116"/>
        <v>1</v>
      </c>
      <c r="F675" s="675"/>
      <c r="G675" s="3257">
        <f t="shared" si="117"/>
        <v>1</v>
      </c>
      <c r="H675" s="675"/>
      <c r="I675" s="3257">
        <f t="shared" si="118"/>
        <v>1</v>
      </c>
      <c r="J675" s="675"/>
      <c r="K675" s="3257">
        <f t="shared" si="119"/>
        <v>1</v>
      </c>
      <c r="L675" s="675"/>
      <c r="M675" s="3257">
        <f t="shared" si="120"/>
        <v>1</v>
      </c>
      <c r="N675" s="675"/>
      <c r="O675" s="3257">
        <f t="shared" si="121"/>
        <v>1</v>
      </c>
      <c r="P675" s="675"/>
      <c r="Q675" s="3257">
        <f t="shared" si="122"/>
        <v>1</v>
      </c>
      <c r="R675" s="3258">
        <f t="shared" ca="1" si="123"/>
        <v>5702</v>
      </c>
      <c r="S675" s="1070">
        <f t="shared" ca="1" si="124"/>
        <v>21</v>
      </c>
    </row>
    <row r="676" spans="1:19">
      <c r="A676" s="673" t="str">
        <f>Sheet1!E654</f>
        <v>G1-084</v>
      </c>
      <c r="B676" s="673">
        <f>Sheet1!F654</f>
        <v>37.520000000000003</v>
      </c>
      <c r="C676" s="3257">
        <f t="shared" si="115"/>
        <v>0.99</v>
      </c>
      <c r="D676" s="675"/>
      <c r="E676" s="3257">
        <f t="shared" si="116"/>
        <v>1</v>
      </c>
      <c r="F676" s="675"/>
      <c r="G676" s="3257">
        <f t="shared" si="117"/>
        <v>1</v>
      </c>
      <c r="H676" s="675"/>
      <c r="I676" s="3257">
        <f t="shared" si="118"/>
        <v>1</v>
      </c>
      <c r="J676" s="675"/>
      <c r="K676" s="3257">
        <f t="shared" si="119"/>
        <v>1</v>
      </c>
      <c r="L676" s="675"/>
      <c r="M676" s="3257">
        <f t="shared" si="120"/>
        <v>1</v>
      </c>
      <c r="N676" s="675"/>
      <c r="O676" s="3257">
        <f t="shared" si="121"/>
        <v>1</v>
      </c>
      <c r="P676" s="675"/>
      <c r="Q676" s="3257">
        <f t="shared" si="122"/>
        <v>1</v>
      </c>
      <c r="R676" s="3258">
        <f t="shared" ca="1" si="123"/>
        <v>5702</v>
      </c>
      <c r="S676" s="1070">
        <f t="shared" ca="1" si="124"/>
        <v>21</v>
      </c>
    </row>
    <row r="677" spans="1:19">
      <c r="A677" s="673" t="str">
        <f>Sheet1!E655</f>
        <v>G1-089</v>
      </c>
      <c r="B677" s="673">
        <f>Sheet1!F655</f>
        <v>37.520000000000003</v>
      </c>
      <c r="C677" s="3257">
        <f t="shared" si="115"/>
        <v>0.99</v>
      </c>
      <c r="D677" s="675"/>
      <c r="E677" s="3257">
        <f t="shared" si="116"/>
        <v>1</v>
      </c>
      <c r="F677" s="675"/>
      <c r="G677" s="3257">
        <f t="shared" si="117"/>
        <v>1</v>
      </c>
      <c r="H677" s="675"/>
      <c r="I677" s="3257">
        <f t="shared" si="118"/>
        <v>1</v>
      </c>
      <c r="J677" s="675"/>
      <c r="K677" s="3257">
        <f t="shared" si="119"/>
        <v>1</v>
      </c>
      <c r="L677" s="675"/>
      <c r="M677" s="3257">
        <f t="shared" si="120"/>
        <v>1</v>
      </c>
      <c r="N677" s="675"/>
      <c r="O677" s="3257">
        <f t="shared" si="121"/>
        <v>1</v>
      </c>
      <c r="P677" s="675"/>
      <c r="Q677" s="3257">
        <f t="shared" si="122"/>
        <v>1</v>
      </c>
      <c r="R677" s="3258">
        <f t="shared" ca="1" si="123"/>
        <v>5702</v>
      </c>
      <c r="S677" s="1070">
        <f t="shared" ca="1" si="124"/>
        <v>21</v>
      </c>
    </row>
    <row r="678" spans="1:19">
      <c r="A678" s="673" t="str">
        <f>Sheet1!E656</f>
        <v>G1-090</v>
      </c>
      <c r="B678" s="673">
        <f>Sheet1!F656</f>
        <v>37.520000000000003</v>
      </c>
      <c r="C678" s="3257">
        <f t="shared" si="115"/>
        <v>0.99</v>
      </c>
      <c r="D678" s="675"/>
      <c r="E678" s="3257">
        <f t="shared" si="116"/>
        <v>1</v>
      </c>
      <c r="F678" s="675"/>
      <c r="G678" s="3257">
        <f t="shared" si="117"/>
        <v>1</v>
      </c>
      <c r="H678" s="675"/>
      <c r="I678" s="3257">
        <f t="shared" si="118"/>
        <v>1</v>
      </c>
      <c r="J678" s="675"/>
      <c r="K678" s="3257">
        <f t="shared" si="119"/>
        <v>1</v>
      </c>
      <c r="L678" s="675"/>
      <c r="M678" s="3257">
        <f t="shared" si="120"/>
        <v>1</v>
      </c>
      <c r="N678" s="675"/>
      <c r="O678" s="3257">
        <f t="shared" si="121"/>
        <v>1</v>
      </c>
      <c r="P678" s="675"/>
      <c r="Q678" s="3257">
        <f t="shared" si="122"/>
        <v>1</v>
      </c>
      <c r="R678" s="3258">
        <f t="shared" ca="1" si="123"/>
        <v>5702</v>
      </c>
      <c r="S678" s="1070">
        <f t="shared" ca="1" si="124"/>
        <v>21</v>
      </c>
    </row>
    <row r="679" spans="1:19">
      <c r="A679" s="673" t="str">
        <f>Sheet1!E657</f>
        <v>G1-091</v>
      </c>
      <c r="B679" s="673">
        <f>Sheet1!F657</f>
        <v>42.21</v>
      </c>
      <c r="C679" s="3257">
        <f t="shared" si="115"/>
        <v>0.99</v>
      </c>
      <c r="D679" s="675"/>
      <c r="E679" s="3257">
        <f t="shared" si="116"/>
        <v>1</v>
      </c>
      <c r="F679" s="675"/>
      <c r="G679" s="3257">
        <f t="shared" si="117"/>
        <v>1</v>
      </c>
      <c r="H679" s="675"/>
      <c r="I679" s="3257">
        <f t="shared" si="118"/>
        <v>1</v>
      </c>
      <c r="J679" s="675"/>
      <c r="K679" s="3257">
        <f t="shared" si="119"/>
        <v>1</v>
      </c>
      <c r="L679" s="675"/>
      <c r="M679" s="3257">
        <f t="shared" si="120"/>
        <v>1</v>
      </c>
      <c r="N679" s="675"/>
      <c r="O679" s="3257">
        <f t="shared" si="121"/>
        <v>1</v>
      </c>
      <c r="P679" s="675"/>
      <c r="Q679" s="3257">
        <f t="shared" si="122"/>
        <v>1</v>
      </c>
      <c r="R679" s="3258">
        <f t="shared" ca="1" si="123"/>
        <v>5702</v>
      </c>
      <c r="S679" s="1070">
        <f t="shared" ca="1" si="124"/>
        <v>24</v>
      </c>
    </row>
    <row r="680" spans="1:19">
      <c r="A680" s="673" t="str">
        <f>Sheet1!E658</f>
        <v>G1-092</v>
      </c>
      <c r="B680" s="673">
        <f>Sheet1!F658</f>
        <v>39.090000000000003</v>
      </c>
      <c r="C680" s="3257">
        <f t="shared" si="115"/>
        <v>0.99</v>
      </c>
      <c r="D680" s="675"/>
      <c r="E680" s="3257">
        <f t="shared" si="116"/>
        <v>1</v>
      </c>
      <c r="F680" s="675"/>
      <c r="G680" s="3257">
        <f t="shared" si="117"/>
        <v>1</v>
      </c>
      <c r="H680" s="675"/>
      <c r="I680" s="3257">
        <f t="shared" si="118"/>
        <v>1</v>
      </c>
      <c r="J680" s="675"/>
      <c r="K680" s="3257">
        <f t="shared" si="119"/>
        <v>1</v>
      </c>
      <c r="L680" s="675"/>
      <c r="M680" s="3257">
        <f t="shared" si="120"/>
        <v>1</v>
      </c>
      <c r="N680" s="675"/>
      <c r="O680" s="3257">
        <f t="shared" si="121"/>
        <v>1</v>
      </c>
      <c r="P680" s="675"/>
      <c r="Q680" s="3257">
        <f t="shared" si="122"/>
        <v>1</v>
      </c>
      <c r="R680" s="3258">
        <f t="shared" ca="1" si="123"/>
        <v>5702</v>
      </c>
      <c r="S680" s="1070">
        <f t="shared" ca="1" si="124"/>
        <v>22</v>
      </c>
    </row>
    <row r="681" spans="1:19">
      <c r="A681" s="673" t="str">
        <f>Sheet1!E659</f>
        <v>G1-093</v>
      </c>
      <c r="B681" s="673">
        <f>Sheet1!F659</f>
        <v>39.090000000000003</v>
      </c>
      <c r="C681" s="3257">
        <f t="shared" si="115"/>
        <v>0.99</v>
      </c>
      <c r="D681" s="675"/>
      <c r="E681" s="3257">
        <f t="shared" si="116"/>
        <v>1</v>
      </c>
      <c r="F681" s="675"/>
      <c r="G681" s="3257">
        <f t="shared" si="117"/>
        <v>1</v>
      </c>
      <c r="H681" s="675"/>
      <c r="I681" s="3257">
        <f t="shared" si="118"/>
        <v>1</v>
      </c>
      <c r="J681" s="675"/>
      <c r="K681" s="3257">
        <f t="shared" si="119"/>
        <v>1</v>
      </c>
      <c r="L681" s="675"/>
      <c r="M681" s="3257">
        <f t="shared" si="120"/>
        <v>1</v>
      </c>
      <c r="N681" s="675"/>
      <c r="O681" s="3257">
        <f t="shared" si="121"/>
        <v>1</v>
      </c>
      <c r="P681" s="675"/>
      <c r="Q681" s="3257">
        <f t="shared" si="122"/>
        <v>1</v>
      </c>
      <c r="R681" s="3258">
        <f t="shared" ca="1" si="123"/>
        <v>5702</v>
      </c>
      <c r="S681" s="1070">
        <f t="shared" ca="1" si="124"/>
        <v>22</v>
      </c>
    </row>
    <row r="682" spans="1:19">
      <c r="A682" s="673" t="str">
        <f>Sheet1!E660</f>
        <v>G1-094</v>
      </c>
      <c r="B682" s="673">
        <f>Sheet1!F660</f>
        <v>39.090000000000003</v>
      </c>
      <c r="C682" s="3257">
        <f t="shared" si="115"/>
        <v>0.99</v>
      </c>
      <c r="D682" s="675"/>
      <c r="E682" s="3257">
        <f t="shared" si="116"/>
        <v>1</v>
      </c>
      <c r="F682" s="675"/>
      <c r="G682" s="3257">
        <f t="shared" si="117"/>
        <v>1</v>
      </c>
      <c r="H682" s="675"/>
      <c r="I682" s="3257">
        <f t="shared" si="118"/>
        <v>1</v>
      </c>
      <c r="J682" s="675"/>
      <c r="K682" s="3257">
        <f t="shared" si="119"/>
        <v>1</v>
      </c>
      <c r="L682" s="675"/>
      <c r="M682" s="3257">
        <f t="shared" si="120"/>
        <v>1</v>
      </c>
      <c r="N682" s="675"/>
      <c r="O682" s="3257">
        <f t="shared" si="121"/>
        <v>1</v>
      </c>
      <c r="P682" s="675"/>
      <c r="Q682" s="3257">
        <f t="shared" si="122"/>
        <v>1</v>
      </c>
      <c r="R682" s="3258">
        <f t="shared" ca="1" si="123"/>
        <v>5702</v>
      </c>
      <c r="S682" s="1070">
        <f t="shared" ca="1" si="124"/>
        <v>22</v>
      </c>
    </row>
    <row r="683" spans="1:19">
      <c r="A683" s="673" t="str">
        <f>Sheet1!E661</f>
        <v>G1-095</v>
      </c>
      <c r="B683" s="673">
        <f>Sheet1!F661</f>
        <v>37.520000000000003</v>
      </c>
      <c r="C683" s="3257">
        <f t="shared" si="115"/>
        <v>0.99</v>
      </c>
      <c r="D683" s="675"/>
      <c r="E683" s="3257">
        <f t="shared" si="116"/>
        <v>1</v>
      </c>
      <c r="F683" s="675"/>
      <c r="G683" s="3257">
        <f t="shared" si="117"/>
        <v>1</v>
      </c>
      <c r="H683" s="675"/>
      <c r="I683" s="3257">
        <f t="shared" si="118"/>
        <v>1</v>
      </c>
      <c r="J683" s="675"/>
      <c r="K683" s="3257">
        <f t="shared" si="119"/>
        <v>1</v>
      </c>
      <c r="L683" s="675"/>
      <c r="M683" s="3257">
        <f t="shared" si="120"/>
        <v>1</v>
      </c>
      <c r="N683" s="675"/>
      <c r="O683" s="3257">
        <f t="shared" si="121"/>
        <v>1</v>
      </c>
      <c r="P683" s="675"/>
      <c r="Q683" s="3257">
        <f t="shared" si="122"/>
        <v>1</v>
      </c>
      <c r="R683" s="3258">
        <f t="shared" ca="1" si="123"/>
        <v>5702</v>
      </c>
      <c r="S683" s="1070">
        <f t="shared" ca="1" si="124"/>
        <v>21</v>
      </c>
    </row>
    <row r="684" spans="1:19">
      <c r="A684" s="673" t="str">
        <f>Sheet1!E662</f>
        <v>G1-096</v>
      </c>
      <c r="B684" s="673">
        <f>Sheet1!F662</f>
        <v>37.520000000000003</v>
      </c>
      <c r="C684" s="3257">
        <f t="shared" si="115"/>
        <v>0.99</v>
      </c>
      <c r="D684" s="675"/>
      <c r="E684" s="3257">
        <f t="shared" si="116"/>
        <v>1</v>
      </c>
      <c r="F684" s="675"/>
      <c r="G684" s="3257">
        <f t="shared" si="117"/>
        <v>1</v>
      </c>
      <c r="H684" s="675"/>
      <c r="I684" s="3257">
        <f t="shared" si="118"/>
        <v>1</v>
      </c>
      <c r="J684" s="675"/>
      <c r="K684" s="3257">
        <f t="shared" si="119"/>
        <v>1</v>
      </c>
      <c r="L684" s="675"/>
      <c r="M684" s="3257">
        <f t="shared" si="120"/>
        <v>1</v>
      </c>
      <c r="N684" s="675"/>
      <c r="O684" s="3257">
        <f t="shared" si="121"/>
        <v>1</v>
      </c>
      <c r="P684" s="675"/>
      <c r="Q684" s="3257">
        <f t="shared" si="122"/>
        <v>1</v>
      </c>
      <c r="R684" s="3258">
        <f t="shared" ca="1" si="123"/>
        <v>5702</v>
      </c>
      <c r="S684" s="1070">
        <f t="shared" ca="1" si="124"/>
        <v>21</v>
      </c>
    </row>
    <row r="685" spans="1:19">
      <c r="A685" s="673" t="str">
        <f>Sheet1!E663</f>
        <v>G1-097</v>
      </c>
      <c r="B685" s="673">
        <f>Sheet1!F663</f>
        <v>37.520000000000003</v>
      </c>
      <c r="C685" s="3257">
        <f t="shared" si="115"/>
        <v>0.99</v>
      </c>
      <c r="D685" s="675"/>
      <c r="E685" s="3257">
        <f t="shared" si="116"/>
        <v>1</v>
      </c>
      <c r="F685" s="675"/>
      <c r="G685" s="3257">
        <f t="shared" si="117"/>
        <v>1</v>
      </c>
      <c r="H685" s="675"/>
      <c r="I685" s="3257">
        <f t="shared" si="118"/>
        <v>1</v>
      </c>
      <c r="J685" s="675"/>
      <c r="K685" s="3257">
        <f t="shared" si="119"/>
        <v>1</v>
      </c>
      <c r="L685" s="675"/>
      <c r="M685" s="3257">
        <f t="shared" si="120"/>
        <v>1</v>
      </c>
      <c r="N685" s="675"/>
      <c r="O685" s="3257">
        <f t="shared" si="121"/>
        <v>1</v>
      </c>
      <c r="P685" s="675"/>
      <c r="Q685" s="3257">
        <f t="shared" si="122"/>
        <v>1</v>
      </c>
      <c r="R685" s="3258">
        <f t="shared" ca="1" si="123"/>
        <v>5702</v>
      </c>
      <c r="S685" s="1070">
        <f t="shared" ca="1" si="124"/>
        <v>21</v>
      </c>
    </row>
    <row r="686" spans="1:19">
      <c r="A686" s="673" t="str">
        <f>Sheet1!E664</f>
        <v>H1-022</v>
      </c>
      <c r="B686" s="673">
        <f>Sheet1!F664</f>
        <v>39.090000000000003</v>
      </c>
      <c r="C686" s="3257">
        <f t="shared" si="115"/>
        <v>0.99</v>
      </c>
      <c r="D686" s="675"/>
      <c r="E686" s="3257">
        <f t="shared" si="116"/>
        <v>1</v>
      </c>
      <c r="F686" s="675"/>
      <c r="G686" s="3257">
        <f t="shared" si="117"/>
        <v>1</v>
      </c>
      <c r="H686" s="675"/>
      <c r="I686" s="3257">
        <f t="shared" si="118"/>
        <v>1</v>
      </c>
      <c r="J686" s="675"/>
      <c r="K686" s="3257">
        <f t="shared" si="119"/>
        <v>1</v>
      </c>
      <c r="L686" s="675"/>
      <c r="M686" s="3257">
        <f t="shared" si="120"/>
        <v>1</v>
      </c>
      <c r="N686" s="675"/>
      <c r="O686" s="3257">
        <f t="shared" si="121"/>
        <v>1</v>
      </c>
      <c r="P686" s="675"/>
      <c r="Q686" s="3257">
        <f t="shared" si="122"/>
        <v>1</v>
      </c>
      <c r="R686" s="3258">
        <f t="shared" ca="1" si="123"/>
        <v>5702</v>
      </c>
      <c r="S686" s="1070">
        <f t="shared" ca="1" si="124"/>
        <v>22</v>
      </c>
    </row>
    <row r="687" spans="1:19">
      <c r="A687" s="673" t="str">
        <f>Sheet1!E665</f>
        <v>H1-023</v>
      </c>
      <c r="B687" s="673">
        <f>Sheet1!F665</f>
        <v>39.090000000000003</v>
      </c>
      <c r="C687" s="3257">
        <f t="shared" si="115"/>
        <v>0.99</v>
      </c>
      <c r="D687" s="675"/>
      <c r="E687" s="3257">
        <f t="shared" si="116"/>
        <v>1</v>
      </c>
      <c r="F687" s="675"/>
      <c r="G687" s="3257">
        <f t="shared" si="117"/>
        <v>1</v>
      </c>
      <c r="H687" s="675"/>
      <c r="I687" s="3257">
        <f t="shared" si="118"/>
        <v>1</v>
      </c>
      <c r="J687" s="675"/>
      <c r="K687" s="3257">
        <f t="shared" si="119"/>
        <v>1</v>
      </c>
      <c r="L687" s="675"/>
      <c r="M687" s="3257">
        <f t="shared" si="120"/>
        <v>1</v>
      </c>
      <c r="N687" s="675"/>
      <c r="O687" s="3257">
        <f t="shared" si="121"/>
        <v>1</v>
      </c>
      <c r="P687" s="675"/>
      <c r="Q687" s="3257">
        <f t="shared" si="122"/>
        <v>1</v>
      </c>
      <c r="R687" s="3258">
        <f t="shared" ca="1" si="123"/>
        <v>5702</v>
      </c>
      <c r="S687" s="1070">
        <f t="shared" ca="1" si="124"/>
        <v>22</v>
      </c>
    </row>
    <row r="688" spans="1:19">
      <c r="A688" s="673" t="str">
        <f>Sheet1!E666</f>
        <v>H1-024</v>
      </c>
      <c r="B688" s="673">
        <f>Sheet1!F666</f>
        <v>39.090000000000003</v>
      </c>
      <c r="C688" s="3257">
        <f t="shared" si="115"/>
        <v>0.99</v>
      </c>
      <c r="D688" s="675"/>
      <c r="E688" s="3257">
        <f t="shared" si="116"/>
        <v>1</v>
      </c>
      <c r="F688" s="675"/>
      <c r="G688" s="3257">
        <f t="shared" si="117"/>
        <v>1</v>
      </c>
      <c r="H688" s="675"/>
      <c r="I688" s="3257">
        <f t="shared" si="118"/>
        <v>1</v>
      </c>
      <c r="J688" s="675"/>
      <c r="K688" s="3257">
        <f t="shared" si="119"/>
        <v>1</v>
      </c>
      <c r="L688" s="675"/>
      <c r="M688" s="3257">
        <f t="shared" si="120"/>
        <v>1</v>
      </c>
      <c r="N688" s="675"/>
      <c r="O688" s="3257">
        <f t="shared" si="121"/>
        <v>1</v>
      </c>
      <c r="P688" s="675"/>
      <c r="Q688" s="3257">
        <f t="shared" si="122"/>
        <v>1</v>
      </c>
      <c r="R688" s="3258">
        <f t="shared" ca="1" si="123"/>
        <v>5702</v>
      </c>
      <c r="S688" s="1070">
        <f t="shared" ca="1" si="124"/>
        <v>22</v>
      </c>
    </row>
    <row r="689" spans="1:19">
      <c r="A689" s="673" t="str">
        <f>Sheet1!E667</f>
        <v>H1-025</v>
      </c>
      <c r="B689" s="673">
        <f>Sheet1!F667</f>
        <v>39.090000000000003</v>
      </c>
      <c r="C689" s="3257">
        <f t="shared" si="115"/>
        <v>0.99</v>
      </c>
      <c r="D689" s="675"/>
      <c r="E689" s="3257">
        <f t="shared" si="116"/>
        <v>1</v>
      </c>
      <c r="F689" s="675"/>
      <c r="G689" s="3257">
        <f t="shared" si="117"/>
        <v>1</v>
      </c>
      <c r="H689" s="675"/>
      <c r="I689" s="3257">
        <f t="shared" si="118"/>
        <v>1</v>
      </c>
      <c r="J689" s="675"/>
      <c r="K689" s="3257">
        <f t="shared" si="119"/>
        <v>1</v>
      </c>
      <c r="L689" s="675"/>
      <c r="M689" s="3257">
        <f t="shared" si="120"/>
        <v>1</v>
      </c>
      <c r="N689" s="675"/>
      <c r="O689" s="3257">
        <f t="shared" si="121"/>
        <v>1</v>
      </c>
      <c r="P689" s="675"/>
      <c r="Q689" s="3257">
        <f t="shared" si="122"/>
        <v>1</v>
      </c>
      <c r="R689" s="3258">
        <f t="shared" ca="1" si="123"/>
        <v>5702</v>
      </c>
      <c r="S689" s="1070">
        <f t="shared" ca="1" si="124"/>
        <v>22</v>
      </c>
    </row>
    <row r="690" spans="1:19">
      <c r="A690" s="673" t="str">
        <f>Sheet1!E668</f>
        <v>H1-026</v>
      </c>
      <c r="B690" s="673">
        <f>Sheet1!F668</f>
        <v>39.090000000000003</v>
      </c>
      <c r="C690" s="3257">
        <f t="shared" si="115"/>
        <v>0.99</v>
      </c>
      <c r="D690" s="675"/>
      <c r="E690" s="3257">
        <f t="shared" si="116"/>
        <v>1</v>
      </c>
      <c r="F690" s="675"/>
      <c r="G690" s="3257">
        <f t="shared" si="117"/>
        <v>1</v>
      </c>
      <c r="H690" s="675"/>
      <c r="I690" s="3257">
        <f t="shared" si="118"/>
        <v>1</v>
      </c>
      <c r="J690" s="675"/>
      <c r="K690" s="3257">
        <f t="shared" si="119"/>
        <v>1</v>
      </c>
      <c r="L690" s="675"/>
      <c r="M690" s="3257">
        <f t="shared" si="120"/>
        <v>1</v>
      </c>
      <c r="N690" s="675"/>
      <c r="O690" s="3257">
        <f t="shared" si="121"/>
        <v>1</v>
      </c>
      <c r="P690" s="675"/>
      <c r="Q690" s="3257">
        <f t="shared" si="122"/>
        <v>1</v>
      </c>
      <c r="R690" s="3258">
        <f t="shared" ca="1" si="123"/>
        <v>5702</v>
      </c>
      <c r="S690" s="1070">
        <f t="shared" ca="1" si="124"/>
        <v>22</v>
      </c>
    </row>
    <row r="691" spans="1:19">
      <c r="A691" s="673" t="str">
        <f>Sheet1!E669</f>
        <v>H1-029</v>
      </c>
      <c r="B691" s="673">
        <f>Sheet1!F669</f>
        <v>37.520000000000003</v>
      </c>
      <c r="C691" s="3257">
        <f t="shared" si="115"/>
        <v>0.99</v>
      </c>
      <c r="D691" s="675"/>
      <c r="E691" s="3257">
        <f t="shared" si="116"/>
        <v>1</v>
      </c>
      <c r="F691" s="675"/>
      <c r="G691" s="3257">
        <f t="shared" si="117"/>
        <v>1</v>
      </c>
      <c r="H691" s="675"/>
      <c r="I691" s="3257">
        <f t="shared" si="118"/>
        <v>1</v>
      </c>
      <c r="J691" s="675"/>
      <c r="K691" s="3257">
        <f t="shared" si="119"/>
        <v>1</v>
      </c>
      <c r="L691" s="675"/>
      <c r="M691" s="3257">
        <f t="shared" si="120"/>
        <v>1</v>
      </c>
      <c r="N691" s="675"/>
      <c r="O691" s="3257">
        <f t="shared" si="121"/>
        <v>1</v>
      </c>
      <c r="P691" s="675"/>
      <c r="Q691" s="3257">
        <f t="shared" si="122"/>
        <v>1</v>
      </c>
      <c r="R691" s="3258">
        <f t="shared" ca="1" si="123"/>
        <v>5702</v>
      </c>
      <c r="S691" s="1070">
        <f t="shared" ca="1" si="124"/>
        <v>21</v>
      </c>
    </row>
    <row r="692" spans="1:19">
      <c r="A692" s="673" t="str">
        <f>Sheet1!E670</f>
        <v>H1-031</v>
      </c>
      <c r="B692" s="673">
        <f>Sheet1!F670</f>
        <v>37.520000000000003</v>
      </c>
      <c r="C692" s="3257">
        <f t="shared" si="115"/>
        <v>0.99</v>
      </c>
      <c r="D692" s="675"/>
      <c r="E692" s="3257">
        <f t="shared" si="116"/>
        <v>1</v>
      </c>
      <c r="F692" s="675"/>
      <c r="G692" s="3257">
        <f t="shared" si="117"/>
        <v>1</v>
      </c>
      <c r="H692" s="675"/>
      <c r="I692" s="3257">
        <f t="shared" si="118"/>
        <v>1</v>
      </c>
      <c r="J692" s="675"/>
      <c r="K692" s="3257">
        <f t="shared" si="119"/>
        <v>1</v>
      </c>
      <c r="L692" s="675"/>
      <c r="M692" s="3257">
        <f t="shared" si="120"/>
        <v>1</v>
      </c>
      <c r="N692" s="675"/>
      <c r="O692" s="3257">
        <f t="shared" si="121"/>
        <v>1</v>
      </c>
      <c r="P692" s="675"/>
      <c r="Q692" s="3257">
        <f t="shared" si="122"/>
        <v>1</v>
      </c>
      <c r="R692" s="3258">
        <f t="shared" ca="1" si="123"/>
        <v>5702</v>
      </c>
      <c r="S692" s="1070">
        <f t="shared" ca="1" si="124"/>
        <v>21</v>
      </c>
    </row>
    <row r="693" spans="1:19">
      <c r="A693" s="673" t="str">
        <f>Sheet1!E671</f>
        <v>H1-032</v>
      </c>
      <c r="B693" s="673">
        <f>Sheet1!F671</f>
        <v>39.090000000000003</v>
      </c>
      <c r="C693" s="3257">
        <f t="shared" si="115"/>
        <v>0.99</v>
      </c>
      <c r="D693" s="675"/>
      <c r="E693" s="3257">
        <f t="shared" si="116"/>
        <v>1</v>
      </c>
      <c r="F693" s="675"/>
      <c r="G693" s="3257">
        <f t="shared" si="117"/>
        <v>1</v>
      </c>
      <c r="H693" s="675"/>
      <c r="I693" s="3257">
        <f t="shared" si="118"/>
        <v>1</v>
      </c>
      <c r="J693" s="675"/>
      <c r="K693" s="3257">
        <f t="shared" si="119"/>
        <v>1</v>
      </c>
      <c r="L693" s="675"/>
      <c r="M693" s="3257">
        <f t="shared" si="120"/>
        <v>1</v>
      </c>
      <c r="N693" s="675"/>
      <c r="O693" s="3257">
        <f t="shared" si="121"/>
        <v>1</v>
      </c>
      <c r="P693" s="675"/>
      <c r="Q693" s="3257">
        <f t="shared" si="122"/>
        <v>1</v>
      </c>
      <c r="R693" s="3258">
        <f t="shared" ca="1" si="123"/>
        <v>5702</v>
      </c>
      <c r="S693" s="1070">
        <f t="shared" ca="1" si="124"/>
        <v>22</v>
      </c>
    </row>
    <row r="694" spans="1:19">
      <c r="A694" s="673" t="str">
        <f>Sheet1!E672</f>
        <v>H1-034</v>
      </c>
      <c r="B694" s="673">
        <f>Sheet1!F672</f>
        <v>37.520000000000003</v>
      </c>
      <c r="C694" s="3257">
        <f t="shared" si="115"/>
        <v>0.99</v>
      </c>
      <c r="D694" s="675"/>
      <c r="E694" s="3257">
        <f t="shared" si="116"/>
        <v>1</v>
      </c>
      <c r="F694" s="675"/>
      <c r="G694" s="3257">
        <f t="shared" si="117"/>
        <v>1</v>
      </c>
      <c r="H694" s="675"/>
      <c r="I694" s="3257">
        <f t="shared" si="118"/>
        <v>1</v>
      </c>
      <c r="J694" s="675"/>
      <c r="K694" s="3257">
        <f t="shared" si="119"/>
        <v>1</v>
      </c>
      <c r="L694" s="675"/>
      <c r="M694" s="3257">
        <f t="shared" si="120"/>
        <v>1</v>
      </c>
      <c r="N694" s="675"/>
      <c r="O694" s="3257">
        <f t="shared" si="121"/>
        <v>1</v>
      </c>
      <c r="P694" s="675"/>
      <c r="Q694" s="3257">
        <f t="shared" si="122"/>
        <v>1</v>
      </c>
      <c r="R694" s="3258">
        <f t="shared" ca="1" si="123"/>
        <v>5702</v>
      </c>
      <c r="S694" s="1070">
        <f t="shared" ca="1" si="124"/>
        <v>21</v>
      </c>
    </row>
    <row r="695" spans="1:19">
      <c r="A695" s="673" t="str">
        <f>Sheet1!E673</f>
        <v>H1-035</v>
      </c>
      <c r="B695" s="673">
        <f>Sheet1!F673</f>
        <v>37.520000000000003</v>
      </c>
      <c r="C695" s="3257">
        <f t="shared" si="115"/>
        <v>0.99</v>
      </c>
      <c r="D695" s="675"/>
      <c r="E695" s="3257">
        <f t="shared" si="116"/>
        <v>1</v>
      </c>
      <c r="F695" s="675"/>
      <c r="G695" s="3257">
        <f t="shared" si="117"/>
        <v>1</v>
      </c>
      <c r="H695" s="675"/>
      <c r="I695" s="3257">
        <f t="shared" si="118"/>
        <v>1</v>
      </c>
      <c r="J695" s="675"/>
      <c r="K695" s="3257">
        <f t="shared" si="119"/>
        <v>1</v>
      </c>
      <c r="L695" s="675"/>
      <c r="M695" s="3257">
        <f t="shared" si="120"/>
        <v>1</v>
      </c>
      <c r="N695" s="675"/>
      <c r="O695" s="3257">
        <f t="shared" si="121"/>
        <v>1</v>
      </c>
      <c r="P695" s="675"/>
      <c r="Q695" s="3257">
        <f t="shared" si="122"/>
        <v>1</v>
      </c>
      <c r="R695" s="3258">
        <f t="shared" ca="1" si="123"/>
        <v>5702</v>
      </c>
      <c r="S695" s="1070">
        <f t="shared" ca="1" si="124"/>
        <v>21</v>
      </c>
    </row>
    <row r="696" spans="1:19">
      <c r="A696" s="673" t="str">
        <f>Sheet1!E674</f>
        <v>H1-037</v>
      </c>
      <c r="B696" s="673">
        <f>Sheet1!F674</f>
        <v>37.520000000000003</v>
      </c>
      <c r="C696" s="3257">
        <f t="shared" si="115"/>
        <v>0.99</v>
      </c>
      <c r="D696" s="675"/>
      <c r="E696" s="3257">
        <f t="shared" si="116"/>
        <v>1</v>
      </c>
      <c r="F696" s="675"/>
      <c r="G696" s="3257">
        <f t="shared" si="117"/>
        <v>1</v>
      </c>
      <c r="H696" s="675"/>
      <c r="I696" s="3257">
        <f t="shared" si="118"/>
        <v>1</v>
      </c>
      <c r="J696" s="675"/>
      <c r="K696" s="3257">
        <f t="shared" si="119"/>
        <v>1</v>
      </c>
      <c r="L696" s="675"/>
      <c r="M696" s="3257">
        <f t="shared" si="120"/>
        <v>1</v>
      </c>
      <c r="N696" s="675"/>
      <c r="O696" s="3257">
        <f t="shared" si="121"/>
        <v>1</v>
      </c>
      <c r="P696" s="675"/>
      <c r="Q696" s="3257">
        <f t="shared" si="122"/>
        <v>1</v>
      </c>
      <c r="R696" s="3258">
        <f t="shared" ca="1" si="123"/>
        <v>5702</v>
      </c>
      <c r="S696" s="1070">
        <f t="shared" ca="1" si="124"/>
        <v>21</v>
      </c>
    </row>
    <row r="697" spans="1:19">
      <c r="A697" s="673" t="str">
        <f>Sheet1!E675</f>
        <v>H1-038</v>
      </c>
      <c r="B697" s="673">
        <f>Sheet1!F675</f>
        <v>37.520000000000003</v>
      </c>
      <c r="C697" s="3257">
        <f t="shared" si="115"/>
        <v>0.99</v>
      </c>
      <c r="D697" s="675"/>
      <c r="E697" s="3257">
        <f t="shared" si="116"/>
        <v>1</v>
      </c>
      <c r="F697" s="675"/>
      <c r="G697" s="3257">
        <f t="shared" si="117"/>
        <v>1</v>
      </c>
      <c r="H697" s="675"/>
      <c r="I697" s="3257">
        <f t="shared" si="118"/>
        <v>1</v>
      </c>
      <c r="J697" s="675"/>
      <c r="K697" s="3257">
        <f t="shared" si="119"/>
        <v>1</v>
      </c>
      <c r="L697" s="675"/>
      <c r="M697" s="3257">
        <f t="shared" si="120"/>
        <v>1</v>
      </c>
      <c r="N697" s="675"/>
      <c r="O697" s="3257">
        <f t="shared" si="121"/>
        <v>1</v>
      </c>
      <c r="P697" s="675"/>
      <c r="Q697" s="3257">
        <f t="shared" si="122"/>
        <v>1</v>
      </c>
      <c r="R697" s="3258">
        <f t="shared" ca="1" si="123"/>
        <v>5702</v>
      </c>
      <c r="S697" s="1070">
        <f t="shared" ca="1" si="124"/>
        <v>21</v>
      </c>
    </row>
    <row r="698" spans="1:19">
      <c r="A698" s="673" t="str">
        <f>Sheet1!E676</f>
        <v>H1-039</v>
      </c>
      <c r="B698" s="673">
        <f>Sheet1!F676</f>
        <v>37.520000000000003</v>
      </c>
      <c r="C698" s="3257">
        <f t="shared" si="115"/>
        <v>0.99</v>
      </c>
      <c r="D698" s="675"/>
      <c r="E698" s="3257">
        <f t="shared" si="116"/>
        <v>1</v>
      </c>
      <c r="F698" s="675"/>
      <c r="G698" s="3257">
        <f t="shared" si="117"/>
        <v>1</v>
      </c>
      <c r="H698" s="675"/>
      <c r="I698" s="3257">
        <f t="shared" si="118"/>
        <v>1</v>
      </c>
      <c r="J698" s="675"/>
      <c r="K698" s="3257">
        <f t="shared" si="119"/>
        <v>1</v>
      </c>
      <c r="L698" s="675"/>
      <c r="M698" s="3257">
        <f t="shared" si="120"/>
        <v>1</v>
      </c>
      <c r="N698" s="675"/>
      <c r="O698" s="3257">
        <f t="shared" si="121"/>
        <v>1</v>
      </c>
      <c r="P698" s="675"/>
      <c r="Q698" s="3257">
        <f t="shared" si="122"/>
        <v>1</v>
      </c>
      <c r="R698" s="3258">
        <f t="shared" ca="1" si="123"/>
        <v>5702</v>
      </c>
      <c r="S698" s="1070">
        <f t="shared" ca="1" si="124"/>
        <v>21</v>
      </c>
    </row>
    <row r="699" spans="1:19">
      <c r="A699" s="673" t="str">
        <f>Sheet1!E677</f>
        <v>H1-040</v>
      </c>
      <c r="B699" s="673">
        <f>Sheet1!F677</f>
        <v>37.520000000000003</v>
      </c>
      <c r="C699" s="3257">
        <f t="shared" si="115"/>
        <v>0.99</v>
      </c>
      <c r="D699" s="675"/>
      <c r="E699" s="3257">
        <f t="shared" si="116"/>
        <v>1</v>
      </c>
      <c r="F699" s="675"/>
      <c r="G699" s="3257">
        <f t="shared" si="117"/>
        <v>1</v>
      </c>
      <c r="H699" s="675"/>
      <c r="I699" s="3257">
        <f t="shared" si="118"/>
        <v>1</v>
      </c>
      <c r="J699" s="675"/>
      <c r="K699" s="3257">
        <f t="shared" si="119"/>
        <v>1</v>
      </c>
      <c r="L699" s="675"/>
      <c r="M699" s="3257">
        <f t="shared" si="120"/>
        <v>1</v>
      </c>
      <c r="N699" s="675"/>
      <c r="O699" s="3257">
        <f t="shared" si="121"/>
        <v>1</v>
      </c>
      <c r="P699" s="675"/>
      <c r="Q699" s="3257">
        <f t="shared" si="122"/>
        <v>1</v>
      </c>
      <c r="R699" s="3258">
        <f t="shared" ca="1" si="123"/>
        <v>5702</v>
      </c>
      <c r="S699" s="1070">
        <f t="shared" ca="1" si="124"/>
        <v>21</v>
      </c>
    </row>
    <row r="700" spans="1:19">
      <c r="A700" s="673" t="str">
        <f>Sheet1!E678</f>
        <v>H1-043</v>
      </c>
      <c r="B700" s="673">
        <f>Sheet1!F678</f>
        <v>39.090000000000003</v>
      </c>
      <c r="C700" s="3257">
        <f t="shared" si="115"/>
        <v>0.99</v>
      </c>
      <c r="D700" s="675"/>
      <c r="E700" s="3257">
        <f t="shared" si="116"/>
        <v>1</v>
      </c>
      <c r="F700" s="675"/>
      <c r="G700" s="3257">
        <f t="shared" si="117"/>
        <v>1</v>
      </c>
      <c r="H700" s="675"/>
      <c r="I700" s="3257">
        <f t="shared" si="118"/>
        <v>1</v>
      </c>
      <c r="J700" s="675"/>
      <c r="K700" s="3257">
        <f t="shared" si="119"/>
        <v>1</v>
      </c>
      <c r="L700" s="675"/>
      <c r="M700" s="3257">
        <f t="shared" si="120"/>
        <v>1</v>
      </c>
      <c r="N700" s="675"/>
      <c r="O700" s="3257">
        <f t="shared" si="121"/>
        <v>1</v>
      </c>
      <c r="P700" s="675"/>
      <c r="Q700" s="3257">
        <f t="shared" si="122"/>
        <v>1</v>
      </c>
      <c r="R700" s="3258">
        <f t="shared" ca="1" si="123"/>
        <v>5702</v>
      </c>
      <c r="S700" s="1070">
        <f t="shared" ca="1" si="124"/>
        <v>22</v>
      </c>
    </row>
    <row r="701" spans="1:19">
      <c r="A701" s="673" t="str">
        <f>Sheet1!E679</f>
        <v>H1-044</v>
      </c>
      <c r="B701" s="673">
        <f>Sheet1!F679</f>
        <v>39.090000000000003</v>
      </c>
      <c r="C701" s="3257">
        <f t="shared" si="115"/>
        <v>0.99</v>
      </c>
      <c r="D701" s="675"/>
      <c r="E701" s="3257">
        <f t="shared" si="116"/>
        <v>1</v>
      </c>
      <c r="F701" s="675"/>
      <c r="G701" s="3257">
        <f t="shared" si="117"/>
        <v>1</v>
      </c>
      <c r="H701" s="675"/>
      <c r="I701" s="3257">
        <f t="shared" si="118"/>
        <v>1</v>
      </c>
      <c r="J701" s="675"/>
      <c r="K701" s="3257">
        <f t="shared" si="119"/>
        <v>1</v>
      </c>
      <c r="L701" s="675"/>
      <c r="M701" s="3257">
        <f t="shared" si="120"/>
        <v>1</v>
      </c>
      <c r="N701" s="675"/>
      <c r="O701" s="3257">
        <f t="shared" si="121"/>
        <v>1</v>
      </c>
      <c r="P701" s="675"/>
      <c r="Q701" s="3257">
        <f t="shared" si="122"/>
        <v>1</v>
      </c>
      <c r="R701" s="3258">
        <f t="shared" ca="1" si="123"/>
        <v>5702</v>
      </c>
      <c r="S701" s="1070">
        <f t="shared" ca="1" si="124"/>
        <v>22</v>
      </c>
    </row>
    <row r="702" spans="1:19">
      <c r="A702" s="673" t="str">
        <f>Sheet1!E680</f>
        <v>H1-045</v>
      </c>
      <c r="B702" s="673">
        <f>Sheet1!F680</f>
        <v>37.520000000000003</v>
      </c>
      <c r="C702" s="3257">
        <f t="shared" si="115"/>
        <v>0.99</v>
      </c>
      <c r="D702" s="675"/>
      <c r="E702" s="3257">
        <f t="shared" si="116"/>
        <v>1</v>
      </c>
      <c r="F702" s="675"/>
      <c r="G702" s="3257">
        <f t="shared" si="117"/>
        <v>1</v>
      </c>
      <c r="H702" s="675"/>
      <c r="I702" s="3257">
        <f t="shared" si="118"/>
        <v>1</v>
      </c>
      <c r="J702" s="675"/>
      <c r="K702" s="3257">
        <f t="shared" si="119"/>
        <v>1</v>
      </c>
      <c r="L702" s="675"/>
      <c r="M702" s="3257">
        <f t="shared" si="120"/>
        <v>1</v>
      </c>
      <c r="N702" s="675"/>
      <c r="O702" s="3257">
        <f t="shared" si="121"/>
        <v>1</v>
      </c>
      <c r="P702" s="675"/>
      <c r="Q702" s="3257">
        <f t="shared" si="122"/>
        <v>1</v>
      </c>
      <c r="R702" s="3258">
        <f t="shared" ca="1" si="123"/>
        <v>5702</v>
      </c>
      <c r="S702" s="1070">
        <f t="shared" ca="1" si="124"/>
        <v>21</v>
      </c>
    </row>
    <row r="703" spans="1:19">
      <c r="A703" s="673" t="str">
        <f>Sheet1!E681</f>
        <v>H1-046</v>
      </c>
      <c r="B703" s="673">
        <f>Sheet1!F681</f>
        <v>37.520000000000003</v>
      </c>
      <c r="C703" s="3257">
        <f t="shared" si="115"/>
        <v>0.99</v>
      </c>
      <c r="D703" s="675"/>
      <c r="E703" s="3257">
        <f t="shared" si="116"/>
        <v>1</v>
      </c>
      <c r="F703" s="675"/>
      <c r="G703" s="3257">
        <f t="shared" si="117"/>
        <v>1</v>
      </c>
      <c r="H703" s="675"/>
      <c r="I703" s="3257">
        <f t="shared" si="118"/>
        <v>1</v>
      </c>
      <c r="J703" s="675"/>
      <c r="K703" s="3257">
        <f t="shared" si="119"/>
        <v>1</v>
      </c>
      <c r="L703" s="675"/>
      <c r="M703" s="3257">
        <f t="shared" si="120"/>
        <v>1</v>
      </c>
      <c r="N703" s="675"/>
      <c r="O703" s="3257">
        <f t="shared" si="121"/>
        <v>1</v>
      </c>
      <c r="P703" s="675"/>
      <c r="Q703" s="3257">
        <f t="shared" si="122"/>
        <v>1</v>
      </c>
      <c r="R703" s="3258">
        <f t="shared" ca="1" si="123"/>
        <v>5702</v>
      </c>
      <c r="S703" s="1070">
        <f t="shared" ca="1" si="124"/>
        <v>21</v>
      </c>
    </row>
    <row r="704" spans="1:19">
      <c r="A704" s="673" t="str">
        <f>Sheet1!E682</f>
        <v>H1-047</v>
      </c>
      <c r="B704" s="673">
        <f>Sheet1!F682</f>
        <v>48.78</v>
      </c>
      <c r="C704" s="3257">
        <f t="shared" si="115"/>
        <v>0.98</v>
      </c>
      <c r="D704" s="675"/>
      <c r="E704" s="3257">
        <f t="shared" si="116"/>
        <v>1</v>
      </c>
      <c r="F704" s="675"/>
      <c r="G704" s="3257">
        <f t="shared" si="117"/>
        <v>1</v>
      </c>
      <c r="H704" s="675"/>
      <c r="I704" s="3257">
        <f t="shared" si="118"/>
        <v>1</v>
      </c>
      <c r="J704" s="675"/>
      <c r="K704" s="3257">
        <f t="shared" si="119"/>
        <v>1</v>
      </c>
      <c r="L704" s="675"/>
      <c r="M704" s="3257">
        <f t="shared" si="120"/>
        <v>1</v>
      </c>
      <c r="N704" s="675"/>
      <c r="O704" s="3257">
        <f t="shared" si="121"/>
        <v>1</v>
      </c>
      <c r="P704" s="675"/>
      <c r="Q704" s="3257">
        <f t="shared" si="122"/>
        <v>1</v>
      </c>
      <c r="R704" s="3258">
        <f t="shared" ca="1" si="123"/>
        <v>5645</v>
      </c>
      <c r="S704" s="1070">
        <f t="shared" ca="1" si="124"/>
        <v>28</v>
      </c>
    </row>
    <row r="705" spans="1:19">
      <c r="A705" s="673" t="str">
        <f>Sheet1!E683</f>
        <v>J1-007</v>
      </c>
      <c r="B705" s="673">
        <f>Sheet1!F683</f>
        <v>36.020000000000003</v>
      </c>
      <c r="C705" s="3257">
        <f t="shared" si="115"/>
        <v>0.99</v>
      </c>
      <c r="D705" s="675"/>
      <c r="E705" s="3257">
        <f t="shared" si="116"/>
        <v>1</v>
      </c>
      <c r="F705" s="675"/>
      <c r="G705" s="3257">
        <f t="shared" si="117"/>
        <v>1</v>
      </c>
      <c r="H705" s="675"/>
      <c r="I705" s="3257">
        <f t="shared" si="118"/>
        <v>1</v>
      </c>
      <c r="J705" s="675"/>
      <c r="K705" s="3257">
        <f t="shared" si="119"/>
        <v>1</v>
      </c>
      <c r="L705" s="675"/>
      <c r="M705" s="3257">
        <f t="shared" si="120"/>
        <v>1</v>
      </c>
      <c r="N705" s="675"/>
      <c r="O705" s="3257">
        <f t="shared" si="121"/>
        <v>1</v>
      </c>
      <c r="P705" s="675"/>
      <c r="Q705" s="3257">
        <f t="shared" si="122"/>
        <v>1</v>
      </c>
      <c r="R705" s="3258">
        <f t="shared" ca="1" si="123"/>
        <v>5702</v>
      </c>
      <c r="S705" s="1070">
        <f t="shared" ca="1" si="124"/>
        <v>21</v>
      </c>
    </row>
    <row r="706" spans="1:19">
      <c r="A706" s="673" t="str">
        <f>Sheet1!E684</f>
        <v>J1-008</v>
      </c>
      <c r="B706" s="673">
        <f>Sheet1!F684</f>
        <v>36.020000000000003</v>
      </c>
      <c r="C706" s="3257">
        <f t="shared" si="115"/>
        <v>0.99</v>
      </c>
      <c r="D706" s="675"/>
      <c r="E706" s="3257">
        <f t="shared" si="116"/>
        <v>1</v>
      </c>
      <c r="F706" s="675"/>
      <c r="G706" s="3257">
        <f t="shared" si="117"/>
        <v>1</v>
      </c>
      <c r="H706" s="675"/>
      <c r="I706" s="3257">
        <f t="shared" si="118"/>
        <v>1</v>
      </c>
      <c r="J706" s="675"/>
      <c r="K706" s="3257">
        <f t="shared" si="119"/>
        <v>1</v>
      </c>
      <c r="L706" s="675"/>
      <c r="M706" s="3257">
        <f t="shared" si="120"/>
        <v>1</v>
      </c>
      <c r="N706" s="675"/>
      <c r="O706" s="3257">
        <f t="shared" si="121"/>
        <v>1</v>
      </c>
      <c r="P706" s="675"/>
      <c r="Q706" s="3257">
        <f t="shared" si="122"/>
        <v>1</v>
      </c>
      <c r="R706" s="3258">
        <f t="shared" ca="1" si="123"/>
        <v>5702</v>
      </c>
      <c r="S706" s="1070">
        <f t="shared" ca="1" si="124"/>
        <v>21</v>
      </c>
    </row>
    <row r="707" spans="1:19">
      <c r="A707" s="673" t="str">
        <f>Sheet1!E685</f>
        <v>J1-009</v>
      </c>
      <c r="B707" s="673">
        <f>Sheet1!F685</f>
        <v>36.020000000000003</v>
      </c>
      <c r="C707" s="3257">
        <f t="shared" si="115"/>
        <v>0.99</v>
      </c>
      <c r="D707" s="675"/>
      <c r="E707" s="3257">
        <f t="shared" si="116"/>
        <v>1</v>
      </c>
      <c r="F707" s="675"/>
      <c r="G707" s="3257">
        <f t="shared" si="117"/>
        <v>1</v>
      </c>
      <c r="H707" s="675"/>
      <c r="I707" s="3257">
        <f t="shared" si="118"/>
        <v>1</v>
      </c>
      <c r="J707" s="675"/>
      <c r="K707" s="3257">
        <f t="shared" si="119"/>
        <v>1</v>
      </c>
      <c r="L707" s="675"/>
      <c r="M707" s="3257">
        <f t="shared" si="120"/>
        <v>1</v>
      </c>
      <c r="N707" s="675"/>
      <c r="O707" s="3257">
        <f t="shared" si="121"/>
        <v>1</v>
      </c>
      <c r="P707" s="675"/>
      <c r="Q707" s="3257">
        <f t="shared" si="122"/>
        <v>1</v>
      </c>
      <c r="R707" s="3258">
        <f t="shared" ca="1" si="123"/>
        <v>5702</v>
      </c>
      <c r="S707" s="1070">
        <f t="shared" ca="1" si="124"/>
        <v>21</v>
      </c>
    </row>
    <row r="708" spans="1:19">
      <c r="A708" s="673" t="str">
        <f>Sheet1!E686</f>
        <v>J1-010</v>
      </c>
      <c r="B708" s="673">
        <f>Sheet1!F686</f>
        <v>36.020000000000003</v>
      </c>
      <c r="C708" s="3257">
        <f t="shared" si="115"/>
        <v>0.99</v>
      </c>
      <c r="D708" s="675"/>
      <c r="E708" s="3257">
        <f t="shared" si="116"/>
        <v>1</v>
      </c>
      <c r="F708" s="675"/>
      <c r="G708" s="3257">
        <f t="shared" si="117"/>
        <v>1</v>
      </c>
      <c r="H708" s="675"/>
      <c r="I708" s="3257">
        <f t="shared" si="118"/>
        <v>1</v>
      </c>
      <c r="J708" s="675"/>
      <c r="K708" s="3257">
        <f t="shared" si="119"/>
        <v>1</v>
      </c>
      <c r="L708" s="675"/>
      <c r="M708" s="3257">
        <f t="shared" si="120"/>
        <v>1</v>
      </c>
      <c r="N708" s="675"/>
      <c r="O708" s="3257">
        <f t="shared" si="121"/>
        <v>1</v>
      </c>
      <c r="P708" s="675"/>
      <c r="Q708" s="3257">
        <f t="shared" si="122"/>
        <v>1</v>
      </c>
      <c r="R708" s="3258">
        <f t="shared" ca="1" si="123"/>
        <v>5702</v>
      </c>
      <c r="S708" s="1070">
        <f t="shared" ca="1" si="124"/>
        <v>21</v>
      </c>
    </row>
    <row r="709" spans="1:19">
      <c r="A709" s="673" t="str">
        <f>Sheet1!E687</f>
        <v>J1-011</v>
      </c>
      <c r="B709" s="673">
        <f>Sheet1!F687</f>
        <v>36.020000000000003</v>
      </c>
      <c r="C709" s="3257">
        <f t="shared" si="115"/>
        <v>0.99</v>
      </c>
      <c r="D709" s="675"/>
      <c r="E709" s="3257">
        <f t="shared" si="116"/>
        <v>1</v>
      </c>
      <c r="F709" s="675"/>
      <c r="G709" s="3257">
        <f t="shared" si="117"/>
        <v>1</v>
      </c>
      <c r="H709" s="675"/>
      <c r="I709" s="3257">
        <f t="shared" si="118"/>
        <v>1</v>
      </c>
      <c r="J709" s="675"/>
      <c r="K709" s="3257">
        <f t="shared" si="119"/>
        <v>1</v>
      </c>
      <c r="L709" s="675"/>
      <c r="M709" s="3257">
        <f t="shared" si="120"/>
        <v>1</v>
      </c>
      <c r="N709" s="675"/>
      <c r="O709" s="3257">
        <f t="shared" si="121"/>
        <v>1</v>
      </c>
      <c r="P709" s="675"/>
      <c r="Q709" s="3257">
        <f t="shared" si="122"/>
        <v>1</v>
      </c>
      <c r="R709" s="3258">
        <f t="shared" ca="1" si="123"/>
        <v>5702</v>
      </c>
      <c r="S709" s="1070">
        <f t="shared" ca="1" si="124"/>
        <v>21</v>
      </c>
    </row>
    <row r="710" spans="1:19">
      <c r="A710" s="673" t="str">
        <f>Sheet1!E688</f>
        <v>J1-012</v>
      </c>
      <c r="B710" s="673">
        <f>Sheet1!F688</f>
        <v>36.020000000000003</v>
      </c>
      <c r="C710" s="3257">
        <f t="shared" si="115"/>
        <v>0.99</v>
      </c>
      <c r="D710" s="675"/>
      <c r="E710" s="3257">
        <f t="shared" si="116"/>
        <v>1</v>
      </c>
      <c r="F710" s="675"/>
      <c r="G710" s="3257">
        <f t="shared" si="117"/>
        <v>1</v>
      </c>
      <c r="H710" s="675"/>
      <c r="I710" s="3257">
        <f t="shared" si="118"/>
        <v>1</v>
      </c>
      <c r="J710" s="675"/>
      <c r="K710" s="3257">
        <f t="shared" si="119"/>
        <v>1</v>
      </c>
      <c r="L710" s="675"/>
      <c r="M710" s="3257">
        <f t="shared" si="120"/>
        <v>1</v>
      </c>
      <c r="N710" s="675"/>
      <c r="O710" s="3257">
        <f t="shared" si="121"/>
        <v>1</v>
      </c>
      <c r="P710" s="675"/>
      <c r="Q710" s="3257">
        <f t="shared" si="122"/>
        <v>1</v>
      </c>
      <c r="R710" s="3258">
        <f t="shared" ca="1" si="123"/>
        <v>5702</v>
      </c>
      <c r="S710" s="1070">
        <f t="shared" ca="1" si="124"/>
        <v>21</v>
      </c>
    </row>
    <row r="711" spans="1:19">
      <c r="A711" s="673" t="str">
        <f>Sheet1!E689</f>
        <v>J1-013</v>
      </c>
      <c r="B711" s="673">
        <f>Sheet1!F689</f>
        <v>37.520000000000003</v>
      </c>
      <c r="C711" s="3257">
        <f t="shared" si="115"/>
        <v>0.99</v>
      </c>
      <c r="D711" s="675"/>
      <c r="E711" s="3257">
        <f t="shared" si="116"/>
        <v>1</v>
      </c>
      <c r="F711" s="675"/>
      <c r="G711" s="3257">
        <f t="shared" si="117"/>
        <v>1</v>
      </c>
      <c r="H711" s="675"/>
      <c r="I711" s="3257">
        <f t="shared" si="118"/>
        <v>1</v>
      </c>
      <c r="J711" s="675"/>
      <c r="K711" s="3257">
        <f t="shared" si="119"/>
        <v>1</v>
      </c>
      <c r="L711" s="675"/>
      <c r="M711" s="3257">
        <f t="shared" si="120"/>
        <v>1</v>
      </c>
      <c r="N711" s="675"/>
      <c r="O711" s="3257">
        <f t="shared" si="121"/>
        <v>1</v>
      </c>
      <c r="P711" s="675"/>
      <c r="Q711" s="3257">
        <f t="shared" si="122"/>
        <v>1</v>
      </c>
      <c r="R711" s="3258">
        <f t="shared" ca="1" si="123"/>
        <v>5702</v>
      </c>
      <c r="S711" s="1070">
        <f t="shared" ca="1" si="124"/>
        <v>21</v>
      </c>
    </row>
    <row r="712" spans="1:19">
      <c r="A712" s="673" t="str">
        <f>Sheet1!E690</f>
        <v>J1-014</v>
      </c>
      <c r="B712" s="673">
        <f>Sheet1!F690</f>
        <v>37.520000000000003</v>
      </c>
      <c r="C712" s="3257">
        <f t="shared" si="115"/>
        <v>0.99</v>
      </c>
      <c r="D712" s="675"/>
      <c r="E712" s="3257">
        <f t="shared" si="116"/>
        <v>1</v>
      </c>
      <c r="F712" s="675"/>
      <c r="G712" s="3257">
        <f t="shared" si="117"/>
        <v>1</v>
      </c>
      <c r="H712" s="675"/>
      <c r="I712" s="3257">
        <f t="shared" si="118"/>
        <v>1</v>
      </c>
      <c r="J712" s="675"/>
      <c r="K712" s="3257">
        <f t="shared" si="119"/>
        <v>1</v>
      </c>
      <c r="L712" s="675"/>
      <c r="M712" s="3257">
        <f t="shared" si="120"/>
        <v>1</v>
      </c>
      <c r="N712" s="675"/>
      <c r="O712" s="3257">
        <f t="shared" si="121"/>
        <v>1</v>
      </c>
      <c r="P712" s="675"/>
      <c r="Q712" s="3257">
        <f t="shared" si="122"/>
        <v>1</v>
      </c>
      <c r="R712" s="3258">
        <f t="shared" ca="1" si="123"/>
        <v>5702</v>
      </c>
      <c r="S712" s="1070">
        <f t="shared" ca="1" si="124"/>
        <v>21</v>
      </c>
    </row>
    <row r="713" spans="1:19">
      <c r="A713" s="673" t="str">
        <f>Sheet1!E691</f>
        <v>J1-015</v>
      </c>
      <c r="B713" s="673">
        <f>Sheet1!F691</f>
        <v>37.520000000000003</v>
      </c>
      <c r="C713" s="3257">
        <f t="shared" si="115"/>
        <v>0.99</v>
      </c>
      <c r="D713" s="675"/>
      <c r="E713" s="3257">
        <f t="shared" si="116"/>
        <v>1</v>
      </c>
      <c r="F713" s="675"/>
      <c r="G713" s="3257">
        <f t="shared" si="117"/>
        <v>1</v>
      </c>
      <c r="H713" s="675"/>
      <c r="I713" s="3257">
        <f t="shared" si="118"/>
        <v>1</v>
      </c>
      <c r="J713" s="675"/>
      <c r="K713" s="3257">
        <f t="shared" si="119"/>
        <v>1</v>
      </c>
      <c r="L713" s="675"/>
      <c r="M713" s="3257">
        <f t="shared" si="120"/>
        <v>1</v>
      </c>
      <c r="N713" s="675"/>
      <c r="O713" s="3257">
        <f t="shared" si="121"/>
        <v>1</v>
      </c>
      <c r="P713" s="675"/>
      <c r="Q713" s="3257">
        <f t="shared" si="122"/>
        <v>1</v>
      </c>
      <c r="R713" s="3258">
        <f t="shared" ca="1" si="123"/>
        <v>5702</v>
      </c>
      <c r="S713" s="1070">
        <f t="shared" ca="1" si="124"/>
        <v>21</v>
      </c>
    </row>
    <row r="714" spans="1:19">
      <c r="A714" s="673" t="str">
        <f>Sheet1!E692</f>
        <v>J1-016</v>
      </c>
      <c r="B714" s="673">
        <f>Sheet1!F692</f>
        <v>39.090000000000003</v>
      </c>
      <c r="C714" s="3257">
        <f t="shared" si="115"/>
        <v>0.99</v>
      </c>
      <c r="D714" s="675"/>
      <c r="E714" s="3257">
        <f t="shared" si="116"/>
        <v>1</v>
      </c>
      <c r="F714" s="675"/>
      <c r="G714" s="3257">
        <f t="shared" si="117"/>
        <v>1</v>
      </c>
      <c r="H714" s="675"/>
      <c r="I714" s="3257">
        <f t="shared" si="118"/>
        <v>1</v>
      </c>
      <c r="J714" s="675"/>
      <c r="K714" s="3257">
        <f t="shared" si="119"/>
        <v>1</v>
      </c>
      <c r="L714" s="675"/>
      <c r="M714" s="3257">
        <f t="shared" si="120"/>
        <v>1</v>
      </c>
      <c r="N714" s="675"/>
      <c r="O714" s="3257">
        <f t="shared" si="121"/>
        <v>1</v>
      </c>
      <c r="P714" s="675"/>
      <c r="Q714" s="3257">
        <f t="shared" si="122"/>
        <v>1</v>
      </c>
      <c r="R714" s="3258">
        <f t="shared" ca="1" si="123"/>
        <v>5702</v>
      </c>
      <c r="S714" s="1070">
        <f t="shared" ca="1" si="124"/>
        <v>22</v>
      </c>
    </row>
    <row r="715" spans="1:19">
      <c r="A715" s="673" t="str">
        <f>Sheet1!E693</f>
        <v>J1-017</v>
      </c>
      <c r="B715" s="673">
        <f>Sheet1!F693</f>
        <v>39.090000000000003</v>
      </c>
      <c r="C715" s="3257">
        <f t="shared" si="115"/>
        <v>0.99</v>
      </c>
      <c r="D715" s="675"/>
      <c r="E715" s="3257">
        <f t="shared" si="116"/>
        <v>1</v>
      </c>
      <c r="F715" s="675"/>
      <c r="G715" s="3257">
        <f t="shared" si="117"/>
        <v>1</v>
      </c>
      <c r="H715" s="675"/>
      <c r="I715" s="3257">
        <f t="shared" si="118"/>
        <v>1</v>
      </c>
      <c r="J715" s="675"/>
      <c r="K715" s="3257">
        <f t="shared" si="119"/>
        <v>1</v>
      </c>
      <c r="L715" s="675"/>
      <c r="M715" s="3257">
        <f t="shared" si="120"/>
        <v>1</v>
      </c>
      <c r="N715" s="675"/>
      <c r="O715" s="3257">
        <f t="shared" si="121"/>
        <v>1</v>
      </c>
      <c r="P715" s="675"/>
      <c r="Q715" s="3257">
        <f t="shared" si="122"/>
        <v>1</v>
      </c>
      <c r="R715" s="3258">
        <f t="shared" ca="1" si="123"/>
        <v>5702</v>
      </c>
      <c r="S715" s="1070">
        <f t="shared" ca="1" si="124"/>
        <v>22</v>
      </c>
    </row>
    <row r="716" spans="1:19">
      <c r="A716" s="673" t="str">
        <f>Sheet1!E694</f>
        <v>J1-018</v>
      </c>
      <c r="B716" s="673">
        <f>Sheet1!F694</f>
        <v>39.090000000000003</v>
      </c>
      <c r="C716" s="3257">
        <f t="shared" si="115"/>
        <v>0.99</v>
      </c>
      <c r="D716" s="675"/>
      <c r="E716" s="3257">
        <f t="shared" si="116"/>
        <v>1</v>
      </c>
      <c r="F716" s="675"/>
      <c r="G716" s="3257">
        <f t="shared" si="117"/>
        <v>1</v>
      </c>
      <c r="H716" s="675"/>
      <c r="I716" s="3257">
        <f t="shared" si="118"/>
        <v>1</v>
      </c>
      <c r="J716" s="675"/>
      <c r="K716" s="3257">
        <f t="shared" si="119"/>
        <v>1</v>
      </c>
      <c r="L716" s="675"/>
      <c r="M716" s="3257">
        <f t="shared" si="120"/>
        <v>1</v>
      </c>
      <c r="N716" s="675"/>
      <c r="O716" s="3257">
        <f t="shared" si="121"/>
        <v>1</v>
      </c>
      <c r="P716" s="675"/>
      <c r="Q716" s="3257">
        <f t="shared" si="122"/>
        <v>1</v>
      </c>
      <c r="R716" s="3258">
        <f t="shared" ca="1" si="123"/>
        <v>5702</v>
      </c>
      <c r="S716" s="1070">
        <f t="shared" ca="1" si="124"/>
        <v>22</v>
      </c>
    </row>
    <row r="717" spans="1:19">
      <c r="A717" s="673" t="str">
        <f>Sheet1!E695</f>
        <v>J1-019</v>
      </c>
      <c r="B717" s="673">
        <f>Sheet1!F695</f>
        <v>37.4</v>
      </c>
      <c r="C717" s="3257">
        <f t="shared" ref="C717:C780" si="125">IF(B717="",1,(LOOKUP(B717,$3:$3,$4:$4)-LOOKUP($B$24,$3:$3,$4:$4)+100)/100)</f>
        <v>0.99</v>
      </c>
      <c r="D717" s="675"/>
      <c r="E717" s="3257">
        <f t="shared" ref="E717:E780" si="126">(SUMIF($5:$5,D717,$6:$6)-SUMIF($5:$5,$D$24,$6:$6)+100)/100</f>
        <v>1</v>
      </c>
      <c r="F717" s="675"/>
      <c r="G717" s="3257">
        <f t="shared" ref="G717:G780" si="127">(SUMIF($7:$7,F717,$8:$8)-SUMIF($7:$7,$F$24,$8:$8)+100)/100</f>
        <v>1</v>
      </c>
      <c r="H717" s="675"/>
      <c r="I717" s="3257">
        <f t="shared" ref="I717:I780" si="128">(SUMIF($9:$9,H717,$10:$10)-SUMIF($9:$9,$H$24,$10:$10)+100)/100</f>
        <v>1</v>
      </c>
      <c r="J717" s="675"/>
      <c r="K717" s="3257">
        <f t="shared" ref="K717:K780" si="129">(SUMIF($11:$11,J717,$12:$12)-SUMIF($11:$11,$J$24,$12:$12)+100)/100</f>
        <v>1</v>
      </c>
      <c r="L717" s="675"/>
      <c r="M717" s="3257">
        <f t="shared" ref="M717:M780" si="130">(SUMIF($13:$13,L717,$14:$14)-SUMIF($13:$13,$L$24,$14:$14)+100)/100</f>
        <v>1</v>
      </c>
      <c r="N717" s="675"/>
      <c r="O717" s="3257">
        <f t="shared" ref="O717:O780" si="131">(SUMIF($15:$15,N717,$16:$16)-SUMIF($15:$15,$N$24,$16:$16)+100)/100</f>
        <v>1</v>
      </c>
      <c r="P717" s="675"/>
      <c r="Q717" s="3257">
        <f t="shared" ref="Q717:Q780" si="132">(SUMIF($17:$17,P717,$18:$18)-SUMIF($17:$17,$P$24,$18:$18)+100)/100</f>
        <v>1</v>
      </c>
      <c r="R717" s="3258">
        <f t="shared" ref="R717:R780" ca="1" si="133">IF(B717="",0,ROUND($R$24*C717*E717*G717*I717*K717*M717*O717*Q717,0))</f>
        <v>5702</v>
      </c>
      <c r="S717" s="1070">
        <f t="shared" ref="S717:S780" ca="1" si="134">ROUND(R717*B717/10000,0)</f>
        <v>21</v>
      </c>
    </row>
    <row r="718" spans="1:19">
      <c r="A718" s="673" t="str">
        <f>Sheet1!E696</f>
        <v>J1-020</v>
      </c>
      <c r="B718" s="673">
        <f>Sheet1!F696</f>
        <v>39.840000000000003</v>
      </c>
      <c r="C718" s="3257">
        <f t="shared" si="125"/>
        <v>0.99</v>
      </c>
      <c r="D718" s="675"/>
      <c r="E718" s="3257">
        <f t="shared" si="126"/>
        <v>1</v>
      </c>
      <c r="F718" s="675"/>
      <c r="G718" s="3257">
        <f t="shared" si="127"/>
        <v>1</v>
      </c>
      <c r="H718" s="675"/>
      <c r="I718" s="3257">
        <f t="shared" si="128"/>
        <v>1</v>
      </c>
      <c r="J718" s="675"/>
      <c r="K718" s="3257">
        <f t="shared" si="129"/>
        <v>1</v>
      </c>
      <c r="L718" s="675"/>
      <c r="M718" s="3257">
        <f t="shared" si="130"/>
        <v>1</v>
      </c>
      <c r="N718" s="675"/>
      <c r="O718" s="3257">
        <f t="shared" si="131"/>
        <v>1</v>
      </c>
      <c r="P718" s="675"/>
      <c r="Q718" s="3257">
        <f t="shared" si="132"/>
        <v>1</v>
      </c>
      <c r="R718" s="3258">
        <f t="shared" ca="1" si="133"/>
        <v>5702</v>
      </c>
      <c r="S718" s="1070">
        <f t="shared" ca="1" si="134"/>
        <v>23</v>
      </c>
    </row>
    <row r="719" spans="1:19">
      <c r="A719" s="673" t="str">
        <f>Sheet1!E697</f>
        <v>J1-021</v>
      </c>
      <c r="B719" s="673">
        <f>Sheet1!F697</f>
        <v>45.34</v>
      </c>
      <c r="C719" s="3257">
        <f t="shared" si="125"/>
        <v>0.98</v>
      </c>
      <c r="D719" s="675"/>
      <c r="E719" s="3257">
        <f t="shared" si="126"/>
        <v>1</v>
      </c>
      <c r="F719" s="675"/>
      <c r="G719" s="3257">
        <f t="shared" si="127"/>
        <v>1</v>
      </c>
      <c r="H719" s="675"/>
      <c r="I719" s="3257">
        <f t="shared" si="128"/>
        <v>1</v>
      </c>
      <c r="J719" s="675"/>
      <c r="K719" s="3257">
        <f t="shared" si="129"/>
        <v>1</v>
      </c>
      <c r="L719" s="675"/>
      <c r="M719" s="3257">
        <f t="shared" si="130"/>
        <v>1</v>
      </c>
      <c r="N719" s="675"/>
      <c r="O719" s="3257">
        <f t="shared" si="131"/>
        <v>1</v>
      </c>
      <c r="P719" s="675"/>
      <c r="Q719" s="3257">
        <f t="shared" si="132"/>
        <v>1</v>
      </c>
      <c r="R719" s="3258">
        <f t="shared" ca="1" si="133"/>
        <v>5645</v>
      </c>
      <c r="S719" s="1070">
        <f t="shared" ca="1" si="134"/>
        <v>26</v>
      </c>
    </row>
    <row r="720" spans="1:19">
      <c r="A720" s="673" t="str">
        <f>Sheet1!E698</f>
        <v>J1-022</v>
      </c>
      <c r="B720" s="673">
        <f>Sheet1!F698</f>
        <v>45.34</v>
      </c>
      <c r="C720" s="3257">
        <f t="shared" si="125"/>
        <v>0.98</v>
      </c>
      <c r="D720" s="675"/>
      <c r="E720" s="3257">
        <f t="shared" si="126"/>
        <v>1</v>
      </c>
      <c r="F720" s="675"/>
      <c r="G720" s="3257">
        <f t="shared" si="127"/>
        <v>1</v>
      </c>
      <c r="H720" s="675"/>
      <c r="I720" s="3257">
        <f t="shared" si="128"/>
        <v>1</v>
      </c>
      <c r="J720" s="675"/>
      <c r="K720" s="3257">
        <f t="shared" si="129"/>
        <v>1</v>
      </c>
      <c r="L720" s="675"/>
      <c r="M720" s="3257">
        <f t="shared" si="130"/>
        <v>1</v>
      </c>
      <c r="N720" s="675"/>
      <c r="O720" s="3257">
        <f t="shared" si="131"/>
        <v>1</v>
      </c>
      <c r="P720" s="675"/>
      <c r="Q720" s="3257">
        <f t="shared" si="132"/>
        <v>1</v>
      </c>
      <c r="R720" s="3258">
        <f t="shared" ca="1" si="133"/>
        <v>5645</v>
      </c>
      <c r="S720" s="1070">
        <f t="shared" ca="1" si="134"/>
        <v>26</v>
      </c>
    </row>
    <row r="721" spans="1:19">
      <c r="A721" s="673" t="str">
        <f>Sheet1!E699</f>
        <v>J1-023</v>
      </c>
      <c r="B721" s="673">
        <f>Sheet1!F699</f>
        <v>45.34</v>
      </c>
      <c r="C721" s="3257">
        <f t="shared" si="125"/>
        <v>0.98</v>
      </c>
      <c r="D721" s="675"/>
      <c r="E721" s="3257">
        <f t="shared" si="126"/>
        <v>1</v>
      </c>
      <c r="F721" s="675"/>
      <c r="G721" s="3257">
        <f t="shared" si="127"/>
        <v>1</v>
      </c>
      <c r="H721" s="675"/>
      <c r="I721" s="3257">
        <f t="shared" si="128"/>
        <v>1</v>
      </c>
      <c r="J721" s="675"/>
      <c r="K721" s="3257">
        <f t="shared" si="129"/>
        <v>1</v>
      </c>
      <c r="L721" s="675"/>
      <c r="M721" s="3257">
        <f t="shared" si="130"/>
        <v>1</v>
      </c>
      <c r="N721" s="675"/>
      <c r="O721" s="3257">
        <f t="shared" si="131"/>
        <v>1</v>
      </c>
      <c r="P721" s="675"/>
      <c r="Q721" s="3257">
        <f t="shared" si="132"/>
        <v>1</v>
      </c>
      <c r="R721" s="3258">
        <f t="shared" ca="1" si="133"/>
        <v>5645</v>
      </c>
      <c r="S721" s="1070">
        <f t="shared" ca="1" si="134"/>
        <v>26</v>
      </c>
    </row>
    <row r="722" spans="1:19">
      <c r="A722" s="673" t="str">
        <f>Sheet1!E700</f>
        <v>J1-025</v>
      </c>
      <c r="B722" s="673">
        <f>Sheet1!F700</f>
        <v>36.020000000000003</v>
      </c>
      <c r="C722" s="3257">
        <f t="shared" si="125"/>
        <v>0.99</v>
      </c>
      <c r="D722" s="675"/>
      <c r="E722" s="3257">
        <f t="shared" si="126"/>
        <v>1</v>
      </c>
      <c r="F722" s="675"/>
      <c r="G722" s="3257">
        <f t="shared" si="127"/>
        <v>1</v>
      </c>
      <c r="H722" s="675"/>
      <c r="I722" s="3257">
        <f t="shared" si="128"/>
        <v>1</v>
      </c>
      <c r="J722" s="675"/>
      <c r="K722" s="3257">
        <f t="shared" si="129"/>
        <v>1</v>
      </c>
      <c r="L722" s="675"/>
      <c r="M722" s="3257">
        <f t="shared" si="130"/>
        <v>1</v>
      </c>
      <c r="N722" s="675"/>
      <c r="O722" s="3257">
        <f t="shared" si="131"/>
        <v>1</v>
      </c>
      <c r="P722" s="675"/>
      <c r="Q722" s="3257">
        <f t="shared" si="132"/>
        <v>1</v>
      </c>
      <c r="R722" s="3258">
        <f t="shared" ca="1" si="133"/>
        <v>5702</v>
      </c>
      <c r="S722" s="1070">
        <f t="shared" ca="1" si="134"/>
        <v>21</v>
      </c>
    </row>
    <row r="723" spans="1:19">
      <c r="A723" s="673" t="str">
        <f>Sheet1!E701</f>
        <v>J1-026</v>
      </c>
      <c r="B723" s="673">
        <f>Sheet1!F701</f>
        <v>36.020000000000003</v>
      </c>
      <c r="C723" s="3257">
        <f t="shared" si="125"/>
        <v>0.99</v>
      </c>
      <c r="D723" s="675"/>
      <c r="E723" s="3257">
        <f t="shared" si="126"/>
        <v>1</v>
      </c>
      <c r="F723" s="675"/>
      <c r="G723" s="3257">
        <f t="shared" si="127"/>
        <v>1</v>
      </c>
      <c r="H723" s="675"/>
      <c r="I723" s="3257">
        <f t="shared" si="128"/>
        <v>1</v>
      </c>
      <c r="J723" s="675"/>
      <c r="K723" s="3257">
        <f t="shared" si="129"/>
        <v>1</v>
      </c>
      <c r="L723" s="675"/>
      <c r="M723" s="3257">
        <f t="shared" si="130"/>
        <v>1</v>
      </c>
      <c r="N723" s="675"/>
      <c r="O723" s="3257">
        <f t="shared" si="131"/>
        <v>1</v>
      </c>
      <c r="P723" s="675"/>
      <c r="Q723" s="3257">
        <f t="shared" si="132"/>
        <v>1</v>
      </c>
      <c r="R723" s="3258">
        <f t="shared" ca="1" si="133"/>
        <v>5702</v>
      </c>
      <c r="S723" s="1070">
        <f t="shared" ca="1" si="134"/>
        <v>21</v>
      </c>
    </row>
    <row r="724" spans="1:19">
      <c r="A724" s="673" t="str">
        <f>Sheet1!E702</f>
        <v>J1-027</v>
      </c>
      <c r="B724" s="673">
        <f>Sheet1!F702</f>
        <v>36.020000000000003</v>
      </c>
      <c r="C724" s="3257">
        <f t="shared" si="125"/>
        <v>0.99</v>
      </c>
      <c r="D724" s="675"/>
      <c r="E724" s="3257">
        <f t="shared" si="126"/>
        <v>1</v>
      </c>
      <c r="F724" s="675"/>
      <c r="G724" s="3257">
        <f t="shared" si="127"/>
        <v>1</v>
      </c>
      <c r="H724" s="675"/>
      <c r="I724" s="3257">
        <f t="shared" si="128"/>
        <v>1</v>
      </c>
      <c r="J724" s="675"/>
      <c r="K724" s="3257">
        <f t="shared" si="129"/>
        <v>1</v>
      </c>
      <c r="L724" s="675"/>
      <c r="M724" s="3257">
        <f t="shared" si="130"/>
        <v>1</v>
      </c>
      <c r="N724" s="675"/>
      <c r="O724" s="3257">
        <f t="shared" si="131"/>
        <v>1</v>
      </c>
      <c r="P724" s="675"/>
      <c r="Q724" s="3257">
        <f t="shared" si="132"/>
        <v>1</v>
      </c>
      <c r="R724" s="3258">
        <f t="shared" ca="1" si="133"/>
        <v>5702</v>
      </c>
      <c r="S724" s="1070">
        <f t="shared" ca="1" si="134"/>
        <v>21</v>
      </c>
    </row>
    <row r="725" spans="1:19">
      <c r="A725" s="673" t="str">
        <f>Sheet1!E703</f>
        <v>J1-028</v>
      </c>
      <c r="B725" s="673">
        <f>Sheet1!F703</f>
        <v>36.020000000000003</v>
      </c>
      <c r="C725" s="3257">
        <f t="shared" si="125"/>
        <v>0.99</v>
      </c>
      <c r="D725" s="675"/>
      <c r="E725" s="3257">
        <f t="shared" si="126"/>
        <v>1</v>
      </c>
      <c r="F725" s="675"/>
      <c r="G725" s="3257">
        <f t="shared" si="127"/>
        <v>1</v>
      </c>
      <c r="H725" s="675"/>
      <c r="I725" s="3257">
        <f t="shared" si="128"/>
        <v>1</v>
      </c>
      <c r="J725" s="675"/>
      <c r="K725" s="3257">
        <f t="shared" si="129"/>
        <v>1</v>
      </c>
      <c r="L725" s="675"/>
      <c r="M725" s="3257">
        <f t="shared" si="130"/>
        <v>1</v>
      </c>
      <c r="N725" s="675"/>
      <c r="O725" s="3257">
        <f t="shared" si="131"/>
        <v>1</v>
      </c>
      <c r="P725" s="675"/>
      <c r="Q725" s="3257">
        <f t="shared" si="132"/>
        <v>1</v>
      </c>
      <c r="R725" s="3258">
        <f t="shared" ca="1" si="133"/>
        <v>5702</v>
      </c>
      <c r="S725" s="1070">
        <f t="shared" ca="1" si="134"/>
        <v>21</v>
      </c>
    </row>
    <row r="726" spans="1:19">
      <c r="A726" s="673" t="str">
        <f>Sheet1!E704</f>
        <v>J1-029</v>
      </c>
      <c r="B726" s="673">
        <f>Sheet1!F704</f>
        <v>36.020000000000003</v>
      </c>
      <c r="C726" s="3257">
        <f t="shared" si="125"/>
        <v>0.99</v>
      </c>
      <c r="D726" s="675"/>
      <c r="E726" s="3257">
        <f t="shared" si="126"/>
        <v>1</v>
      </c>
      <c r="F726" s="675"/>
      <c r="G726" s="3257">
        <f t="shared" si="127"/>
        <v>1</v>
      </c>
      <c r="H726" s="675"/>
      <c r="I726" s="3257">
        <f t="shared" si="128"/>
        <v>1</v>
      </c>
      <c r="J726" s="675"/>
      <c r="K726" s="3257">
        <f t="shared" si="129"/>
        <v>1</v>
      </c>
      <c r="L726" s="675"/>
      <c r="M726" s="3257">
        <f t="shared" si="130"/>
        <v>1</v>
      </c>
      <c r="N726" s="675"/>
      <c r="O726" s="3257">
        <f t="shared" si="131"/>
        <v>1</v>
      </c>
      <c r="P726" s="675"/>
      <c r="Q726" s="3257">
        <f t="shared" si="132"/>
        <v>1</v>
      </c>
      <c r="R726" s="3258">
        <f t="shared" ca="1" si="133"/>
        <v>5702</v>
      </c>
      <c r="S726" s="1070">
        <f t="shared" ca="1" si="134"/>
        <v>21</v>
      </c>
    </row>
    <row r="727" spans="1:19">
      <c r="A727" s="673" t="str">
        <f>Sheet1!E705</f>
        <v>J1-030</v>
      </c>
      <c r="B727" s="673">
        <f>Sheet1!F705</f>
        <v>36.020000000000003</v>
      </c>
      <c r="C727" s="3257">
        <f t="shared" si="125"/>
        <v>0.99</v>
      </c>
      <c r="D727" s="675"/>
      <c r="E727" s="3257">
        <f t="shared" si="126"/>
        <v>1</v>
      </c>
      <c r="F727" s="675"/>
      <c r="G727" s="3257">
        <f t="shared" si="127"/>
        <v>1</v>
      </c>
      <c r="H727" s="675"/>
      <c r="I727" s="3257">
        <f t="shared" si="128"/>
        <v>1</v>
      </c>
      <c r="J727" s="675"/>
      <c r="K727" s="3257">
        <f t="shared" si="129"/>
        <v>1</v>
      </c>
      <c r="L727" s="675"/>
      <c r="M727" s="3257">
        <f t="shared" si="130"/>
        <v>1</v>
      </c>
      <c r="N727" s="675"/>
      <c r="O727" s="3257">
        <f t="shared" si="131"/>
        <v>1</v>
      </c>
      <c r="P727" s="675"/>
      <c r="Q727" s="3257">
        <f t="shared" si="132"/>
        <v>1</v>
      </c>
      <c r="R727" s="3258">
        <f t="shared" ca="1" si="133"/>
        <v>5702</v>
      </c>
      <c r="S727" s="1070">
        <f t="shared" ca="1" si="134"/>
        <v>21</v>
      </c>
    </row>
    <row r="728" spans="1:19">
      <c r="A728" s="673" t="str">
        <f>Sheet1!E706</f>
        <v>J1-031</v>
      </c>
      <c r="B728" s="673">
        <f>Sheet1!F706</f>
        <v>36.020000000000003</v>
      </c>
      <c r="C728" s="3257">
        <f t="shared" si="125"/>
        <v>0.99</v>
      </c>
      <c r="D728" s="675"/>
      <c r="E728" s="3257">
        <f t="shared" si="126"/>
        <v>1</v>
      </c>
      <c r="F728" s="675"/>
      <c r="G728" s="3257">
        <f t="shared" si="127"/>
        <v>1</v>
      </c>
      <c r="H728" s="675"/>
      <c r="I728" s="3257">
        <f t="shared" si="128"/>
        <v>1</v>
      </c>
      <c r="J728" s="675"/>
      <c r="K728" s="3257">
        <f t="shared" si="129"/>
        <v>1</v>
      </c>
      <c r="L728" s="675"/>
      <c r="M728" s="3257">
        <f t="shared" si="130"/>
        <v>1</v>
      </c>
      <c r="N728" s="675"/>
      <c r="O728" s="3257">
        <f t="shared" si="131"/>
        <v>1</v>
      </c>
      <c r="P728" s="675"/>
      <c r="Q728" s="3257">
        <f t="shared" si="132"/>
        <v>1</v>
      </c>
      <c r="R728" s="3258">
        <f t="shared" ca="1" si="133"/>
        <v>5702</v>
      </c>
      <c r="S728" s="1070">
        <f t="shared" ca="1" si="134"/>
        <v>21</v>
      </c>
    </row>
    <row r="729" spans="1:19">
      <c r="A729" s="673" t="str">
        <f>Sheet1!E707</f>
        <v>J1-032</v>
      </c>
      <c r="B729" s="673">
        <f>Sheet1!F707</f>
        <v>36.020000000000003</v>
      </c>
      <c r="C729" s="3257">
        <f t="shared" si="125"/>
        <v>0.99</v>
      </c>
      <c r="D729" s="675"/>
      <c r="E729" s="3257">
        <f t="shared" si="126"/>
        <v>1</v>
      </c>
      <c r="F729" s="675"/>
      <c r="G729" s="3257">
        <f t="shared" si="127"/>
        <v>1</v>
      </c>
      <c r="H729" s="675"/>
      <c r="I729" s="3257">
        <f t="shared" si="128"/>
        <v>1</v>
      </c>
      <c r="J729" s="675"/>
      <c r="K729" s="3257">
        <f t="shared" si="129"/>
        <v>1</v>
      </c>
      <c r="L729" s="675"/>
      <c r="M729" s="3257">
        <f t="shared" si="130"/>
        <v>1</v>
      </c>
      <c r="N729" s="675"/>
      <c r="O729" s="3257">
        <f t="shared" si="131"/>
        <v>1</v>
      </c>
      <c r="P729" s="675"/>
      <c r="Q729" s="3257">
        <f t="shared" si="132"/>
        <v>1</v>
      </c>
      <c r="R729" s="3258">
        <f t="shared" ca="1" si="133"/>
        <v>5702</v>
      </c>
      <c r="S729" s="1070">
        <f t="shared" ca="1" si="134"/>
        <v>21</v>
      </c>
    </row>
    <row r="730" spans="1:19">
      <c r="A730" s="673" t="str">
        <f>Sheet1!E708</f>
        <v>J1-033</v>
      </c>
      <c r="B730" s="673">
        <f>Sheet1!F708</f>
        <v>36.020000000000003</v>
      </c>
      <c r="C730" s="3257">
        <f t="shared" si="125"/>
        <v>0.99</v>
      </c>
      <c r="D730" s="675"/>
      <c r="E730" s="3257">
        <f t="shared" si="126"/>
        <v>1</v>
      </c>
      <c r="F730" s="675"/>
      <c r="G730" s="3257">
        <f t="shared" si="127"/>
        <v>1</v>
      </c>
      <c r="H730" s="675"/>
      <c r="I730" s="3257">
        <f t="shared" si="128"/>
        <v>1</v>
      </c>
      <c r="J730" s="675"/>
      <c r="K730" s="3257">
        <f t="shared" si="129"/>
        <v>1</v>
      </c>
      <c r="L730" s="675"/>
      <c r="M730" s="3257">
        <f t="shared" si="130"/>
        <v>1</v>
      </c>
      <c r="N730" s="675"/>
      <c r="O730" s="3257">
        <f t="shared" si="131"/>
        <v>1</v>
      </c>
      <c r="P730" s="675"/>
      <c r="Q730" s="3257">
        <f t="shared" si="132"/>
        <v>1</v>
      </c>
      <c r="R730" s="3258">
        <f t="shared" ca="1" si="133"/>
        <v>5702</v>
      </c>
      <c r="S730" s="1070">
        <f t="shared" ca="1" si="134"/>
        <v>21</v>
      </c>
    </row>
    <row r="731" spans="1:19">
      <c r="A731" s="673" t="str">
        <f>Sheet1!E709</f>
        <v>J1-034</v>
      </c>
      <c r="B731" s="673">
        <f>Sheet1!F709</f>
        <v>36.020000000000003</v>
      </c>
      <c r="C731" s="3257">
        <f t="shared" si="125"/>
        <v>0.99</v>
      </c>
      <c r="D731" s="675"/>
      <c r="E731" s="3257">
        <f t="shared" si="126"/>
        <v>1</v>
      </c>
      <c r="F731" s="675"/>
      <c r="G731" s="3257">
        <f t="shared" si="127"/>
        <v>1</v>
      </c>
      <c r="H731" s="675"/>
      <c r="I731" s="3257">
        <f t="shared" si="128"/>
        <v>1</v>
      </c>
      <c r="J731" s="675"/>
      <c r="K731" s="3257">
        <f t="shared" si="129"/>
        <v>1</v>
      </c>
      <c r="L731" s="675"/>
      <c r="M731" s="3257">
        <f t="shared" si="130"/>
        <v>1</v>
      </c>
      <c r="N731" s="675"/>
      <c r="O731" s="3257">
        <f t="shared" si="131"/>
        <v>1</v>
      </c>
      <c r="P731" s="675"/>
      <c r="Q731" s="3257">
        <f t="shared" si="132"/>
        <v>1</v>
      </c>
      <c r="R731" s="3258">
        <f t="shared" ca="1" si="133"/>
        <v>5702</v>
      </c>
      <c r="S731" s="1070">
        <f t="shared" ca="1" si="134"/>
        <v>21</v>
      </c>
    </row>
    <row r="732" spans="1:19">
      <c r="A732" s="673" t="str">
        <f>Sheet1!E710</f>
        <v>J1-035</v>
      </c>
      <c r="B732" s="673">
        <f>Sheet1!F710</f>
        <v>36.020000000000003</v>
      </c>
      <c r="C732" s="3257">
        <f t="shared" si="125"/>
        <v>0.99</v>
      </c>
      <c r="D732" s="675"/>
      <c r="E732" s="3257">
        <f t="shared" si="126"/>
        <v>1</v>
      </c>
      <c r="F732" s="675"/>
      <c r="G732" s="3257">
        <f t="shared" si="127"/>
        <v>1</v>
      </c>
      <c r="H732" s="675"/>
      <c r="I732" s="3257">
        <f t="shared" si="128"/>
        <v>1</v>
      </c>
      <c r="J732" s="675"/>
      <c r="K732" s="3257">
        <f t="shared" si="129"/>
        <v>1</v>
      </c>
      <c r="L732" s="675"/>
      <c r="M732" s="3257">
        <f t="shared" si="130"/>
        <v>1</v>
      </c>
      <c r="N732" s="675"/>
      <c r="O732" s="3257">
        <f t="shared" si="131"/>
        <v>1</v>
      </c>
      <c r="P732" s="675"/>
      <c r="Q732" s="3257">
        <f t="shared" si="132"/>
        <v>1</v>
      </c>
      <c r="R732" s="3258">
        <f t="shared" ca="1" si="133"/>
        <v>5702</v>
      </c>
      <c r="S732" s="1070">
        <f t="shared" ca="1" si="134"/>
        <v>21</v>
      </c>
    </row>
    <row r="733" spans="1:19">
      <c r="A733" s="673" t="str">
        <f>Sheet1!E711</f>
        <v>J1-036</v>
      </c>
      <c r="B733" s="673">
        <f>Sheet1!F711</f>
        <v>36.020000000000003</v>
      </c>
      <c r="C733" s="3257">
        <f t="shared" si="125"/>
        <v>0.99</v>
      </c>
      <c r="D733" s="675"/>
      <c r="E733" s="3257">
        <f t="shared" si="126"/>
        <v>1</v>
      </c>
      <c r="F733" s="675"/>
      <c r="G733" s="3257">
        <f t="shared" si="127"/>
        <v>1</v>
      </c>
      <c r="H733" s="675"/>
      <c r="I733" s="3257">
        <f t="shared" si="128"/>
        <v>1</v>
      </c>
      <c r="J733" s="675"/>
      <c r="K733" s="3257">
        <f t="shared" si="129"/>
        <v>1</v>
      </c>
      <c r="L733" s="675"/>
      <c r="M733" s="3257">
        <f t="shared" si="130"/>
        <v>1</v>
      </c>
      <c r="N733" s="675"/>
      <c r="O733" s="3257">
        <f t="shared" si="131"/>
        <v>1</v>
      </c>
      <c r="P733" s="675"/>
      <c r="Q733" s="3257">
        <f t="shared" si="132"/>
        <v>1</v>
      </c>
      <c r="R733" s="3258">
        <f t="shared" ca="1" si="133"/>
        <v>5702</v>
      </c>
      <c r="S733" s="1070">
        <f t="shared" ca="1" si="134"/>
        <v>21</v>
      </c>
    </row>
    <row r="734" spans="1:19">
      <c r="A734" s="673" t="str">
        <f>Sheet1!E712</f>
        <v>J1-037</v>
      </c>
      <c r="B734" s="673">
        <f>Sheet1!F712</f>
        <v>39.090000000000003</v>
      </c>
      <c r="C734" s="3257">
        <f t="shared" si="125"/>
        <v>0.99</v>
      </c>
      <c r="D734" s="675"/>
      <c r="E734" s="3257">
        <f t="shared" si="126"/>
        <v>1</v>
      </c>
      <c r="F734" s="675"/>
      <c r="G734" s="3257">
        <f t="shared" si="127"/>
        <v>1</v>
      </c>
      <c r="H734" s="675"/>
      <c r="I734" s="3257">
        <f t="shared" si="128"/>
        <v>1</v>
      </c>
      <c r="J734" s="675"/>
      <c r="K734" s="3257">
        <f t="shared" si="129"/>
        <v>1</v>
      </c>
      <c r="L734" s="675"/>
      <c r="M734" s="3257">
        <f t="shared" si="130"/>
        <v>1</v>
      </c>
      <c r="N734" s="675"/>
      <c r="O734" s="3257">
        <f t="shared" si="131"/>
        <v>1</v>
      </c>
      <c r="P734" s="675"/>
      <c r="Q734" s="3257">
        <f t="shared" si="132"/>
        <v>1</v>
      </c>
      <c r="R734" s="3258">
        <f t="shared" ca="1" si="133"/>
        <v>5702</v>
      </c>
      <c r="S734" s="1070">
        <f t="shared" ca="1" si="134"/>
        <v>22</v>
      </c>
    </row>
    <row r="735" spans="1:19">
      <c r="A735" s="673" t="str">
        <f>Sheet1!E713</f>
        <v>J1-038</v>
      </c>
      <c r="B735" s="673">
        <f>Sheet1!F713</f>
        <v>39.090000000000003</v>
      </c>
      <c r="C735" s="3257">
        <f t="shared" si="125"/>
        <v>0.99</v>
      </c>
      <c r="D735" s="675"/>
      <c r="E735" s="3257">
        <f t="shared" si="126"/>
        <v>1</v>
      </c>
      <c r="F735" s="675"/>
      <c r="G735" s="3257">
        <f t="shared" si="127"/>
        <v>1</v>
      </c>
      <c r="H735" s="675"/>
      <c r="I735" s="3257">
        <f t="shared" si="128"/>
        <v>1</v>
      </c>
      <c r="J735" s="675"/>
      <c r="K735" s="3257">
        <f t="shared" si="129"/>
        <v>1</v>
      </c>
      <c r="L735" s="675"/>
      <c r="M735" s="3257">
        <f t="shared" si="130"/>
        <v>1</v>
      </c>
      <c r="N735" s="675"/>
      <c r="O735" s="3257">
        <f t="shared" si="131"/>
        <v>1</v>
      </c>
      <c r="P735" s="675"/>
      <c r="Q735" s="3257">
        <f t="shared" si="132"/>
        <v>1</v>
      </c>
      <c r="R735" s="3258">
        <f t="shared" ca="1" si="133"/>
        <v>5702</v>
      </c>
      <c r="S735" s="1070">
        <f t="shared" ca="1" si="134"/>
        <v>22</v>
      </c>
    </row>
    <row r="736" spans="1:19">
      <c r="A736" s="673" t="str">
        <f>Sheet1!E714</f>
        <v>J1-039</v>
      </c>
      <c r="B736" s="673">
        <f>Sheet1!F714</f>
        <v>39.090000000000003</v>
      </c>
      <c r="C736" s="3257">
        <f t="shared" si="125"/>
        <v>0.99</v>
      </c>
      <c r="D736" s="675"/>
      <c r="E736" s="3257">
        <f t="shared" si="126"/>
        <v>1</v>
      </c>
      <c r="F736" s="675"/>
      <c r="G736" s="3257">
        <f t="shared" si="127"/>
        <v>1</v>
      </c>
      <c r="H736" s="675"/>
      <c r="I736" s="3257">
        <f t="shared" si="128"/>
        <v>1</v>
      </c>
      <c r="J736" s="675"/>
      <c r="K736" s="3257">
        <f t="shared" si="129"/>
        <v>1</v>
      </c>
      <c r="L736" s="675"/>
      <c r="M736" s="3257">
        <f t="shared" si="130"/>
        <v>1</v>
      </c>
      <c r="N736" s="675"/>
      <c r="O736" s="3257">
        <f t="shared" si="131"/>
        <v>1</v>
      </c>
      <c r="P736" s="675"/>
      <c r="Q736" s="3257">
        <f t="shared" si="132"/>
        <v>1</v>
      </c>
      <c r="R736" s="3258">
        <f t="shared" ca="1" si="133"/>
        <v>5702</v>
      </c>
      <c r="S736" s="1070">
        <f t="shared" ca="1" si="134"/>
        <v>22</v>
      </c>
    </row>
    <row r="737" spans="1:19">
      <c r="A737" s="673" t="str">
        <f>Sheet1!E715</f>
        <v>J1-041</v>
      </c>
      <c r="B737" s="673">
        <f>Sheet1!F715</f>
        <v>36.020000000000003</v>
      </c>
      <c r="C737" s="3257">
        <f t="shared" si="125"/>
        <v>0.99</v>
      </c>
      <c r="D737" s="675"/>
      <c r="E737" s="3257">
        <f t="shared" si="126"/>
        <v>1</v>
      </c>
      <c r="F737" s="675"/>
      <c r="G737" s="3257">
        <f t="shared" si="127"/>
        <v>1</v>
      </c>
      <c r="H737" s="675"/>
      <c r="I737" s="3257">
        <f t="shared" si="128"/>
        <v>1</v>
      </c>
      <c r="J737" s="675"/>
      <c r="K737" s="3257">
        <f t="shared" si="129"/>
        <v>1</v>
      </c>
      <c r="L737" s="675"/>
      <c r="M737" s="3257">
        <f t="shared" si="130"/>
        <v>1</v>
      </c>
      <c r="N737" s="675"/>
      <c r="O737" s="3257">
        <f t="shared" si="131"/>
        <v>1</v>
      </c>
      <c r="P737" s="675"/>
      <c r="Q737" s="3257">
        <f t="shared" si="132"/>
        <v>1</v>
      </c>
      <c r="R737" s="3258">
        <f t="shared" ca="1" si="133"/>
        <v>5702</v>
      </c>
      <c r="S737" s="1070">
        <f t="shared" ca="1" si="134"/>
        <v>21</v>
      </c>
    </row>
    <row r="738" spans="1:19">
      <c r="A738" s="673" t="str">
        <f>Sheet1!E716</f>
        <v>J1-042</v>
      </c>
      <c r="B738" s="673">
        <f>Sheet1!F716</f>
        <v>36.020000000000003</v>
      </c>
      <c r="C738" s="3257">
        <f t="shared" si="125"/>
        <v>0.99</v>
      </c>
      <c r="D738" s="675"/>
      <c r="E738" s="3257">
        <f t="shared" si="126"/>
        <v>1</v>
      </c>
      <c r="F738" s="675"/>
      <c r="G738" s="3257">
        <f t="shared" si="127"/>
        <v>1</v>
      </c>
      <c r="H738" s="675"/>
      <c r="I738" s="3257">
        <f t="shared" si="128"/>
        <v>1</v>
      </c>
      <c r="J738" s="675"/>
      <c r="K738" s="3257">
        <f t="shared" si="129"/>
        <v>1</v>
      </c>
      <c r="L738" s="675"/>
      <c r="M738" s="3257">
        <f t="shared" si="130"/>
        <v>1</v>
      </c>
      <c r="N738" s="675"/>
      <c r="O738" s="3257">
        <f t="shared" si="131"/>
        <v>1</v>
      </c>
      <c r="P738" s="675"/>
      <c r="Q738" s="3257">
        <f t="shared" si="132"/>
        <v>1</v>
      </c>
      <c r="R738" s="3258">
        <f t="shared" ca="1" si="133"/>
        <v>5702</v>
      </c>
      <c r="S738" s="1070">
        <f t="shared" ca="1" si="134"/>
        <v>21</v>
      </c>
    </row>
    <row r="739" spans="1:19">
      <c r="A739" s="673" t="str">
        <f>Sheet1!E717</f>
        <v>J1-043</v>
      </c>
      <c r="B739" s="673">
        <f>Sheet1!F717</f>
        <v>36.020000000000003</v>
      </c>
      <c r="C739" s="3257">
        <f t="shared" si="125"/>
        <v>0.99</v>
      </c>
      <c r="D739" s="675"/>
      <c r="E739" s="3257">
        <f t="shared" si="126"/>
        <v>1</v>
      </c>
      <c r="F739" s="675"/>
      <c r="G739" s="3257">
        <f t="shared" si="127"/>
        <v>1</v>
      </c>
      <c r="H739" s="675"/>
      <c r="I739" s="3257">
        <f t="shared" si="128"/>
        <v>1</v>
      </c>
      <c r="J739" s="675"/>
      <c r="K739" s="3257">
        <f t="shared" si="129"/>
        <v>1</v>
      </c>
      <c r="L739" s="675"/>
      <c r="M739" s="3257">
        <f t="shared" si="130"/>
        <v>1</v>
      </c>
      <c r="N739" s="675"/>
      <c r="O739" s="3257">
        <f t="shared" si="131"/>
        <v>1</v>
      </c>
      <c r="P739" s="675"/>
      <c r="Q739" s="3257">
        <f t="shared" si="132"/>
        <v>1</v>
      </c>
      <c r="R739" s="3258">
        <f t="shared" ca="1" si="133"/>
        <v>5702</v>
      </c>
      <c r="S739" s="1070">
        <f t="shared" ca="1" si="134"/>
        <v>21</v>
      </c>
    </row>
    <row r="740" spans="1:19">
      <c r="A740" s="673" t="str">
        <f>Sheet1!E718</f>
        <v>J1-046</v>
      </c>
      <c r="B740" s="673">
        <f>Sheet1!F718</f>
        <v>39.090000000000003</v>
      </c>
      <c r="C740" s="3257">
        <f t="shared" si="125"/>
        <v>0.99</v>
      </c>
      <c r="D740" s="675"/>
      <c r="E740" s="3257">
        <f t="shared" si="126"/>
        <v>1</v>
      </c>
      <c r="F740" s="675"/>
      <c r="G740" s="3257">
        <f t="shared" si="127"/>
        <v>1</v>
      </c>
      <c r="H740" s="675"/>
      <c r="I740" s="3257">
        <f t="shared" si="128"/>
        <v>1</v>
      </c>
      <c r="J740" s="675"/>
      <c r="K740" s="3257">
        <f t="shared" si="129"/>
        <v>1</v>
      </c>
      <c r="L740" s="675"/>
      <c r="M740" s="3257">
        <f t="shared" si="130"/>
        <v>1</v>
      </c>
      <c r="N740" s="675"/>
      <c r="O740" s="3257">
        <f t="shared" si="131"/>
        <v>1</v>
      </c>
      <c r="P740" s="675"/>
      <c r="Q740" s="3257">
        <f t="shared" si="132"/>
        <v>1</v>
      </c>
      <c r="R740" s="3258">
        <f t="shared" ca="1" si="133"/>
        <v>5702</v>
      </c>
      <c r="S740" s="1070">
        <f t="shared" ca="1" si="134"/>
        <v>22</v>
      </c>
    </row>
    <row r="741" spans="1:19">
      <c r="A741" s="673" t="str">
        <f>Sheet1!E719</f>
        <v>J1-047</v>
      </c>
      <c r="B741" s="673">
        <f>Sheet1!F719</f>
        <v>39.090000000000003</v>
      </c>
      <c r="C741" s="3257">
        <f t="shared" si="125"/>
        <v>0.99</v>
      </c>
      <c r="D741" s="675"/>
      <c r="E741" s="3257">
        <f t="shared" si="126"/>
        <v>1</v>
      </c>
      <c r="F741" s="675"/>
      <c r="G741" s="3257">
        <f t="shared" si="127"/>
        <v>1</v>
      </c>
      <c r="H741" s="675"/>
      <c r="I741" s="3257">
        <f t="shared" si="128"/>
        <v>1</v>
      </c>
      <c r="J741" s="675"/>
      <c r="K741" s="3257">
        <f t="shared" si="129"/>
        <v>1</v>
      </c>
      <c r="L741" s="675"/>
      <c r="M741" s="3257">
        <f t="shared" si="130"/>
        <v>1</v>
      </c>
      <c r="N741" s="675"/>
      <c r="O741" s="3257">
        <f t="shared" si="131"/>
        <v>1</v>
      </c>
      <c r="P741" s="675"/>
      <c r="Q741" s="3257">
        <f t="shared" si="132"/>
        <v>1</v>
      </c>
      <c r="R741" s="3258">
        <f t="shared" ca="1" si="133"/>
        <v>5702</v>
      </c>
      <c r="S741" s="1070">
        <f t="shared" ca="1" si="134"/>
        <v>22</v>
      </c>
    </row>
    <row r="742" spans="1:19">
      <c r="A742" s="673" t="str">
        <f>Sheet1!E720</f>
        <v>J1-048</v>
      </c>
      <c r="B742" s="673">
        <f>Sheet1!F720</f>
        <v>39.090000000000003</v>
      </c>
      <c r="C742" s="3257">
        <f t="shared" si="125"/>
        <v>0.99</v>
      </c>
      <c r="D742" s="675"/>
      <c r="E742" s="3257">
        <f t="shared" si="126"/>
        <v>1</v>
      </c>
      <c r="F742" s="675"/>
      <c r="G742" s="3257">
        <f t="shared" si="127"/>
        <v>1</v>
      </c>
      <c r="H742" s="675"/>
      <c r="I742" s="3257">
        <f t="shared" si="128"/>
        <v>1</v>
      </c>
      <c r="J742" s="675"/>
      <c r="K742" s="3257">
        <f t="shared" si="129"/>
        <v>1</v>
      </c>
      <c r="L742" s="675"/>
      <c r="M742" s="3257">
        <f t="shared" si="130"/>
        <v>1</v>
      </c>
      <c r="N742" s="675"/>
      <c r="O742" s="3257">
        <f t="shared" si="131"/>
        <v>1</v>
      </c>
      <c r="P742" s="675"/>
      <c r="Q742" s="3257">
        <f t="shared" si="132"/>
        <v>1</v>
      </c>
      <c r="R742" s="3258">
        <f t="shared" ca="1" si="133"/>
        <v>5702</v>
      </c>
      <c r="S742" s="1070">
        <f t="shared" ca="1" si="134"/>
        <v>22</v>
      </c>
    </row>
    <row r="743" spans="1:19">
      <c r="A743" s="673" t="str">
        <f>Sheet1!E721</f>
        <v>J1-059</v>
      </c>
      <c r="B743" s="673">
        <f>Sheet1!F721</f>
        <v>39.090000000000003</v>
      </c>
      <c r="C743" s="3257">
        <f t="shared" si="125"/>
        <v>0.99</v>
      </c>
      <c r="D743" s="675"/>
      <c r="E743" s="3257">
        <f t="shared" si="126"/>
        <v>1</v>
      </c>
      <c r="F743" s="675"/>
      <c r="G743" s="3257">
        <f t="shared" si="127"/>
        <v>1</v>
      </c>
      <c r="H743" s="675"/>
      <c r="I743" s="3257">
        <f t="shared" si="128"/>
        <v>1</v>
      </c>
      <c r="J743" s="675"/>
      <c r="K743" s="3257">
        <f t="shared" si="129"/>
        <v>1</v>
      </c>
      <c r="L743" s="675"/>
      <c r="M743" s="3257">
        <f t="shared" si="130"/>
        <v>1</v>
      </c>
      <c r="N743" s="675"/>
      <c r="O743" s="3257">
        <f t="shared" si="131"/>
        <v>1</v>
      </c>
      <c r="P743" s="675"/>
      <c r="Q743" s="3257">
        <f t="shared" si="132"/>
        <v>1</v>
      </c>
      <c r="R743" s="3258">
        <f t="shared" ca="1" si="133"/>
        <v>5702</v>
      </c>
      <c r="S743" s="1070">
        <f t="shared" ca="1" si="134"/>
        <v>22</v>
      </c>
    </row>
    <row r="744" spans="1:19">
      <c r="A744" s="673" t="str">
        <f>Sheet1!E722</f>
        <v>J1-060</v>
      </c>
      <c r="B744" s="673">
        <f>Sheet1!F722</f>
        <v>39.090000000000003</v>
      </c>
      <c r="C744" s="3257">
        <f t="shared" si="125"/>
        <v>0.99</v>
      </c>
      <c r="D744" s="675"/>
      <c r="E744" s="3257">
        <f t="shared" si="126"/>
        <v>1</v>
      </c>
      <c r="F744" s="675"/>
      <c r="G744" s="3257">
        <f t="shared" si="127"/>
        <v>1</v>
      </c>
      <c r="H744" s="675"/>
      <c r="I744" s="3257">
        <f t="shared" si="128"/>
        <v>1</v>
      </c>
      <c r="J744" s="675"/>
      <c r="K744" s="3257">
        <f t="shared" si="129"/>
        <v>1</v>
      </c>
      <c r="L744" s="675"/>
      <c r="M744" s="3257">
        <f t="shared" si="130"/>
        <v>1</v>
      </c>
      <c r="N744" s="675"/>
      <c r="O744" s="3257">
        <f t="shared" si="131"/>
        <v>1</v>
      </c>
      <c r="P744" s="675"/>
      <c r="Q744" s="3257">
        <f t="shared" si="132"/>
        <v>1</v>
      </c>
      <c r="R744" s="3258">
        <f t="shared" ca="1" si="133"/>
        <v>5702</v>
      </c>
      <c r="S744" s="1070">
        <f t="shared" ca="1" si="134"/>
        <v>22</v>
      </c>
    </row>
    <row r="745" spans="1:19">
      <c r="A745" s="673" t="str">
        <f>Sheet1!E723</f>
        <v>J1-061</v>
      </c>
      <c r="B745" s="673">
        <f>Sheet1!F723</f>
        <v>36.74</v>
      </c>
      <c r="C745" s="3257">
        <f t="shared" si="125"/>
        <v>0.99</v>
      </c>
      <c r="D745" s="675"/>
      <c r="E745" s="3257">
        <f t="shared" si="126"/>
        <v>1</v>
      </c>
      <c r="F745" s="675"/>
      <c r="G745" s="3257">
        <f t="shared" si="127"/>
        <v>1</v>
      </c>
      <c r="H745" s="675"/>
      <c r="I745" s="3257">
        <f t="shared" si="128"/>
        <v>1</v>
      </c>
      <c r="J745" s="675"/>
      <c r="K745" s="3257">
        <f t="shared" si="129"/>
        <v>1</v>
      </c>
      <c r="L745" s="675"/>
      <c r="M745" s="3257">
        <f t="shared" si="130"/>
        <v>1</v>
      </c>
      <c r="N745" s="675"/>
      <c r="O745" s="3257">
        <f t="shared" si="131"/>
        <v>1</v>
      </c>
      <c r="P745" s="675"/>
      <c r="Q745" s="3257">
        <f t="shared" si="132"/>
        <v>1</v>
      </c>
      <c r="R745" s="3258">
        <f t="shared" ca="1" si="133"/>
        <v>5702</v>
      </c>
      <c r="S745" s="1070">
        <f t="shared" ca="1" si="134"/>
        <v>21</v>
      </c>
    </row>
    <row r="746" spans="1:19">
      <c r="A746" s="673" t="str">
        <f>Sheet1!E724</f>
        <v>J1-063</v>
      </c>
      <c r="B746" s="673">
        <f>Sheet1!F724</f>
        <v>36.74</v>
      </c>
      <c r="C746" s="3257">
        <f t="shared" si="125"/>
        <v>0.99</v>
      </c>
      <c r="D746" s="675"/>
      <c r="E746" s="3257">
        <f t="shared" si="126"/>
        <v>1</v>
      </c>
      <c r="F746" s="675"/>
      <c r="G746" s="3257">
        <f t="shared" si="127"/>
        <v>1</v>
      </c>
      <c r="H746" s="675"/>
      <c r="I746" s="3257">
        <f t="shared" si="128"/>
        <v>1</v>
      </c>
      <c r="J746" s="675"/>
      <c r="K746" s="3257">
        <f t="shared" si="129"/>
        <v>1</v>
      </c>
      <c r="L746" s="675"/>
      <c r="M746" s="3257">
        <f t="shared" si="130"/>
        <v>1</v>
      </c>
      <c r="N746" s="675"/>
      <c r="O746" s="3257">
        <f t="shared" si="131"/>
        <v>1</v>
      </c>
      <c r="P746" s="675"/>
      <c r="Q746" s="3257">
        <f t="shared" si="132"/>
        <v>1</v>
      </c>
      <c r="R746" s="3258">
        <f t="shared" ca="1" si="133"/>
        <v>5702</v>
      </c>
      <c r="S746" s="1070">
        <f t="shared" ca="1" si="134"/>
        <v>21</v>
      </c>
    </row>
    <row r="747" spans="1:19">
      <c r="A747" s="673" t="str">
        <f>Sheet1!E725</f>
        <v>J1-064</v>
      </c>
      <c r="B747" s="673">
        <f>Sheet1!F725</f>
        <v>36.74</v>
      </c>
      <c r="C747" s="3257">
        <f t="shared" si="125"/>
        <v>0.99</v>
      </c>
      <c r="D747" s="675"/>
      <c r="E747" s="3257">
        <f t="shared" si="126"/>
        <v>1</v>
      </c>
      <c r="F747" s="675"/>
      <c r="G747" s="3257">
        <f t="shared" si="127"/>
        <v>1</v>
      </c>
      <c r="H747" s="675"/>
      <c r="I747" s="3257">
        <f t="shared" si="128"/>
        <v>1</v>
      </c>
      <c r="J747" s="675"/>
      <c r="K747" s="3257">
        <f t="shared" si="129"/>
        <v>1</v>
      </c>
      <c r="L747" s="675"/>
      <c r="M747" s="3257">
        <f t="shared" si="130"/>
        <v>1</v>
      </c>
      <c r="N747" s="675"/>
      <c r="O747" s="3257">
        <f t="shared" si="131"/>
        <v>1</v>
      </c>
      <c r="P747" s="675"/>
      <c r="Q747" s="3257">
        <f t="shared" si="132"/>
        <v>1</v>
      </c>
      <c r="R747" s="3258">
        <f t="shared" ca="1" si="133"/>
        <v>5702</v>
      </c>
      <c r="S747" s="1070">
        <f t="shared" ca="1" si="134"/>
        <v>21</v>
      </c>
    </row>
    <row r="748" spans="1:19">
      <c r="A748" s="673" t="str">
        <f>Sheet1!E726</f>
        <v>J1-065</v>
      </c>
      <c r="B748" s="673">
        <f>Sheet1!F726</f>
        <v>36.74</v>
      </c>
      <c r="C748" s="3257">
        <f t="shared" si="125"/>
        <v>0.99</v>
      </c>
      <c r="D748" s="675"/>
      <c r="E748" s="3257">
        <f t="shared" si="126"/>
        <v>1</v>
      </c>
      <c r="F748" s="675"/>
      <c r="G748" s="3257">
        <f t="shared" si="127"/>
        <v>1</v>
      </c>
      <c r="H748" s="675"/>
      <c r="I748" s="3257">
        <f t="shared" si="128"/>
        <v>1</v>
      </c>
      <c r="J748" s="675"/>
      <c r="K748" s="3257">
        <f t="shared" si="129"/>
        <v>1</v>
      </c>
      <c r="L748" s="675"/>
      <c r="M748" s="3257">
        <f t="shared" si="130"/>
        <v>1</v>
      </c>
      <c r="N748" s="675"/>
      <c r="O748" s="3257">
        <f t="shared" si="131"/>
        <v>1</v>
      </c>
      <c r="P748" s="675"/>
      <c r="Q748" s="3257">
        <f t="shared" si="132"/>
        <v>1</v>
      </c>
      <c r="R748" s="3258">
        <f t="shared" ca="1" si="133"/>
        <v>5702</v>
      </c>
      <c r="S748" s="1070">
        <f t="shared" ca="1" si="134"/>
        <v>21</v>
      </c>
    </row>
    <row r="749" spans="1:19">
      <c r="A749" s="673" t="str">
        <f>Sheet1!E727</f>
        <v>J1-067</v>
      </c>
      <c r="B749" s="673">
        <f>Sheet1!F727</f>
        <v>36.74</v>
      </c>
      <c r="C749" s="3257">
        <f t="shared" si="125"/>
        <v>0.99</v>
      </c>
      <c r="D749" s="675"/>
      <c r="E749" s="3257">
        <f t="shared" si="126"/>
        <v>1</v>
      </c>
      <c r="F749" s="675"/>
      <c r="G749" s="3257">
        <f t="shared" si="127"/>
        <v>1</v>
      </c>
      <c r="H749" s="675"/>
      <c r="I749" s="3257">
        <f t="shared" si="128"/>
        <v>1</v>
      </c>
      <c r="J749" s="675"/>
      <c r="K749" s="3257">
        <f t="shared" si="129"/>
        <v>1</v>
      </c>
      <c r="L749" s="675"/>
      <c r="M749" s="3257">
        <f t="shared" si="130"/>
        <v>1</v>
      </c>
      <c r="N749" s="675"/>
      <c r="O749" s="3257">
        <f t="shared" si="131"/>
        <v>1</v>
      </c>
      <c r="P749" s="675"/>
      <c r="Q749" s="3257">
        <f t="shared" si="132"/>
        <v>1</v>
      </c>
      <c r="R749" s="3258">
        <f t="shared" ca="1" si="133"/>
        <v>5702</v>
      </c>
      <c r="S749" s="1070">
        <f t="shared" ca="1" si="134"/>
        <v>21</v>
      </c>
    </row>
    <row r="750" spans="1:19">
      <c r="A750" s="673" t="str">
        <f>Sheet1!E728</f>
        <v>J1-073</v>
      </c>
      <c r="B750" s="673">
        <f>Sheet1!F728</f>
        <v>37.520000000000003</v>
      </c>
      <c r="C750" s="3257">
        <f t="shared" si="125"/>
        <v>0.99</v>
      </c>
      <c r="D750" s="675"/>
      <c r="E750" s="3257">
        <f t="shared" si="126"/>
        <v>1</v>
      </c>
      <c r="F750" s="675"/>
      <c r="G750" s="3257">
        <f t="shared" si="127"/>
        <v>1</v>
      </c>
      <c r="H750" s="675"/>
      <c r="I750" s="3257">
        <f t="shared" si="128"/>
        <v>1</v>
      </c>
      <c r="J750" s="675"/>
      <c r="K750" s="3257">
        <f t="shared" si="129"/>
        <v>1</v>
      </c>
      <c r="L750" s="675"/>
      <c r="M750" s="3257">
        <f t="shared" si="130"/>
        <v>1</v>
      </c>
      <c r="N750" s="675"/>
      <c r="O750" s="3257">
        <f t="shared" si="131"/>
        <v>1</v>
      </c>
      <c r="P750" s="675"/>
      <c r="Q750" s="3257">
        <f t="shared" si="132"/>
        <v>1</v>
      </c>
      <c r="R750" s="3258">
        <f t="shared" ca="1" si="133"/>
        <v>5702</v>
      </c>
      <c r="S750" s="1070">
        <f t="shared" ca="1" si="134"/>
        <v>21</v>
      </c>
    </row>
    <row r="751" spans="1:19">
      <c r="A751" s="673" t="str">
        <f>Sheet1!E729</f>
        <v>J1-074</v>
      </c>
      <c r="B751" s="673">
        <f>Sheet1!F729</f>
        <v>37.520000000000003</v>
      </c>
      <c r="C751" s="3257">
        <f t="shared" si="125"/>
        <v>0.99</v>
      </c>
      <c r="D751" s="675"/>
      <c r="E751" s="3257">
        <f t="shared" si="126"/>
        <v>1</v>
      </c>
      <c r="F751" s="675"/>
      <c r="G751" s="3257">
        <f t="shared" si="127"/>
        <v>1</v>
      </c>
      <c r="H751" s="675"/>
      <c r="I751" s="3257">
        <f t="shared" si="128"/>
        <v>1</v>
      </c>
      <c r="J751" s="675"/>
      <c r="K751" s="3257">
        <f t="shared" si="129"/>
        <v>1</v>
      </c>
      <c r="L751" s="675"/>
      <c r="M751" s="3257">
        <f t="shared" si="130"/>
        <v>1</v>
      </c>
      <c r="N751" s="675"/>
      <c r="O751" s="3257">
        <f t="shared" si="131"/>
        <v>1</v>
      </c>
      <c r="P751" s="675"/>
      <c r="Q751" s="3257">
        <f t="shared" si="132"/>
        <v>1</v>
      </c>
      <c r="R751" s="3258">
        <f t="shared" ca="1" si="133"/>
        <v>5702</v>
      </c>
      <c r="S751" s="1070">
        <f t="shared" ca="1" si="134"/>
        <v>21</v>
      </c>
    </row>
    <row r="752" spans="1:19">
      <c r="A752" s="673" t="str">
        <f>Sheet1!E730</f>
        <v>J1-077</v>
      </c>
      <c r="B752" s="673">
        <f>Sheet1!F730</f>
        <v>37.520000000000003</v>
      </c>
      <c r="C752" s="3257">
        <f t="shared" si="125"/>
        <v>0.99</v>
      </c>
      <c r="D752" s="675"/>
      <c r="E752" s="3257">
        <f t="shared" si="126"/>
        <v>1</v>
      </c>
      <c r="F752" s="675"/>
      <c r="G752" s="3257">
        <f t="shared" si="127"/>
        <v>1</v>
      </c>
      <c r="H752" s="675"/>
      <c r="I752" s="3257">
        <f t="shared" si="128"/>
        <v>1</v>
      </c>
      <c r="J752" s="675"/>
      <c r="K752" s="3257">
        <f t="shared" si="129"/>
        <v>1</v>
      </c>
      <c r="L752" s="675"/>
      <c r="M752" s="3257">
        <f t="shared" si="130"/>
        <v>1</v>
      </c>
      <c r="N752" s="675"/>
      <c r="O752" s="3257">
        <f t="shared" si="131"/>
        <v>1</v>
      </c>
      <c r="P752" s="675"/>
      <c r="Q752" s="3257">
        <f t="shared" si="132"/>
        <v>1</v>
      </c>
      <c r="R752" s="3258">
        <f t="shared" ca="1" si="133"/>
        <v>5702</v>
      </c>
      <c r="S752" s="1070">
        <f t="shared" ca="1" si="134"/>
        <v>21</v>
      </c>
    </row>
    <row r="753" spans="1:19">
      <c r="A753" s="673" t="str">
        <f>Sheet1!E731</f>
        <v>J1-079</v>
      </c>
      <c r="B753" s="673">
        <f>Sheet1!F731</f>
        <v>37.520000000000003</v>
      </c>
      <c r="C753" s="3257">
        <f t="shared" si="125"/>
        <v>0.99</v>
      </c>
      <c r="D753" s="675"/>
      <c r="E753" s="3257">
        <f t="shared" si="126"/>
        <v>1</v>
      </c>
      <c r="F753" s="675"/>
      <c r="G753" s="3257">
        <f t="shared" si="127"/>
        <v>1</v>
      </c>
      <c r="H753" s="675"/>
      <c r="I753" s="3257">
        <f t="shared" si="128"/>
        <v>1</v>
      </c>
      <c r="J753" s="675"/>
      <c r="K753" s="3257">
        <f t="shared" si="129"/>
        <v>1</v>
      </c>
      <c r="L753" s="675"/>
      <c r="M753" s="3257">
        <f t="shared" si="130"/>
        <v>1</v>
      </c>
      <c r="N753" s="675"/>
      <c r="O753" s="3257">
        <f t="shared" si="131"/>
        <v>1</v>
      </c>
      <c r="P753" s="675"/>
      <c r="Q753" s="3257">
        <f t="shared" si="132"/>
        <v>1</v>
      </c>
      <c r="R753" s="3258">
        <f t="shared" ca="1" si="133"/>
        <v>5702</v>
      </c>
      <c r="S753" s="1070">
        <f t="shared" ca="1" si="134"/>
        <v>21</v>
      </c>
    </row>
    <row r="754" spans="1:19">
      <c r="A754" s="673" t="str">
        <f>Sheet1!E732</f>
        <v>J1-080</v>
      </c>
      <c r="B754" s="673">
        <f>Sheet1!F732</f>
        <v>37.520000000000003</v>
      </c>
      <c r="C754" s="3257">
        <f t="shared" si="125"/>
        <v>0.99</v>
      </c>
      <c r="D754" s="675"/>
      <c r="E754" s="3257">
        <f t="shared" si="126"/>
        <v>1</v>
      </c>
      <c r="F754" s="675"/>
      <c r="G754" s="3257">
        <f t="shared" si="127"/>
        <v>1</v>
      </c>
      <c r="H754" s="675"/>
      <c r="I754" s="3257">
        <f t="shared" si="128"/>
        <v>1</v>
      </c>
      <c r="J754" s="675"/>
      <c r="K754" s="3257">
        <f t="shared" si="129"/>
        <v>1</v>
      </c>
      <c r="L754" s="675"/>
      <c r="M754" s="3257">
        <f t="shared" si="130"/>
        <v>1</v>
      </c>
      <c r="N754" s="675"/>
      <c r="O754" s="3257">
        <f t="shared" si="131"/>
        <v>1</v>
      </c>
      <c r="P754" s="675"/>
      <c r="Q754" s="3257">
        <f t="shared" si="132"/>
        <v>1</v>
      </c>
      <c r="R754" s="3258">
        <f t="shared" ca="1" si="133"/>
        <v>5702</v>
      </c>
      <c r="S754" s="1070">
        <f t="shared" ca="1" si="134"/>
        <v>21</v>
      </c>
    </row>
    <row r="755" spans="1:19">
      <c r="A755" s="673" t="str">
        <f>Sheet1!E733</f>
        <v>J1-082</v>
      </c>
      <c r="B755" s="673">
        <f>Sheet1!F733</f>
        <v>37.520000000000003</v>
      </c>
      <c r="C755" s="3257">
        <f t="shared" si="125"/>
        <v>0.99</v>
      </c>
      <c r="D755" s="675"/>
      <c r="E755" s="3257">
        <f t="shared" si="126"/>
        <v>1</v>
      </c>
      <c r="F755" s="675"/>
      <c r="G755" s="3257">
        <f t="shared" si="127"/>
        <v>1</v>
      </c>
      <c r="H755" s="675"/>
      <c r="I755" s="3257">
        <f t="shared" si="128"/>
        <v>1</v>
      </c>
      <c r="J755" s="675"/>
      <c r="K755" s="3257">
        <f t="shared" si="129"/>
        <v>1</v>
      </c>
      <c r="L755" s="675"/>
      <c r="M755" s="3257">
        <f t="shared" si="130"/>
        <v>1</v>
      </c>
      <c r="N755" s="675"/>
      <c r="O755" s="3257">
        <f t="shared" si="131"/>
        <v>1</v>
      </c>
      <c r="P755" s="675"/>
      <c r="Q755" s="3257">
        <f t="shared" si="132"/>
        <v>1</v>
      </c>
      <c r="R755" s="3258">
        <f t="shared" ca="1" si="133"/>
        <v>5702</v>
      </c>
      <c r="S755" s="1070">
        <f t="shared" ca="1" si="134"/>
        <v>21</v>
      </c>
    </row>
    <row r="756" spans="1:19">
      <c r="A756" s="673" t="str">
        <f>Sheet1!E734</f>
        <v>J1-083</v>
      </c>
      <c r="B756" s="673">
        <f>Sheet1!F734</f>
        <v>37.520000000000003</v>
      </c>
      <c r="C756" s="3257">
        <f t="shared" si="125"/>
        <v>0.99</v>
      </c>
      <c r="D756" s="675"/>
      <c r="E756" s="3257">
        <f t="shared" si="126"/>
        <v>1</v>
      </c>
      <c r="F756" s="675"/>
      <c r="G756" s="3257">
        <f t="shared" si="127"/>
        <v>1</v>
      </c>
      <c r="H756" s="675"/>
      <c r="I756" s="3257">
        <f t="shared" si="128"/>
        <v>1</v>
      </c>
      <c r="J756" s="675"/>
      <c r="K756" s="3257">
        <f t="shared" si="129"/>
        <v>1</v>
      </c>
      <c r="L756" s="675"/>
      <c r="M756" s="3257">
        <f t="shared" si="130"/>
        <v>1</v>
      </c>
      <c r="N756" s="675"/>
      <c r="O756" s="3257">
        <f t="shared" si="131"/>
        <v>1</v>
      </c>
      <c r="P756" s="675"/>
      <c r="Q756" s="3257">
        <f t="shared" si="132"/>
        <v>1</v>
      </c>
      <c r="R756" s="3258">
        <f t="shared" ca="1" si="133"/>
        <v>5702</v>
      </c>
      <c r="S756" s="1070">
        <f t="shared" ca="1" si="134"/>
        <v>21</v>
      </c>
    </row>
    <row r="757" spans="1:19">
      <c r="A757" s="673" t="str">
        <f>Sheet1!E735</f>
        <v>J1-084</v>
      </c>
      <c r="B757" s="673">
        <f>Sheet1!F735</f>
        <v>37.520000000000003</v>
      </c>
      <c r="C757" s="3257">
        <f t="shared" si="125"/>
        <v>0.99</v>
      </c>
      <c r="D757" s="675"/>
      <c r="E757" s="3257">
        <f t="shared" si="126"/>
        <v>1</v>
      </c>
      <c r="F757" s="675"/>
      <c r="G757" s="3257">
        <f t="shared" si="127"/>
        <v>1</v>
      </c>
      <c r="H757" s="675"/>
      <c r="I757" s="3257">
        <f t="shared" si="128"/>
        <v>1</v>
      </c>
      <c r="J757" s="675"/>
      <c r="K757" s="3257">
        <f t="shared" si="129"/>
        <v>1</v>
      </c>
      <c r="L757" s="675"/>
      <c r="M757" s="3257">
        <f t="shared" si="130"/>
        <v>1</v>
      </c>
      <c r="N757" s="675"/>
      <c r="O757" s="3257">
        <f t="shared" si="131"/>
        <v>1</v>
      </c>
      <c r="P757" s="675"/>
      <c r="Q757" s="3257">
        <f t="shared" si="132"/>
        <v>1</v>
      </c>
      <c r="R757" s="3258">
        <f t="shared" ca="1" si="133"/>
        <v>5702</v>
      </c>
      <c r="S757" s="1070">
        <f t="shared" ca="1" si="134"/>
        <v>21</v>
      </c>
    </row>
    <row r="758" spans="1:19">
      <c r="A758" s="673" t="str">
        <f>Sheet1!E736</f>
        <v>J1-085</v>
      </c>
      <c r="B758" s="673">
        <f>Sheet1!F736</f>
        <v>37.520000000000003</v>
      </c>
      <c r="C758" s="3257">
        <f t="shared" si="125"/>
        <v>0.99</v>
      </c>
      <c r="D758" s="675"/>
      <c r="E758" s="3257">
        <f t="shared" si="126"/>
        <v>1</v>
      </c>
      <c r="F758" s="675"/>
      <c r="G758" s="3257">
        <f t="shared" si="127"/>
        <v>1</v>
      </c>
      <c r="H758" s="675"/>
      <c r="I758" s="3257">
        <f t="shared" si="128"/>
        <v>1</v>
      </c>
      <c r="J758" s="675"/>
      <c r="K758" s="3257">
        <f t="shared" si="129"/>
        <v>1</v>
      </c>
      <c r="L758" s="675"/>
      <c r="M758" s="3257">
        <f t="shared" si="130"/>
        <v>1</v>
      </c>
      <c r="N758" s="675"/>
      <c r="O758" s="3257">
        <f t="shared" si="131"/>
        <v>1</v>
      </c>
      <c r="P758" s="675"/>
      <c r="Q758" s="3257">
        <f t="shared" si="132"/>
        <v>1</v>
      </c>
      <c r="R758" s="3258">
        <f t="shared" ca="1" si="133"/>
        <v>5702</v>
      </c>
      <c r="S758" s="1070">
        <f t="shared" ca="1" si="134"/>
        <v>21</v>
      </c>
    </row>
    <row r="759" spans="1:19">
      <c r="A759" s="673" t="str">
        <f>Sheet1!E737</f>
        <v>J1-086</v>
      </c>
      <c r="B759" s="673">
        <f>Sheet1!F737</f>
        <v>37.520000000000003</v>
      </c>
      <c r="C759" s="3257">
        <f t="shared" si="125"/>
        <v>0.99</v>
      </c>
      <c r="D759" s="675"/>
      <c r="E759" s="3257">
        <f t="shared" si="126"/>
        <v>1</v>
      </c>
      <c r="F759" s="675"/>
      <c r="G759" s="3257">
        <f t="shared" si="127"/>
        <v>1</v>
      </c>
      <c r="H759" s="675"/>
      <c r="I759" s="3257">
        <f t="shared" si="128"/>
        <v>1</v>
      </c>
      <c r="J759" s="675"/>
      <c r="K759" s="3257">
        <f t="shared" si="129"/>
        <v>1</v>
      </c>
      <c r="L759" s="675"/>
      <c r="M759" s="3257">
        <f t="shared" si="130"/>
        <v>1</v>
      </c>
      <c r="N759" s="675"/>
      <c r="O759" s="3257">
        <f t="shared" si="131"/>
        <v>1</v>
      </c>
      <c r="P759" s="675"/>
      <c r="Q759" s="3257">
        <f t="shared" si="132"/>
        <v>1</v>
      </c>
      <c r="R759" s="3258">
        <f t="shared" ca="1" si="133"/>
        <v>5702</v>
      </c>
      <c r="S759" s="1070">
        <f t="shared" ca="1" si="134"/>
        <v>21</v>
      </c>
    </row>
    <row r="760" spans="1:19">
      <c r="A760" s="673" t="str">
        <f>Sheet1!E738</f>
        <v>J1-089</v>
      </c>
      <c r="B760" s="673">
        <f>Sheet1!F738</f>
        <v>37.520000000000003</v>
      </c>
      <c r="C760" s="3257">
        <f t="shared" si="125"/>
        <v>0.99</v>
      </c>
      <c r="D760" s="675"/>
      <c r="E760" s="3257">
        <f t="shared" si="126"/>
        <v>1</v>
      </c>
      <c r="F760" s="675"/>
      <c r="G760" s="3257">
        <f t="shared" si="127"/>
        <v>1</v>
      </c>
      <c r="H760" s="675"/>
      <c r="I760" s="3257">
        <f t="shared" si="128"/>
        <v>1</v>
      </c>
      <c r="J760" s="675"/>
      <c r="K760" s="3257">
        <f t="shared" si="129"/>
        <v>1</v>
      </c>
      <c r="L760" s="675"/>
      <c r="M760" s="3257">
        <f t="shared" si="130"/>
        <v>1</v>
      </c>
      <c r="N760" s="675"/>
      <c r="O760" s="3257">
        <f t="shared" si="131"/>
        <v>1</v>
      </c>
      <c r="P760" s="675"/>
      <c r="Q760" s="3257">
        <f t="shared" si="132"/>
        <v>1</v>
      </c>
      <c r="R760" s="3258">
        <f t="shared" ca="1" si="133"/>
        <v>5702</v>
      </c>
      <c r="S760" s="1070">
        <f t="shared" ca="1" si="134"/>
        <v>21</v>
      </c>
    </row>
    <row r="761" spans="1:19">
      <c r="A761" s="673" t="str">
        <f>Sheet1!E739</f>
        <v>J1-090</v>
      </c>
      <c r="B761" s="673">
        <f>Sheet1!F739</f>
        <v>37.520000000000003</v>
      </c>
      <c r="C761" s="3257">
        <f t="shared" si="125"/>
        <v>0.99</v>
      </c>
      <c r="D761" s="675"/>
      <c r="E761" s="3257">
        <f t="shared" si="126"/>
        <v>1</v>
      </c>
      <c r="F761" s="675"/>
      <c r="G761" s="3257">
        <f t="shared" si="127"/>
        <v>1</v>
      </c>
      <c r="H761" s="675"/>
      <c r="I761" s="3257">
        <f t="shared" si="128"/>
        <v>1</v>
      </c>
      <c r="J761" s="675"/>
      <c r="K761" s="3257">
        <f t="shared" si="129"/>
        <v>1</v>
      </c>
      <c r="L761" s="675"/>
      <c r="M761" s="3257">
        <f t="shared" si="130"/>
        <v>1</v>
      </c>
      <c r="N761" s="675"/>
      <c r="O761" s="3257">
        <f t="shared" si="131"/>
        <v>1</v>
      </c>
      <c r="P761" s="675"/>
      <c r="Q761" s="3257">
        <f t="shared" si="132"/>
        <v>1</v>
      </c>
      <c r="R761" s="3258">
        <f t="shared" ca="1" si="133"/>
        <v>5702</v>
      </c>
      <c r="S761" s="1070">
        <f t="shared" ca="1" si="134"/>
        <v>21</v>
      </c>
    </row>
    <row r="762" spans="1:19">
      <c r="A762" s="673" t="str">
        <f>Sheet1!E740</f>
        <v>J1-092</v>
      </c>
      <c r="B762" s="673">
        <f>Sheet1!F740</f>
        <v>37.520000000000003</v>
      </c>
      <c r="C762" s="3257">
        <f t="shared" si="125"/>
        <v>0.99</v>
      </c>
      <c r="D762" s="675"/>
      <c r="E762" s="3257">
        <f t="shared" si="126"/>
        <v>1</v>
      </c>
      <c r="F762" s="675"/>
      <c r="G762" s="3257">
        <f t="shared" si="127"/>
        <v>1</v>
      </c>
      <c r="H762" s="675"/>
      <c r="I762" s="3257">
        <f t="shared" si="128"/>
        <v>1</v>
      </c>
      <c r="J762" s="675"/>
      <c r="K762" s="3257">
        <f t="shared" si="129"/>
        <v>1</v>
      </c>
      <c r="L762" s="675"/>
      <c r="M762" s="3257">
        <f t="shared" si="130"/>
        <v>1</v>
      </c>
      <c r="N762" s="675"/>
      <c r="O762" s="3257">
        <f t="shared" si="131"/>
        <v>1</v>
      </c>
      <c r="P762" s="675"/>
      <c r="Q762" s="3257">
        <f t="shared" si="132"/>
        <v>1</v>
      </c>
      <c r="R762" s="3258">
        <f t="shared" ca="1" si="133"/>
        <v>5702</v>
      </c>
      <c r="S762" s="1070">
        <f t="shared" ca="1" si="134"/>
        <v>21</v>
      </c>
    </row>
    <row r="763" spans="1:19">
      <c r="A763" s="673" t="str">
        <f>Sheet1!E741</f>
        <v>J1-093</v>
      </c>
      <c r="B763" s="673">
        <f>Sheet1!F741</f>
        <v>37.520000000000003</v>
      </c>
      <c r="C763" s="3257">
        <f t="shared" si="125"/>
        <v>0.99</v>
      </c>
      <c r="D763" s="675"/>
      <c r="E763" s="3257">
        <f t="shared" si="126"/>
        <v>1</v>
      </c>
      <c r="F763" s="675"/>
      <c r="G763" s="3257">
        <f t="shared" si="127"/>
        <v>1</v>
      </c>
      <c r="H763" s="675"/>
      <c r="I763" s="3257">
        <f t="shared" si="128"/>
        <v>1</v>
      </c>
      <c r="J763" s="675"/>
      <c r="K763" s="3257">
        <f t="shared" si="129"/>
        <v>1</v>
      </c>
      <c r="L763" s="675"/>
      <c r="M763" s="3257">
        <f t="shared" si="130"/>
        <v>1</v>
      </c>
      <c r="N763" s="675"/>
      <c r="O763" s="3257">
        <f t="shared" si="131"/>
        <v>1</v>
      </c>
      <c r="P763" s="675"/>
      <c r="Q763" s="3257">
        <f t="shared" si="132"/>
        <v>1</v>
      </c>
      <c r="R763" s="3258">
        <f t="shared" ca="1" si="133"/>
        <v>5702</v>
      </c>
      <c r="S763" s="1070">
        <f t="shared" ca="1" si="134"/>
        <v>21</v>
      </c>
    </row>
    <row r="764" spans="1:19">
      <c r="A764" s="673" t="str">
        <f>Sheet1!E742</f>
        <v>J1-094</v>
      </c>
      <c r="B764" s="673">
        <f>Sheet1!F742</f>
        <v>37.520000000000003</v>
      </c>
      <c r="C764" s="3257">
        <f t="shared" si="125"/>
        <v>0.99</v>
      </c>
      <c r="D764" s="675"/>
      <c r="E764" s="3257">
        <f t="shared" si="126"/>
        <v>1</v>
      </c>
      <c r="F764" s="675"/>
      <c r="G764" s="3257">
        <f t="shared" si="127"/>
        <v>1</v>
      </c>
      <c r="H764" s="675"/>
      <c r="I764" s="3257">
        <f t="shared" si="128"/>
        <v>1</v>
      </c>
      <c r="J764" s="675"/>
      <c r="K764" s="3257">
        <f t="shared" si="129"/>
        <v>1</v>
      </c>
      <c r="L764" s="675"/>
      <c r="M764" s="3257">
        <f t="shared" si="130"/>
        <v>1</v>
      </c>
      <c r="N764" s="675"/>
      <c r="O764" s="3257">
        <f t="shared" si="131"/>
        <v>1</v>
      </c>
      <c r="P764" s="675"/>
      <c r="Q764" s="3257">
        <f t="shared" si="132"/>
        <v>1</v>
      </c>
      <c r="R764" s="3258">
        <f t="shared" ca="1" si="133"/>
        <v>5702</v>
      </c>
      <c r="S764" s="1070">
        <f t="shared" ca="1" si="134"/>
        <v>21</v>
      </c>
    </row>
    <row r="765" spans="1:19">
      <c r="A765" s="673" t="str">
        <f>Sheet1!E743</f>
        <v>J1-096</v>
      </c>
      <c r="B765" s="673">
        <f>Sheet1!F743</f>
        <v>37.520000000000003</v>
      </c>
      <c r="C765" s="3257">
        <f t="shared" si="125"/>
        <v>0.99</v>
      </c>
      <c r="D765" s="675"/>
      <c r="E765" s="3257">
        <f t="shared" si="126"/>
        <v>1</v>
      </c>
      <c r="F765" s="675"/>
      <c r="G765" s="3257">
        <f t="shared" si="127"/>
        <v>1</v>
      </c>
      <c r="H765" s="675"/>
      <c r="I765" s="3257">
        <f t="shared" si="128"/>
        <v>1</v>
      </c>
      <c r="J765" s="675"/>
      <c r="K765" s="3257">
        <f t="shared" si="129"/>
        <v>1</v>
      </c>
      <c r="L765" s="675"/>
      <c r="M765" s="3257">
        <f t="shared" si="130"/>
        <v>1</v>
      </c>
      <c r="N765" s="675"/>
      <c r="O765" s="3257">
        <f t="shared" si="131"/>
        <v>1</v>
      </c>
      <c r="P765" s="675"/>
      <c r="Q765" s="3257">
        <f t="shared" si="132"/>
        <v>1</v>
      </c>
      <c r="R765" s="3258">
        <f t="shared" ca="1" si="133"/>
        <v>5702</v>
      </c>
      <c r="S765" s="1070">
        <f t="shared" ca="1" si="134"/>
        <v>21</v>
      </c>
    </row>
    <row r="766" spans="1:19">
      <c r="A766" s="673" t="str">
        <f>Sheet1!E744</f>
        <v>K1-001</v>
      </c>
      <c r="B766" s="673">
        <f>Sheet1!F744</f>
        <v>37.520000000000003</v>
      </c>
      <c r="C766" s="3257">
        <f t="shared" si="125"/>
        <v>0.99</v>
      </c>
      <c r="D766" s="675"/>
      <c r="E766" s="3257">
        <f t="shared" si="126"/>
        <v>1</v>
      </c>
      <c r="F766" s="675"/>
      <c r="G766" s="3257">
        <f t="shared" si="127"/>
        <v>1</v>
      </c>
      <c r="H766" s="675"/>
      <c r="I766" s="3257">
        <f t="shared" si="128"/>
        <v>1</v>
      </c>
      <c r="J766" s="675"/>
      <c r="K766" s="3257">
        <f t="shared" si="129"/>
        <v>1</v>
      </c>
      <c r="L766" s="675"/>
      <c r="M766" s="3257">
        <f t="shared" si="130"/>
        <v>1</v>
      </c>
      <c r="N766" s="675"/>
      <c r="O766" s="3257">
        <f t="shared" si="131"/>
        <v>1</v>
      </c>
      <c r="P766" s="675"/>
      <c r="Q766" s="3257">
        <f t="shared" si="132"/>
        <v>1</v>
      </c>
      <c r="R766" s="3258">
        <f t="shared" ca="1" si="133"/>
        <v>5702</v>
      </c>
      <c r="S766" s="1070">
        <f t="shared" ca="1" si="134"/>
        <v>21</v>
      </c>
    </row>
    <row r="767" spans="1:19">
      <c r="A767" s="673" t="str">
        <f>Sheet1!E745</f>
        <v>K1-002</v>
      </c>
      <c r="B767" s="673">
        <f>Sheet1!F745</f>
        <v>37.520000000000003</v>
      </c>
      <c r="C767" s="3257">
        <f t="shared" si="125"/>
        <v>0.99</v>
      </c>
      <c r="D767" s="675"/>
      <c r="E767" s="3257">
        <f t="shared" si="126"/>
        <v>1</v>
      </c>
      <c r="F767" s="675"/>
      <c r="G767" s="3257">
        <f t="shared" si="127"/>
        <v>1</v>
      </c>
      <c r="H767" s="675"/>
      <c r="I767" s="3257">
        <f t="shared" si="128"/>
        <v>1</v>
      </c>
      <c r="J767" s="675"/>
      <c r="K767" s="3257">
        <f t="shared" si="129"/>
        <v>1</v>
      </c>
      <c r="L767" s="675"/>
      <c r="M767" s="3257">
        <f t="shared" si="130"/>
        <v>1</v>
      </c>
      <c r="N767" s="675"/>
      <c r="O767" s="3257">
        <f t="shared" si="131"/>
        <v>1</v>
      </c>
      <c r="P767" s="675"/>
      <c r="Q767" s="3257">
        <f t="shared" si="132"/>
        <v>1</v>
      </c>
      <c r="R767" s="3258">
        <f t="shared" ca="1" si="133"/>
        <v>5702</v>
      </c>
      <c r="S767" s="1070">
        <f t="shared" ca="1" si="134"/>
        <v>21</v>
      </c>
    </row>
    <row r="768" spans="1:19">
      <c r="A768" s="673" t="str">
        <f>Sheet1!E746</f>
        <v>K1-003</v>
      </c>
      <c r="B768" s="673">
        <f>Sheet1!F746</f>
        <v>37.520000000000003</v>
      </c>
      <c r="C768" s="3257">
        <f t="shared" si="125"/>
        <v>0.99</v>
      </c>
      <c r="D768" s="675"/>
      <c r="E768" s="3257">
        <f t="shared" si="126"/>
        <v>1</v>
      </c>
      <c r="F768" s="675"/>
      <c r="G768" s="3257">
        <f t="shared" si="127"/>
        <v>1</v>
      </c>
      <c r="H768" s="675"/>
      <c r="I768" s="3257">
        <f t="shared" si="128"/>
        <v>1</v>
      </c>
      <c r="J768" s="675"/>
      <c r="K768" s="3257">
        <f t="shared" si="129"/>
        <v>1</v>
      </c>
      <c r="L768" s="675"/>
      <c r="M768" s="3257">
        <f t="shared" si="130"/>
        <v>1</v>
      </c>
      <c r="N768" s="675"/>
      <c r="O768" s="3257">
        <f t="shared" si="131"/>
        <v>1</v>
      </c>
      <c r="P768" s="675"/>
      <c r="Q768" s="3257">
        <f t="shared" si="132"/>
        <v>1</v>
      </c>
      <c r="R768" s="3258">
        <f t="shared" ca="1" si="133"/>
        <v>5702</v>
      </c>
      <c r="S768" s="1070">
        <f t="shared" ca="1" si="134"/>
        <v>21</v>
      </c>
    </row>
    <row r="769" spans="1:19">
      <c r="A769" s="673" t="str">
        <f>Sheet1!E747</f>
        <v>K1-005</v>
      </c>
      <c r="B769" s="673">
        <f>Sheet1!F747</f>
        <v>39.090000000000003</v>
      </c>
      <c r="C769" s="3257">
        <f t="shared" si="125"/>
        <v>0.99</v>
      </c>
      <c r="D769" s="675"/>
      <c r="E769" s="3257">
        <f t="shared" si="126"/>
        <v>1</v>
      </c>
      <c r="F769" s="675"/>
      <c r="G769" s="3257">
        <f t="shared" si="127"/>
        <v>1</v>
      </c>
      <c r="H769" s="675"/>
      <c r="I769" s="3257">
        <f t="shared" si="128"/>
        <v>1</v>
      </c>
      <c r="J769" s="675"/>
      <c r="K769" s="3257">
        <f t="shared" si="129"/>
        <v>1</v>
      </c>
      <c r="L769" s="675"/>
      <c r="M769" s="3257">
        <f t="shared" si="130"/>
        <v>1</v>
      </c>
      <c r="N769" s="675"/>
      <c r="O769" s="3257">
        <f t="shared" si="131"/>
        <v>1</v>
      </c>
      <c r="P769" s="675"/>
      <c r="Q769" s="3257">
        <f t="shared" si="132"/>
        <v>1</v>
      </c>
      <c r="R769" s="3258">
        <f t="shared" ca="1" si="133"/>
        <v>5702</v>
      </c>
      <c r="S769" s="1070">
        <f t="shared" ca="1" si="134"/>
        <v>22</v>
      </c>
    </row>
    <row r="770" spans="1:19">
      <c r="A770" s="673" t="str">
        <f>Sheet1!E748</f>
        <v>K1-008</v>
      </c>
      <c r="B770" s="673">
        <f>Sheet1!F748</f>
        <v>39.090000000000003</v>
      </c>
      <c r="C770" s="3257">
        <f t="shared" si="125"/>
        <v>0.99</v>
      </c>
      <c r="D770" s="675"/>
      <c r="E770" s="3257">
        <f t="shared" si="126"/>
        <v>1</v>
      </c>
      <c r="F770" s="675"/>
      <c r="G770" s="3257">
        <f t="shared" si="127"/>
        <v>1</v>
      </c>
      <c r="H770" s="675"/>
      <c r="I770" s="3257">
        <f t="shared" si="128"/>
        <v>1</v>
      </c>
      <c r="J770" s="675"/>
      <c r="K770" s="3257">
        <f t="shared" si="129"/>
        <v>1</v>
      </c>
      <c r="L770" s="675"/>
      <c r="M770" s="3257">
        <f t="shared" si="130"/>
        <v>1</v>
      </c>
      <c r="N770" s="675"/>
      <c r="O770" s="3257">
        <f t="shared" si="131"/>
        <v>1</v>
      </c>
      <c r="P770" s="675"/>
      <c r="Q770" s="3257">
        <f t="shared" si="132"/>
        <v>1</v>
      </c>
      <c r="R770" s="3258">
        <f t="shared" ca="1" si="133"/>
        <v>5702</v>
      </c>
      <c r="S770" s="1070">
        <f t="shared" ca="1" si="134"/>
        <v>22</v>
      </c>
    </row>
    <row r="771" spans="1:19">
      <c r="A771" s="673" t="str">
        <f>Sheet1!E749</f>
        <v>K1-011</v>
      </c>
      <c r="B771" s="673">
        <f>Sheet1!F749</f>
        <v>46.91</v>
      </c>
      <c r="C771" s="3257">
        <f t="shared" si="125"/>
        <v>0.98</v>
      </c>
      <c r="D771" s="675"/>
      <c r="E771" s="3257">
        <f t="shared" si="126"/>
        <v>1</v>
      </c>
      <c r="F771" s="675"/>
      <c r="G771" s="3257">
        <f t="shared" si="127"/>
        <v>1</v>
      </c>
      <c r="H771" s="675"/>
      <c r="I771" s="3257">
        <f t="shared" si="128"/>
        <v>1</v>
      </c>
      <c r="J771" s="675"/>
      <c r="K771" s="3257">
        <f t="shared" si="129"/>
        <v>1</v>
      </c>
      <c r="L771" s="675"/>
      <c r="M771" s="3257">
        <f t="shared" si="130"/>
        <v>1</v>
      </c>
      <c r="N771" s="675"/>
      <c r="O771" s="3257">
        <f t="shared" si="131"/>
        <v>1</v>
      </c>
      <c r="P771" s="675"/>
      <c r="Q771" s="3257">
        <f t="shared" si="132"/>
        <v>1</v>
      </c>
      <c r="R771" s="3258">
        <f t="shared" ca="1" si="133"/>
        <v>5645</v>
      </c>
      <c r="S771" s="1070">
        <f t="shared" ca="1" si="134"/>
        <v>26</v>
      </c>
    </row>
    <row r="772" spans="1:19">
      <c r="A772" s="673" t="str">
        <f>Sheet1!E750</f>
        <v>K1-012</v>
      </c>
      <c r="B772" s="673">
        <f>Sheet1!F750</f>
        <v>46.91</v>
      </c>
      <c r="C772" s="3257">
        <f t="shared" si="125"/>
        <v>0.98</v>
      </c>
      <c r="D772" s="675"/>
      <c r="E772" s="3257">
        <f t="shared" si="126"/>
        <v>1</v>
      </c>
      <c r="F772" s="675"/>
      <c r="G772" s="3257">
        <f t="shared" si="127"/>
        <v>1</v>
      </c>
      <c r="H772" s="675"/>
      <c r="I772" s="3257">
        <f t="shared" si="128"/>
        <v>1</v>
      </c>
      <c r="J772" s="675"/>
      <c r="K772" s="3257">
        <f t="shared" si="129"/>
        <v>1</v>
      </c>
      <c r="L772" s="675"/>
      <c r="M772" s="3257">
        <f t="shared" si="130"/>
        <v>1</v>
      </c>
      <c r="N772" s="675"/>
      <c r="O772" s="3257">
        <f t="shared" si="131"/>
        <v>1</v>
      </c>
      <c r="P772" s="675"/>
      <c r="Q772" s="3257">
        <f t="shared" si="132"/>
        <v>1</v>
      </c>
      <c r="R772" s="3258">
        <f t="shared" ca="1" si="133"/>
        <v>5645</v>
      </c>
      <c r="S772" s="1070">
        <f t="shared" ca="1" si="134"/>
        <v>26</v>
      </c>
    </row>
    <row r="773" spans="1:19">
      <c r="A773" s="673" t="str">
        <f>Sheet1!E751</f>
        <v>K1-013</v>
      </c>
      <c r="B773" s="673">
        <f>Sheet1!F751</f>
        <v>46.91</v>
      </c>
      <c r="C773" s="3257">
        <f t="shared" si="125"/>
        <v>0.98</v>
      </c>
      <c r="D773" s="675"/>
      <c r="E773" s="3257">
        <f t="shared" si="126"/>
        <v>1</v>
      </c>
      <c r="F773" s="675"/>
      <c r="G773" s="3257">
        <f t="shared" si="127"/>
        <v>1</v>
      </c>
      <c r="H773" s="675"/>
      <c r="I773" s="3257">
        <f t="shared" si="128"/>
        <v>1</v>
      </c>
      <c r="J773" s="675"/>
      <c r="K773" s="3257">
        <f t="shared" si="129"/>
        <v>1</v>
      </c>
      <c r="L773" s="675"/>
      <c r="M773" s="3257">
        <f t="shared" si="130"/>
        <v>1</v>
      </c>
      <c r="N773" s="675"/>
      <c r="O773" s="3257">
        <f t="shared" si="131"/>
        <v>1</v>
      </c>
      <c r="P773" s="675"/>
      <c r="Q773" s="3257">
        <f t="shared" si="132"/>
        <v>1</v>
      </c>
      <c r="R773" s="3258">
        <f t="shared" ca="1" si="133"/>
        <v>5645</v>
      </c>
      <c r="S773" s="1070">
        <f t="shared" ca="1" si="134"/>
        <v>26</v>
      </c>
    </row>
    <row r="774" spans="1:19">
      <c r="A774" s="673" t="str">
        <f>Sheet1!E752</f>
        <v>K1-016</v>
      </c>
      <c r="B774" s="673">
        <f>Sheet1!F752</f>
        <v>46.91</v>
      </c>
      <c r="C774" s="3257">
        <f t="shared" si="125"/>
        <v>0.98</v>
      </c>
      <c r="D774" s="675"/>
      <c r="E774" s="3257">
        <f t="shared" si="126"/>
        <v>1</v>
      </c>
      <c r="F774" s="675"/>
      <c r="G774" s="3257">
        <f t="shared" si="127"/>
        <v>1</v>
      </c>
      <c r="H774" s="675"/>
      <c r="I774" s="3257">
        <f t="shared" si="128"/>
        <v>1</v>
      </c>
      <c r="J774" s="675"/>
      <c r="K774" s="3257">
        <f t="shared" si="129"/>
        <v>1</v>
      </c>
      <c r="L774" s="675"/>
      <c r="M774" s="3257">
        <f t="shared" si="130"/>
        <v>1</v>
      </c>
      <c r="N774" s="675"/>
      <c r="O774" s="3257">
        <f t="shared" si="131"/>
        <v>1</v>
      </c>
      <c r="P774" s="675"/>
      <c r="Q774" s="3257">
        <f t="shared" si="132"/>
        <v>1</v>
      </c>
      <c r="R774" s="3258">
        <f t="shared" ca="1" si="133"/>
        <v>5645</v>
      </c>
      <c r="S774" s="1070">
        <f t="shared" ca="1" si="134"/>
        <v>26</v>
      </c>
    </row>
    <row r="775" spans="1:19">
      <c r="A775" s="673" t="str">
        <f>Sheet1!E753</f>
        <v>K1-017</v>
      </c>
      <c r="B775" s="673">
        <f>Sheet1!F753</f>
        <v>46.91</v>
      </c>
      <c r="C775" s="3257">
        <f t="shared" si="125"/>
        <v>0.98</v>
      </c>
      <c r="D775" s="675"/>
      <c r="E775" s="3257">
        <f t="shared" si="126"/>
        <v>1</v>
      </c>
      <c r="F775" s="675"/>
      <c r="G775" s="3257">
        <f t="shared" si="127"/>
        <v>1</v>
      </c>
      <c r="H775" s="675"/>
      <c r="I775" s="3257">
        <f t="shared" si="128"/>
        <v>1</v>
      </c>
      <c r="J775" s="675"/>
      <c r="K775" s="3257">
        <f t="shared" si="129"/>
        <v>1</v>
      </c>
      <c r="L775" s="675"/>
      <c r="M775" s="3257">
        <f t="shared" si="130"/>
        <v>1</v>
      </c>
      <c r="N775" s="675"/>
      <c r="O775" s="3257">
        <f t="shared" si="131"/>
        <v>1</v>
      </c>
      <c r="P775" s="675"/>
      <c r="Q775" s="3257">
        <f t="shared" si="132"/>
        <v>1</v>
      </c>
      <c r="R775" s="3258">
        <f t="shared" ca="1" si="133"/>
        <v>5645</v>
      </c>
      <c r="S775" s="1070">
        <f t="shared" ca="1" si="134"/>
        <v>26</v>
      </c>
    </row>
    <row r="776" spans="1:19">
      <c r="A776" s="673" t="str">
        <f>Sheet1!E754</f>
        <v>K1-019</v>
      </c>
      <c r="B776" s="673">
        <f>Sheet1!F754</f>
        <v>46.91</v>
      </c>
      <c r="C776" s="3257">
        <f t="shared" si="125"/>
        <v>0.98</v>
      </c>
      <c r="D776" s="675"/>
      <c r="E776" s="3257">
        <f t="shared" si="126"/>
        <v>1</v>
      </c>
      <c r="F776" s="675"/>
      <c r="G776" s="3257">
        <f t="shared" si="127"/>
        <v>1</v>
      </c>
      <c r="H776" s="675"/>
      <c r="I776" s="3257">
        <f t="shared" si="128"/>
        <v>1</v>
      </c>
      <c r="J776" s="675"/>
      <c r="K776" s="3257">
        <f t="shared" si="129"/>
        <v>1</v>
      </c>
      <c r="L776" s="675"/>
      <c r="M776" s="3257">
        <f t="shared" si="130"/>
        <v>1</v>
      </c>
      <c r="N776" s="675"/>
      <c r="O776" s="3257">
        <f t="shared" si="131"/>
        <v>1</v>
      </c>
      <c r="P776" s="675"/>
      <c r="Q776" s="3257">
        <f t="shared" si="132"/>
        <v>1</v>
      </c>
      <c r="R776" s="3258">
        <f t="shared" ca="1" si="133"/>
        <v>5645</v>
      </c>
      <c r="S776" s="1070">
        <f t="shared" ca="1" si="134"/>
        <v>26</v>
      </c>
    </row>
    <row r="777" spans="1:19">
      <c r="A777" s="673" t="str">
        <f>Sheet1!E755</f>
        <v>K1-020</v>
      </c>
      <c r="B777" s="673">
        <f>Sheet1!F755</f>
        <v>46.91</v>
      </c>
      <c r="C777" s="3257">
        <f t="shared" si="125"/>
        <v>0.98</v>
      </c>
      <c r="D777" s="675"/>
      <c r="E777" s="3257">
        <f t="shared" si="126"/>
        <v>1</v>
      </c>
      <c r="F777" s="675"/>
      <c r="G777" s="3257">
        <f t="shared" si="127"/>
        <v>1</v>
      </c>
      <c r="H777" s="675"/>
      <c r="I777" s="3257">
        <f t="shared" si="128"/>
        <v>1</v>
      </c>
      <c r="J777" s="675"/>
      <c r="K777" s="3257">
        <f t="shared" si="129"/>
        <v>1</v>
      </c>
      <c r="L777" s="675"/>
      <c r="M777" s="3257">
        <f t="shared" si="130"/>
        <v>1</v>
      </c>
      <c r="N777" s="675"/>
      <c r="O777" s="3257">
        <f t="shared" si="131"/>
        <v>1</v>
      </c>
      <c r="P777" s="675"/>
      <c r="Q777" s="3257">
        <f t="shared" si="132"/>
        <v>1</v>
      </c>
      <c r="R777" s="3258">
        <f t="shared" ca="1" si="133"/>
        <v>5645</v>
      </c>
      <c r="S777" s="1070">
        <f t="shared" ca="1" si="134"/>
        <v>26</v>
      </c>
    </row>
    <row r="778" spans="1:19">
      <c r="A778" s="673" t="str">
        <f>Sheet1!E756</f>
        <v>K1-021</v>
      </c>
      <c r="B778" s="673">
        <f>Sheet1!F756</f>
        <v>48.78</v>
      </c>
      <c r="C778" s="3257">
        <f t="shared" si="125"/>
        <v>0.98</v>
      </c>
      <c r="D778" s="675"/>
      <c r="E778" s="3257">
        <f t="shared" si="126"/>
        <v>1</v>
      </c>
      <c r="F778" s="675"/>
      <c r="G778" s="3257">
        <f t="shared" si="127"/>
        <v>1</v>
      </c>
      <c r="H778" s="675"/>
      <c r="I778" s="3257">
        <f t="shared" si="128"/>
        <v>1</v>
      </c>
      <c r="J778" s="675"/>
      <c r="K778" s="3257">
        <f t="shared" si="129"/>
        <v>1</v>
      </c>
      <c r="L778" s="675"/>
      <c r="M778" s="3257">
        <f t="shared" si="130"/>
        <v>1</v>
      </c>
      <c r="N778" s="675"/>
      <c r="O778" s="3257">
        <f t="shared" si="131"/>
        <v>1</v>
      </c>
      <c r="P778" s="675"/>
      <c r="Q778" s="3257">
        <f t="shared" si="132"/>
        <v>1</v>
      </c>
      <c r="R778" s="3258">
        <f t="shared" ca="1" si="133"/>
        <v>5645</v>
      </c>
      <c r="S778" s="1070">
        <f t="shared" ca="1" si="134"/>
        <v>28</v>
      </c>
    </row>
    <row r="779" spans="1:19">
      <c r="A779" s="673" t="str">
        <f>Sheet1!E757</f>
        <v>K1-022</v>
      </c>
      <c r="B779" s="673">
        <f>Sheet1!F757</f>
        <v>37.520000000000003</v>
      </c>
      <c r="C779" s="3257">
        <f t="shared" si="125"/>
        <v>0.99</v>
      </c>
      <c r="D779" s="675"/>
      <c r="E779" s="3257">
        <f t="shared" si="126"/>
        <v>1</v>
      </c>
      <c r="F779" s="675"/>
      <c r="G779" s="3257">
        <f t="shared" si="127"/>
        <v>1</v>
      </c>
      <c r="H779" s="675"/>
      <c r="I779" s="3257">
        <f t="shared" si="128"/>
        <v>1</v>
      </c>
      <c r="J779" s="675"/>
      <c r="K779" s="3257">
        <f t="shared" si="129"/>
        <v>1</v>
      </c>
      <c r="L779" s="675"/>
      <c r="M779" s="3257">
        <f t="shared" si="130"/>
        <v>1</v>
      </c>
      <c r="N779" s="675"/>
      <c r="O779" s="3257">
        <f t="shared" si="131"/>
        <v>1</v>
      </c>
      <c r="P779" s="675"/>
      <c r="Q779" s="3257">
        <f t="shared" si="132"/>
        <v>1</v>
      </c>
      <c r="R779" s="3258">
        <f t="shared" ca="1" si="133"/>
        <v>5702</v>
      </c>
      <c r="S779" s="1070">
        <f t="shared" ca="1" si="134"/>
        <v>21</v>
      </c>
    </row>
    <row r="780" spans="1:19">
      <c r="A780" s="673" t="str">
        <f>Sheet1!E758</f>
        <v>K1-023</v>
      </c>
      <c r="B780" s="673">
        <f>Sheet1!F758</f>
        <v>37.520000000000003</v>
      </c>
      <c r="C780" s="3257">
        <f t="shared" si="125"/>
        <v>0.99</v>
      </c>
      <c r="D780" s="675"/>
      <c r="E780" s="3257">
        <f t="shared" si="126"/>
        <v>1</v>
      </c>
      <c r="F780" s="675"/>
      <c r="G780" s="3257">
        <f t="shared" si="127"/>
        <v>1</v>
      </c>
      <c r="H780" s="675"/>
      <c r="I780" s="3257">
        <f t="shared" si="128"/>
        <v>1</v>
      </c>
      <c r="J780" s="675"/>
      <c r="K780" s="3257">
        <f t="shared" si="129"/>
        <v>1</v>
      </c>
      <c r="L780" s="675"/>
      <c r="M780" s="3257">
        <f t="shared" si="130"/>
        <v>1</v>
      </c>
      <c r="N780" s="675"/>
      <c r="O780" s="3257">
        <f t="shared" si="131"/>
        <v>1</v>
      </c>
      <c r="P780" s="675"/>
      <c r="Q780" s="3257">
        <f t="shared" si="132"/>
        <v>1</v>
      </c>
      <c r="R780" s="3258">
        <f t="shared" ca="1" si="133"/>
        <v>5702</v>
      </c>
      <c r="S780" s="1070">
        <f t="shared" ca="1" si="134"/>
        <v>21</v>
      </c>
    </row>
    <row r="781" spans="1:19">
      <c r="A781" s="673" t="str">
        <f>Sheet1!E759</f>
        <v>K1-024</v>
      </c>
      <c r="B781" s="673">
        <f>Sheet1!F759</f>
        <v>37.520000000000003</v>
      </c>
      <c r="C781" s="3257">
        <f t="shared" ref="C781:C844" si="135">IF(B781="",1,(LOOKUP(B781,$3:$3,$4:$4)-LOOKUP($B$24,$3:$3,$4:$4)+100)/100)</f>
        <v>0.99</v>
      </c>
      <c r="D781" s="675"/>
      <c r="E781" s="3257">
        <f t="shared" ref="E781:E844" si="136">(SUMIF($5:$5,D781,$6:$6)-SUMIF($5:$5,$D$24,$6:$6)+100)/100</f>
        <v>1</v>
      </c>
      <c r="F781" s="675"/>
      <c r="G781" s="3257">
        <f t="shared" ref="G781:G844" si="137">(SUMIF($7:$7,F781,$8:$8)-SUMIF($7:$7,$F$24,$8:$8)+100)/100</f>
        <v>1</v>
      </c>
      <c r="H781" s="675"/>
      <c r="I781" s="3257">
        <f t="shared" ref="I781:I844" si="138">(SUMIF($9:$9,H781,$10:$10)-SUMIF($9:$9,$H$24,$10:$10)+100)/100</f>
        <v>1</v>
      </c>
      <c r="J781" s="675"/>
      <c r="K781" s="3257">
        <f t="shared" ref="K781:K844" si="139">(SUMIF($11:$11,J781,$12:$12)-SUMIF($11:$11,$J$24,$12:$12)+100)/100</f>
        <v>1</v>
      </c>
      <c r="L781" s="675"/>
      <c r="M781" s="3257">
        <f t="shared" ref="M781:M844" si="140">(SUMIF($13:$13,L781,$14:$14)-SUMIF($13:$13,$L$24,$14:$14)+100)/100</f>
        <v>1</v>
      </c>
      <c r="N781" s="675"/>
      <c r="O781" s="3257">
        <f t="shared" ref="O781:O844" si="141">(SUMIF($15:$15,N781,$16:$16)-SUMIF($15:$15,$N$24,$16:$16)+100)/100</f>
        <v>1</v>
      </c>
      <c r="P781" s="675"/>
      <c r="Q781" s="3257">
        <f t="shared" ref="Q781:Q844" si="142">(SUMIF($17:$17,P781,$18:$18)-SUMIF($17:$17,$P$24,$18:$18)+100)/100</f>
        <v>1</v>
      </c>
      <c r="R781" s="3258">
        <f t="shared" ref="R781:R844" ca="1" si="143">IF(B781="",0,ROUND($R$24*C781*E781*G781*I781*K781*M781*O781*Q781,0))</f>
        <v>5702</v>
      </c>
      <c r="S781" s="1070">
        <f t="shared" ref="S781:S844" ca="1" si="144">ROUND(R781*B781/10000,0)</f>
        <v>21</v>
      </c>
    </row>
    <row r="782" spans="1:19">
      <c r="A782" s="673" t="str">
        <f>Sheet1!E760</f>
        <v>K1-025</v>
      </c>
      <c r="B782" s="673">
        <f>Sheet1!F760</f>
        <v>37.520000000000003</v>
      </c>
      <c r="C782" s="3257">
        <f t="shared" si="135"/>
        <v>0.99</v>
      </c>
      <c r="D782" s="675"/>
      <c r="E782" s="3257">
        <f t="shared" si="136"/>
        <v>1</v>
      </c>
      <c r="F782" s="675"/>
      <c r="G782" s="3257">
        <f t="shared" si="137"/>
        <v>1</v>
      </c>
      <c r="H782" s="675"/>
      <c r="I782" s="3257">
        <f t="shared" si="138"/>
        <v>1</v>
      </c>
      <c r="J782" s="675"/>
      <c r="K782" s="3257">
        <f t="shared" si="139"/>
        <v>1</v>
      </c>
      <c r="L782" s="675"/>
      <c r="M782" s="3257">
        <f t="shared" si="140"/>
        <v>1</v>
      </c>
      <c r="N782" s="675"/>
      <c r="O782" s="3257">
        <f t="shared" si="141"/>
        <v>1</v>
      </c>
      <c r="P782" s="675"/>
      <c r="Q782" s="3257">
        <f t="shared" si="142"/>
        <v>1</v>
      </c>
      <c r="R782" s="3258">
        <f t="shared" ca="1" si="143"/>
        <v>5702</v>
      </c>
      <c r="S782" s="1070">
        <f t="shared" ca="1" si="144"/>
        <v>21</v>
      </c>
    </row>
    <row r="783" spans="1:19">
      <c r="A783" s="673" t="str">
        <f>Sheet1!E761</f>
        <v>K1-026</v>
      </c>
      <c r="B783" s="673">
        <f>Sheet1!F761</f>
        <v>37.520000000000003</v>
      </c>
      <c r="C783" s="3257">
        <f t="shared" si="135"/>
        <v>0.99</v>
      </c>
      <c r="D783" s="675"/>
      <c r="E783" s="3257">
        <f t="shared" si="136"/>
        <v>1</v>
      </c>
      <c r="F783" s="675"/>
      <c r="G783" s="3257">
        <f t="shared" si="137"/>
        <v>1</v>
      </c>
      <c r="H783" s="675"/>
      <c r="I783" s="3257">
        <f t="shared" si="138"/>
        <v>1</v>
      </c>
      <c r="J783" s="675"/>
      <c r="K783" s="3257">
        <f t="shared" si="139"/>
        <v>1</v>
      </c>
      <c r="L783" s="675"/>
      <c r="M783" s="3257">
        <f t="shared" si="140"/>
        <v>1</v>
      </c>
      <c r="N783" s="675"/>
      <c r="O783" s="3257">
        <f t="shared" si="141"/>
        <v>1</v>
      </c>
      <c r="P783" s="675"/>
      <c r="Q783" s="3257">
        <f t="shared" si="142"/>
        <v>1</v>
      </c>
      <c r="R783" s="3258">
        <f t="shared" ca="1" si="143"/>
        <v>5702</v>
      </c>
      <c r="S783" s="1070">
        <f t="shared" ca="1" si="144"/>
        <v>21</v>
      </c>
    </row>
    <row r="784" spans="1:19">
      <c r="A784" s="673" t="str">
        <f>Sheet1!E762</f>
        <v>K1-027</v>
      </c>
      <c r="B784" s="673">
        <f>Sheet1!F762</f>
        <v>37.520000000000003</v>
      </c>
      <c r="C784" s="3257">
        <f t="shared" si="135"/>
        <v>0.99</v>
      </c>
      <c r="D784" s="675"/>
      <c r="E784" s="3257">
        <f t="shared" si="136"/>
        <v>1</v>
      </c>
      <c r="F784" s="675"/>
      <c r="G784" s="3257">
        <f t="shared" si="137"/>
        <v>1</v>
      </c>
      <c r="H784" s="675"/>
      <c r="I784" s="3257">
        <f t="shared" si="138"/>
        <v>1</v>
      </c>
      <c r="J784" s="675"/>
      <c r="K784" s="3257">
        <f t="shared" si="139"/>
        <v>1</v>
      </c>
      <c r="L784" s="675"/>
      <c r="M784" s="3257">
        <f t="shared" si="140"/>
        <v>1</v>
      </c>
      <c r="N784" s="675"/>
      <c r="O784" s="3257">
        <f t="shared" si="141"/>
        <v>1</v>
      </c>
      <c r="P784" s="675"/>
      <c r="Q784" s="3257">
        <f t="shared" si="142"/>
        <v>1</v>
      </c>
      <c r="R784" s="3258">
        <f t="shared" ca="1" si="143"/>
        <v>5702</v>
      </c>
      <c r="S784" s="1070">
        <f t="shared" ca="1" si="144"/>
        <v>21</v>
      </c>
    </row>
    <row r="785" spans="1:19">
      <c r="A785" s="673" t="str">
        <f>Sheet1!E763</f>
        <v>K1-028</v>
      </c>
      <c r="B785" s="673">
        <f>Sheet1!F763</f>
        <v>37.520000000000003</v>
      </c>
      <c r="C785" s="3257">
        <f t="shared" si="135"/>
        <v>0.99</v>
      </c>
      <c r="D785" s="675"/>
      <c r="E785" s="3257">
        <f t="shared" si="136"/>
        <v>1</v>
      </c>
      <c r="F785" s="675"/>
      <c r="G785" s="3257">
        <f t="shared" si="137"/>
        <v>1</v>
      </c>
      <c r="H785" s="675"/>
      <c r="I785" s="3257">
        <f t="shared" si="138"/>
        <v>1</v>
      </c>
      <c r="J785" s="675"/>
      <c r="K785" s="3257">
        <f t="shared" si="139"/>
        <v>1</v>
      </c>
      <c r="L785" s="675"/>
      <c r="M785" s="3257">
        <f t="shared" si="140"/>
        <v>1</v>
      </c>
      <c r="N785" s="675"/>
      <c r="O785" s="3257">
        <f t="shared" si="141"/>
        <v>1</v>
      </c>
      <c r="P785" s="675"/>
      <c r="Q785" s="3257">
        <f t="shared" si="142"/>
        <v>1</v>
      </c>
      <c r="R785" s="3258">
        <f t="shared" ca="1" si="143"/>
        <v>5702</v>
      </c>
      <c r="S785" s="1070">
        <f t="shared" ca="1" si="144"/>
        <v>21</v>
      </c>
    </row>
    <row r="786" spans="1:19">
      <c r="A786" s="673" t="str">
        <f>Sheet1!E764</f>
        <v>K1-029</v>
      </c>
      <c r="B786" s="673">
        <f>Sheet1!F764</f>
        <v>37.520000000000003</v>
      </c>
      <c r="C786" s="3257">
        <f t="shared" si="135"/>
        <v>0.99</v>
      </c>
      <c r="D786" s="675"/>
      <c r="E786" s="3257">
        <f t="shared" si="136"/>
        <v>1</v>
      </c>
      <c r="F786" s="675"/>
      <c r="G786" s="3257">
        <f t="shared" si="137"/>
        <v>1</v>
      </c>
      <c r="H786" s="675"/>
      <c r="I786" s="3257">
        <f t="shared" si="138"/>
        <v>1</v>
      </c>
      <c r="J786" s="675"/>
      <c r="K786" s="3257">
        <f t="shared" si="139"/>
        <v>1</v>
      </c>
      <c r="L786" s="675"/>
      <c r="M786" s="3257">
        <f t="shared" si="140"/>
        <v>1</v>
      </c>
      <c r="N786" s="675"/>
      <c r="O786" s="3257">
        <f t="shared" si="141"/>
        <v>1</v>
      </c>
      <c r="P786" s="675"/>
      <c r="Q786" s="3257">
        <f t="shared" si="142"/>
        <v>1</v>
      </c>
      <c r="R786" s="3258">
        <f t="shared" ca="1" si="143"/>
        <v>5702</v>
      </c>
      <c r="S786" s="1070">
        <f t="shared" ca="1" si="144"/>
        <v>21</v>
      </c>
    </row>
    <row r="787" spans="1:19">
      <c r="A787" s="673" t="str">
        <f>Sheet1!E765</f>
        <v>K1-030</v>
      </c>
      <c r="B787" s="673">
        <f>Sheet1!F765</f>
        <v>37.520000000000003</v>
      </c>
      <c r="C787" s="3257">
        <f t="shared" si="135"/>
        <v>0.99</v>
      </c>
      <c r="D787" s="675"/>
      <c r="E787" s="3257">
        <f t="shared" si="136"/>
        <v>1</v>
      </c>
      <c r="F787" s="675"/>
      <c r="G787" s="3257">
        <f t="shared" si="137"/>
        <v>1</v>
      </c>
      <c r="H787" s="675"/>
      <c r="I787" s="3257">
        <f t="shared" si="138"/>
        <v>1</v>
      </c>
      <c r="J787" s="675"/>
      <c r="K787" s="3257">
        <f t="shared" si="139"/>
        <v>1</v>
      </c>
      <c r="L787" s="675"/>
      <c r="M787" s="3257">
        <f t="shared" si="140"/>
        <v>1</v>
      </c>
      <c r="N787" s="675"/>
      <c r="O787" s="3257">
        <f t="shared" si="141"/>
        <v>1</v>
      </c>
      <c r="P787" s="675"/>
      <c r="Q787" s="3257">
        <f t="shared" si="142"/>
        <v>1</v>
      </c>
      <c r="R787" s="3258">
        <f t="shared" ca="1" si="143"/>
        <v>5702</v>
      </c>
      <c r="S787" s="1070">
        <f t="shared" ca="1" si="144"/>
        <v>21</v>
      </c>
    </row>
    <row r="788" spans="1:19">
      <c r="A788" s="673" t="str">
        <f>Sheet1!E766</f>
        <v>K1-031</v>
      </c>
      <c r="B788" s="673">
        <f>Sheet1!F766</f>
        <v>37.520000000000003</v>
      </c>
      <c r="C788" s="3257">
        <f t="shared" si="135"/>
        <v>0.99</v>
      </c>
      <c r="D788" s="675"/>
      <c r="E788" s="3257">
        <f t="shared" si="136"/>
        <v>1</v>
      </c>
      <c r="F788" s="675"/>
      <c r="G788" s="3257">
        <f t="shared" si="137"/>
        <v>1</v>
      </c>
      <c r="H788" s="675"/>
      <c r="I788" s="3257">
        <f t="shared" si="138"/>
        <v>1</v>
      </c>
      <c r="J788" s="675"/>
      <c r="K788" s="3257">
        <f t="shared" si="139"/>
        <v>1</v>
      </c>
      <c r="L788" s="675"/>
      <c r="M788" s="3257">
        <f t="shared" si="140"/>
        <v>1</v>
      </c>
      <c r="N788" s="675"/>
      <c r="O788" s="3257">
        <f t="shared" si="141"/>
        <v>1</v>
      </c>
      <c r="P788" s="675"/>
      <c r="Q788" s="3257">
        <f t="shared" si="142"/>
        <v>1</v>
      </c>
      <c r="R788" s="3258">
        <f t="shared" ca="1" si="143"/>
        <v>5702</v>
      </c>
      <c r="S788" s="1070">
        <f t="shared" ca="1" si="144"/>
        <v>21</v>
      </c>
    </row>
    <row r="789" spans="1:19">
      <c r="A789" s="673" t="str">
        <f>Sheet1!E767</f>
        <v>K1-032</v>
      </c>
      <c r="B789" s="673">
        <f>Sheet1!F767</f>
        <v>37.520000000000003</v>
      </c>
      <c r="C789" s="3257">
        <f t="shared" si="135"/>
        <v>0.99</v>
      </c>
      <c r="D789" s="675"/>
      <c r="E789" s="3257">
        <f t="shared" si="136"/>
        <v>1</v>
      </c>
      <c r="F789" s="675"/>
      <c r="G789" s="3257">
        <f t="shared" si="137"/>
        <v>1</v>
      </c>
      <c r="H789" s="675"/>
      <c r="I789" s="3257">
        <f t="shared" si="138"/>
        <v>1</v>
      </c>
      <c r="J789" s="675"/>
      <c r="K789" s="3257">
        <f t="shared" si="139"/>
        <v>1</v>
      </c>
      <c r="L789" s="675"/>
      <c r="M789" s="3257">
        <f t="shared" si="140"/>
        <v>1</v>
      </c>
      <c r="N789" s="675"/>
      <c r="O789" s="3257">
        <f t="shared" si="141"/>
        <v>1</v>
      </c>
      <c r="P789" s="675"/>
      <c r="Q789" s="3257">
        <f t="shared" si="142"/>
        <v>1</v>
      </c>
      <c r="R789" s="3258">
        <f t="shared" ca="1" si="143"/>
        <v>5702</v>
      </c>
      <c r="S789" s="1070">
        <f t="shared" ca="1" si="144"/>
        <v>21</v>
      </c>
    </row>
    <row r="790" spans="1:19">
      <c r="A790" s="673" t="str">
        <f>Sheet1!E768</f>
        <v>K1-059</v>
      </c>
      <c r="B790" s="673">
        <f>Sheet1!F768</f>
        <v>39.090000000000003</v>
      </c>
      <c r="C790" s="3257">
        <f t="shared" si="135"/>
        <v>0.99</v>
      </c>
      <c r="D790" s="675"/>
      <c r="E790" s="3257">
        <f t="shared" si="136"/>
        <v>1</v>
      </c>
      <c r="F790" s="675"/>
      <c r="G790" s="3257">
        <f t="shared" si="137"/>
        <v>1</v>
      </c>
      <c r="H790" s="675"/>
      <c r="I790" s="3257">
        <f t="shared" si="138"/>
        <v>1</v>
      </c>
      <c r="J790" s="675"/>
      <c r="K790" s="3257">
        <f t="shared" si="139"/>
        <v>1</v>
      </c>
      <c r="L790" s="675"/>
      <c r="M790" s="3257">
        <f t="shared" si="140"/>
        <v>1</v>
      </c>
      <c r="N790" s="675"/>
      <c r="O790" s="3257">
        <f t="shared" si="141"/>
        <v>1</v>
      </c>
      <c r="P790" s="675"/>
      <c r="Q790" s="3257">
        <f t="shared" si="142"/>
        <v>1</v>
      </c>
      <c r="R790" s="3258">
        <f t="shared" ca="1" si="143"/>
        <v>5702</v>
      </c>
      <c r="S790" s="1070">
        <f t="shared" ca="1" si="144"/>
        <v>22</v>
      </c>
    </row>
    <row r="791" spans="1:19">
      <c r="A791" s="673" t="str">
        <f>Sheet1!E769</f>
        <v>K1-061</v>
      </c>
      <c r="B791" s="673">
        <f>Sheet1!F769</f>
        <v>39.090000000000003</v>
      </c>
      <c r="C791" s="3257">
        <f t="shared" si="135"/>
        <v>0.99</v>
      </c>
      <c r="D791" s="675"/>
      <c r="E791" s="3257">
        <f t="shared" si="136"/>
        <v>1</v>
      </c>
      <c r="F791" s="675"/>
      <c r="G791" s="3257">
        <f t="shared" si="137"/>
        <v>1</v>
      </c>
      <c r="H791" s="675"/>
      <c r="I791" s="3257">
        <f t="shared" si="138"/>
        <v>1</v>
      </c>
      <c r="J791" s="675"/>
      <c r="K791" s="3257">
        <f t="shared" si="139"/>
        <v>1</v>
      </c>
      <c r="L791" s="675"/>
      <c r="M791" s="3257">
        <f t="shared" si="140"/>
        <v>1</v>
      </c>
      <c r="N791" s="675"/>
      <c r="O791" s="3257">
        <f t="shared" si="141"/>
        <v>1</v>
      </c>
      <c r="P791" s="675"/>
      <c r="Q791" s="3257">
        <f t="shared" si="142"/>
        <v>1</v>
      </c>
      <c r="R791" s="3258">
        <f t="shared" ca="1" si="143"/>
        <v>5702</v>
      </c>
      <c r="S791" s="1070">
        <f t="shared" ca="1" si="144"/>
        <v>22</v>
      </c>
    </row>
    <row r="792" spans="1:19">
      <c r="A792" s="673" t="str">
        <f>Sheet1!E770</f>
        <v>K1-062</v>
      </c>
      <c r="B792" s="673">
        <f>Sheet1!F770</f>
        <v>39.090000000000003</v>
      </c>
      <c r="C792" s="3257">
        <f t="shared" si="135"/>
        <v>0.99</v>
      </c>
      <c r="D792" s="675"/>
      <c r="E792" s="3257">
        <f t="shared" si="136"/>
        <v>1</v>
      </c>
      <c r="F792" s="675"/>
      <c r="G792" s="3257">
        <f t="shared" si="137"/>
        <v>1</v>
      </c>
      <c r="H792" s="675"/>
      <c r="I792" s="3257">
        <f t="shared" si="138"/>
        <v>1</v>
      </c>
      <c r="J792" s="675"/>
      <c r="K792" s="3257">
        <f t="shared" si="139"/>
        <v>1</v>
      </c>
      <c r="L792" s="675"/>
      <c r="M792" s="3257">
        <f t="shared" si="140"/>
        <v>1</v>
      </c>
      <c r="N792" s="675"/>
      <c r="O792" s="3257">
        <f t="shared" si="141"/>
        <v>1</v>
      </c>
      <c r="P792" s="675"/>
      <c r="Q792" s="3257">
        <f t="shared" si="142"/>
        <v>1</v>
      </c>
      <c r="R792" s="3258">
        <f t="shared" ca="1" si="143"/>
        <v>5702</v>
      </c>
      <c r="S792" s="1070">
        <f t="shared" ca="1" si="144"/>
        <v>22</v>
      </c>
    </row>
    <row r="793" spans="1:19">
      <c r="A793" s="673" t="str">
        <f>Sheet1!E771</f>
        <v>K1-063</v>
      </c>
      <c r="B793" s="673">
        <f>Sheet1!F771</f>
        <v>39.090000000000003</v>
      </c>
      <c r="C793" s="3257">
        <f t="shared" si="135"/>
        <v>0.99</v>
      </c>
      <c r="D793" s="675"/>
      <c r="E793" s="3257">
        <f t="shared" si="136"/>
        <v>1</v>
      </c>
      <c r="F793" s="675"/>
      <c r="G793" s="3257">
        <f t="shared" si="137"/>
        <v>1</v>
      </c>
      <c r="H793" s="675"/>
      <c r="I793" s="3257">
        <f t="shared" si="138"/>
        <v>1</v>
      </c>
      <c r="J793" s="675"/>
      <c r="K793" s="3257">
        <f t="shared" si="139"/>
        <v>1</v>
      </c>
      <c r="L793" s="675"/>
      <c r="M793" s="3257">
        <f t="shared" si="140"/>
        <v>1</v>
      </c>
      <c r="N793" s="675"/>
      <c r="O793" s="3257">
        <f t="shared" si="141"/>
        <v>1</v>
      </c>
      <c r="P793" s="675"/>
      <c r="Q793" s="3257">
        <f t="shared" si="142"/>
        <v>1</v>
      </c>
      <c r="R793" s="3258">
        <f t="shared" ca="1" si="143"/>
        <v>5702</v>
      </c>
      <c r="S793" s="1070">
        <f t="shared" ca="1" si="144"/>
        <v>22</v>
      </c>
    </row>
    <row r="794" spans="1:19">
      <c r="A794" s="673" t="str">
        <f>Sheet1!E772</f>
        <v>K1-064</v>
      </c>
      <c r="B794" s="673">
        <f>Sheet1!F772</f>
        <v>39.090000000000003</v>
      </c>
      <c r="C794" s="3257">
        <f t="shared" si="135"/>
        <v>0.99</v>
      </c>
      <c r="D794" s="675"/>
      <c r="E794" s="3257">
        <f t="shared" si="136"/>
        <v>1</v>
      </c>
      <c r="F794" s="675"/>
      <c r="G794" s="3257">
        <f t="shared" si="137"/>
        <v>1</v>
      </c>
      <c r="H794" s="675"/>
      <c r="I794" s="3257">
        <f t="shared" si="138"/>
        <v>1</v>
      </c>
      <c r="J794" s="675"/>
      <c r="K794" s="3257">
        <f t="shared" si="139"/>
        <v>1</v>
      </c>
      <c r="L794" s="675"/>
      <c r="M794" s="3257">
        <f t="shared" si="140"/>
        <v>1</v>
      </c>
      <c r="N794" s="675"/>
      <c r="O794" s="3257">
        <f t="shared" si="141"/>
        <v>1</v>
      </c>
      <c r="P794" s="675"/>
      <c r="Q794" s="3257">
        <f t="shared" si="142"/>
        <v>1</v>
      </c>
      <c r="R794" s="3258">
        <f t="shared" ca="1" si="143"/>
        <v>5702</v>
      </c>
      <c r="S794" s="1070">
        <f t="shared" ca="1" si="144"/>
        <v>22</v>
      </c>
    </row>
    <row r="795" spans="1:19">
      <c r="A795" s="673" t="str">
        <f>Sheet1!E773</f>
        <v>K1-067</v>
      </c>
      <c r="B795" s="673">
        <f>Sheet1!F773</f>
        <v>39.090000000000003</v>
      </c>
      <c r="C795" s="3257">
        <f t="shared" si="135"/>
        <v>0.99</v>
      </c>
      <c r="D795" s="675"/>
      <c r="E795" s="3257">
        <f t="shared" si="136"/>
        <v>1</v>
      </c>
      <c r="F795" s="675"/>
      <c r="G795" s="3257">
        <f t="shared" si="137"/>
        <v>1</v>
      </c>
      <c r="H795" s="675"/>
      <c r="I795" s="3257">
        <f t="shared" si="138"/>
        <v>1</v>
      </c>
      <c r="J795" s="675"/>
      <c r="K795" s="3257">
        <f t="shared" si="139"/>
        <v>1</v>
      </c>
      <c r="L795" s="675"/>
      <c r="M795" s="3257">
        <f t="shared" si="140"/>
        <v>1</v>
      </c>
      <c r="N795" s="675"/>
      <c r="O795" s="3257">
        <f t="shared" si="141"/>
        <v>1</v>
      </c>
      <c r="P795" s="675"/>
      <c r="Q795" s="3257">
        <f t="shared" si="142"/>
        <v>1</v>
      </c>
      <c r="R795" s="3258">
        <f t="shared" ca="1" si="143"/>
        <v>5702</v>
      </c>
      <c r="S795" s="1070">
        <f t="shared" ca="1" si="144"/>
        <v>22</v>
      </c>
    </row>
    <row r="796" spans="1:19">
      <c r="A796" s="673" t="str">
        <f>Sheet1!E774</f>
        <v>K1-070</v>
      </c>
      <c r="B796" s="673">
        <f>Sheet1!F774</f>
        <v>39.090000000000003</v>
      </c>
      <c r="C796" s="3257">
        <f t="shared" si="135"/>
        <v>0.99</v>
      </c>
      <c r="D796" s="675"/>
      <c r="E796" s="3257">
        <f t="shared" si="136"/>
        <v>1</v>
      </c>
      <c r="F796" s="675"/>
      <c r="G796" s="3257">
        <f t="shared" si="137"/>
        <v>1</v>
      </c>
      <c r="H796" s="675"/>
      <c r="I796" s="3257">
        <f t="shared" si="138"/>
        <v>1</v>
      </c>
      <c r="J796" s="675"/>
      <c r="K796" s="3257">
        <f t="shared" si="139"/>
        <v>1</v>
      </c>
      <c r="L796" s="675"/>
      <c r="M796" s="3257">
        <f t="shared" si="140"/>
        <v>1</v>
      </c>
      <c r="N796" s="675"/>
      <c r="O796" s="3257">
        <f t="shared" si="141"/>
        <v>1</v>
      </c>
      <c r="P796" s="675"/>
      <c r="Q796" s="3257">
        <f t="shared" si="142"/>
        <v>1</v>
      </c>
      <c r="R796" s="3258">
        <f t="shared" ca="1" si="143"/>
        <v>5702</v>
      </c>
      <c r="S796" s="1070">
        <f t="shared" ca="1" si="144"/>
        <v>22</v>
      </c>
    </row>
    <row r="797" spans="1:19">
      <c r="A797" s="673" t="str">
        <f>Sheet1!E775</f>
        <v>K1-071</v>
      </c>
      <c r="B797" s="673">
        <f>Sheet1!F775</f>
        <v>39.090000000000003</v>
      </c>
      <c r="C797" s="3257">
        <f t="shared" si="135"/>
        <v>0.99</v>
      </c>
      <c r="D797" s="675"/>
      <c r="E797" s="3257">
        <f t="shared" si="136"/>
        <v>1</v>
      </c>
      <c r="F797" s="675"/>
      <c r="G797" s="3257">
        <f t="shared" si="137"/>
        <v>1</v>
      </c>
      <c r="H797" s="675"/>
      <c r="I797" s="3257">
        <f t="shared" si="138"/>
        <v>1</v>
      </c>
      <c r="J797" s="675"/>
      <c r="K797" s="3257">
        <f t="shared" si="139"/>
        <v>1</v>
      </c>
      <c r="L797" s="675"/>
      <c r="M797" s="3257">
        <f t="shared" si="140"/>
        <v>1</v>
      </c>
      <c r="N797" s="675"/>
      <c r="O797" s="3257">
        <f t="shared" si="141"/>
        <v>1</v>
      </c>
      <c r="P797" s="675"/>
      <c r="Q797" s="3257">
        <f t="shared" si="142"/>
        <v>1</v>
      </c>
      <c r="R797" s="3258">
        <f t="shared" ca="1" si="143"/>
        <v>5702</v>
      </c>
      <c r="S797" s="1070">
        <f t="shared" ca="1" si="144"/>
        <v>22</v>
      </c>
    </row>
    <row r="798" spans="1:19">
      <c r="A798" s="673" t="str">
        <f>Sheet1!E776</f>
        <v>K1-072</v>
      </c>
      <c r="B798" s="673">
        <f>Sheet1!F776</f>
        <v>39.090000000000003</v>
      </c>
      <c r="C798" s="3257">
        <f t="shared" si="135"/>
        <v>0.99</v>
      </c>
      <c r="D798" s="675"/>
      <c r="E798" s="3257">
        <f t="shared" si="136"/>
        <v>1</v>
      </c>
      <c r="F798" s="675"/>
      <c r="G798" s="3257">
        <f t="shared" si="137"/>
        <v>1</v>
      </c>
      <c r="H798" s="675"/>
      <c r="I798" s="3257">
        <f t="shared" si="138"/>
        <v>1</v>
      </c>
      <c r="J798" s="675"/>
      <c r="K798" s="3257">
        <f t="shared" si="139"/>
        <v>1</v>
      </c>
      <c r="L798" s="675"/>
      <c r="M798" s="3257">
        <f t="shared" si="140"/>
        <v>1</v>
      </c>
      <c r="N798" s="675"/>
      <c r="O798" s="3257">
        <f t="shared" si="141"/>
        <v>1</v>
      </c>
      <c r="P798" s="675"/>
      <c r="Q798" s="3257">
        <f t="shared" si="142"/>
        <v>1</v>
      </c>
      <c r="R798" s="3258">
        <f t="shared" ca="1" si="143"/>
        <v>5702</v>
      </c>
      <c r="S798" s="1070">
        <f t="shared" ca="1" si="144"/>
        <v>22</v>
      </c>
    </row>
    <row r="799" spans="1:19">
      <c r="A799" s="673" t="str">
        <f>Sheet1!E777</f>
        <v>K1-076</v>
      </c>
      <c r="B799" s="673">
        <f>Sheet1!F777</f>
        <v>36.74</v>
      </c>
      <c r="C799" s="3257">
        <f t="shared" si="135"/>
        <v>0.99</v>
      </c>
      <c r="D799" s="675"/>
      <c r="E799" s="3257">
        <f t="shared" si="136"/>
        <v>1</v>
      </c>
      <c r="F799" s="675"/>
      <c r="G799" s="3257">
        <f t="shared" si="137"/>
        <v>1</v>
      </c>
      <c r="H799" s="675"/>
      <c r="I799" s="3257">
        <f t="shared" si="138"/>
        <v>1</v>
      </c>
      <c r="J799" s="675"/>
      <c r="K799" s="3257">
        <f t="shared" si="139"/>
        <v>1</v>
      </c>
      <c r="L799" s="675"/>
      <c r="M799" s="3257">
        <f t="shared" si="140"/>
        <v>1</v>
      </c>
      <c r="N799" s="675"/>
      <c r="O799" s="3257">
        <f t="shared" si="141"/>
        <v>1</v>
      </c>
      <c r="P799" s="675"/>
      <c r="Q799" s="3257">
        <f t="shared" si="142"/>
        <v>1</v>
      </c>
      <c r="R799" s="3258">
        <f t="shared" ca="1" si="143"/>
        <v>5702</v>
      </c>
      <c r="S799" s="1070">
        <f t="shared" ca="1" si="144"/>
        <v>21</v>
      </c>
    </row>
    <row r="800" spans="1:19">
      <c r="A800" s="673" t="str">
        <f>Sheet1!E778</f>
        <v>K1-077</v>
      </c>
      <c r="B800" s="673">
        <f>Sheet1!F778</f>
        <v>36.74</v>
      </c>
      <c r="C800" s="3257">
        <f t="shared" si="135"/>
        <v>0.99</v>
      </c>
      <c r="D800" s="675"/>
      <c r="E800" s="3257">
        <f t="shared" si="136"/>
        <v>1</v>
      </c>
      <c r="F800" s="675"/>
      <c r="G800" s="3257">
        <f t="shared" si="137"/>
        <v>1</v>
      </c>
      <c r="H800" s="675"/>
      <c r="I800" s="3257">
        <f t="shared" si="138"/>
        <v>1</v>
      </c>
      <c r="J800" s="675"/>
      <c r="K800" s="3257">
        <f t="shared" si="139"/>
        <v>1</v>
      </c>
      <c r="L800" s="675"/>
      <c r="M800" s="3257">
        <f t="shared" si="140"/>
        <v>1</v>
      </c>
      <c r="N800" s="675"/>
      <c r="O800" s="3257">
        <f t="shared" si="141"/>
        <v>1</v>
      </c>
      <c r="P800" s="675"/>
      <c r="Q800" s="3257">
        <f t="shared" si="142"/>
        <v>1</v>
      </c>
      <c r="R800" s="3258">
        <f t="shared" ca="1" si="143"/>
        <v>5702</v>
      </c>
      <c r="S800" s="1070">
        <f t="shared" ca="1" si="144"/>
        <v>21</v>
      </c>
    </row>
    <row r="801" spans="1:19">
      <c r="A801" s="673" t="str">
        <f>Sheet1!E779</f>
        <v>K1-080</v>
      </c>
      <c r="B801" s="673">
        <f>Sheet1!F779</f>
        <v>36.74</v>
      </c>
      <c r="C801" s="3257">
        <f t="shared" si="135"/>
        <v>0.99</v>
      </c>
      <c r="D801" s="675"/>
      <c r="E801" s="3257">
        <f t="shared" si="136"/>
        <v>1</v>
      </c>
      <c r="F801" s="675"/>
      <c r="G801" s="3257">
        <f t="shared" si="137"/>
        <v>1</v>
      </c>
      <c r="H801" s="675"/>
      <c r="I801" s="3257">
        <f t="shared" si="138"/>
        <v>1</v>
      </c>
      <c r="J801" s="675"/>
      <c r="K801" s="3257">
        <f t="shared" si="139"/>
        <v>1</v>
      </c>
      <c r="L801" s="675"/>
      <c r="M801" s="3257">
        <f t="shared" si="140"/>
        <v>1</v>
      </c>
      <c r="N801" s="675"/>
      <c r="O801" s="3257">
        <f t="shared" si="141"/>
        <v>1</v>
      </c>
      <c r="P801" s="675"/>
      <c r="Q801" s="3257">
        <f t="shared" si="142"/>
        <v>1</v>
      </c>
      <c r="R801" s="3258">
        <f t="shared" ca="1" si="143"/>
        <v>5702</v>
      </c>
      <c r="S801" s="1070">
        <f t="shared" ca="1" si="144"/>
        <v>21</v>
      </c>
    </row>
    <row r="802" spans="1:19">
      <c r="A802" s="673" t="str">
        <f>Sheet1!E780</f>
        <v>K1-082</v>
      </c>
      <c r="B802" s="673">
        <f>Sheet1!F780</f>
        <v>36.74</v>
      </c>
      <c r="C802" s="3257">
        <f t="shared" si="135"/>
        <v>0.99</v>
      </c>
      <c r="D802" s="675"/>
      <c r="E802" s="3257">
        <f t="shared" si="136"/>
        <v>1</v>
      </c>
      <c r="F802" s="675"/>
      <c r="G802" s="3257">
        <f t="shared" si="137"/>
        <v>1</v>
      </c>
      <c r="H802" s="675"/>
      <c r="I802" s="3257">
        <f t="shared" si="138"/>
        <v>1</v>
      </c>
      <c r="J802" s="675"/>
      <c r="K802" s="3257">
        <f t="shared" si="139"/>
        <v>1</v>
      </c>
      <c r="L802" s="675"/>
      <c r="M802" s="3257">
        <f t="shared" si="140"/>
        <v>1</v>
      </c>
      <c r="N802" s="675"/>
      <c r="O802" s="3257">
        <f t="shared" si="141"/>
        <v>1</v>
      </c>
      <c r="P802" s="675"/>
      <c r="Q802" s="3257">
        <f t="shared" si="142"/>
        <v>1</v>
      </c>
      <c r="R802" s="3258">
        <f t="shared" ca="1" si="143"/>
        <v>5702</v>
      </c>
      <c r="S802" s="1070">
        <f t="shared" ca="1" si="144"/>
        <v>21</v>
      </c>
    </row>
    <row r="803" spans="1:19">
      <c r="A803" s="673" t="str">
        <f>Sheet1!E781</f>
        <v>K1-083</v>
      </c>
      <c r="B803" s="673">
        <f>Sheet1!F781</f>
        <v>36.74</v>
      </c>
      <c r="C803" s="3257">
        <f t="shared" si="135"/>
        <v>0.99</v>
      </c>
      <c r="D803" s="675"/>
      <c r="E803" s="3257">
        <f t="shared" si="136"/>
        <v>1</v>
      </c>
      <c r="F803" s="675"/>
      <c r="G803" s="3257">
        <f t="shared" si="137"/>
        <v>1</v>
      </c>
      <c r="H803" s="675"/>
      <c r="I803" s="3257">
        <f t="shared" si="138"/>
        <v>1</v>
      </c>
      <c r="J803" s="675"/>
      <c r="K803" s="3257">
        <f t="shared" si="139"/>
        <v>1</v>
      </c>
      <c r="L803" s="675"/>
      <c r="M803" s="3257">
        <f t="shared" si="140"/>
        <v>1</v>
      </c>
      <c r="N803" s="675"/>
      <c r="O803" s="3257">
        <f t="shared" si="141"/>
        <v>1</v>
      </c>
      <c r="P803" s="675"/>
      <c r="Q803" s="3257">
        <f t="shared" si="142"/>
        <v>1</v>
      </c>
      <c r="R803" s="3258">
        <f t="shared" ca="1" si="143"/>
        <v>5702</v>
      </c>
      <c r="S803" s="1070">
        <f t="shared" ca="1" si="144"/>
        <v>21</v>
      </c>
    </row>
    <row r="804" spans="1:19">
      <c r="A804" s="673" t="str">
        <f>Sheet1!E782</f>
        <v>K1-084</v>
      </c>
      <c r="B804" s="673">
        <f>Sheet1!F782</f>
        <v>36.74</v>
      </c>
      <c r="C804" s="3257">
        <f t="shared" si="135"/>
        <v>0.99</v>
      </c>
      <c r="D804" s="675"/>
      <c r="E804" s="3257">
        <f t="shared" si="136"/>
        <v>1</v>
      </c>
      <c r="F804" s="675"/>
      <c r="G804" s="3257">
        <f t="shared" si="137"/>
        <v>1</v>
      </c>
      <c r="H804" s="675"/>
      <c r="I804" s="3257">
        <f t="shared" si="138"/>
        <v>1</v>
      </c>
      <c r="J804" s="675"/>
      <c r="K804" s="3257">
        <f t="shared" si="139"/>
        <v>1</v>
      </c>
      <c r="L804" s="675"/>
      <c r="M804" s="3257">
        <f t="shared" si="140"/>
        <v>1</v>
      </c>
      <c r="N804" s="675"/>
      <c r="O804" s="3257">
        <f t="shared" si="141"/>
        <v>1</v>
      </c>
      <c r="P804" s="675"/>
      <c r="Q804" s="3257">
        <f t="shared" si="142"/>
        <v>1</v>
      </c>
      <c r="R804" s="3258">
        <f t="shared" ca="1" si="143"/>
        <v>5702</v>
      </c>
      <c r="S804" s="1070">
        <f t="shared" ca="1" si="144"/>
        <v>21</v>
      </c>
    </row>
    <row r="805" spans="1:19">
      <c r="A805" s="673" t="str">
        <f>Sheet1!E783</f>
        <v>K1-085</v>
      </c>
      <c r="B805" s="673">
        <f>Sheet1!F783</f>
        <v>36.74</v>
      </c>
      <c r="C805" s="3257">
        <f t="shared" si="135"/>
        <v>0.99</v>
      </c>
      <c r="D805" s="675"/>
      <c r="E805" s="3257">
        <f t="shared" si="136"/>
        <v>1</v>
      </c>
      <c r="F805" s="675"/>
      <c r="G805" s="3257">
        <f t="shared" si="137"/>
        <v>1</v>
      </c>
      <c r="H805" s="675"/>
      <c r="I805" s="3257">
        <f t="shared" si="138"/>
        <v>1</v>
      </c>
      <c r="J805" s="675"/>
      <c r="K805" s="3257">
        <f t="shared" si="139"/>
        <v>1</v>
      </c>
      <c r="L805" s="675"/>
      <c r="M805" s="3257">
        <f t="shared" si="140"/>
        <v>1</v>
      </c>
      <c r="N805" s="675"/>
      <c r="O805" s="3257">
        <f t="shared" si="141"/>
        <v>1</v>
      </c>
      <c r="P805" s="675"/>
      <c r="Q805" s="3257">
        <f t="shared" si="142"/>
        <v>1</v>
      </c>
      <c r="R805" s="3258">
        <f t="shared" ca="1" si="143"/>
        <v>5702</v>
      </c>
      <c r="S805" s="1070">
        <f t="shared" ca="1" si="144"/>
        <v>21</v>
      </c>
    </row>
    <row r="806" spans="1:19">
      <c r="A806" s="673" t="str">
        <f>Sheet1!E784</f>
        <v>K1-086</v>
      </c>
      <c r="B806" s="673">
        <f>Sheet1!F784</f>
        <v>36.74</v>
      </c>
      <c r="C806" s="3257">
        <f t="shared" si="135"/>
        <v>0.99</v>
      </c>
      <c r="D806" s="675"/>
      <c r="E806" s="3257">
        <f t="shared" si="136"/>
        <v>1</v>
      </c>
      <c r="F806" s="675"/>
      <c r="G806" s="3257">
        <f t="shared" si="137"/>
        <v>1</v>
      </c>
      <c r="H806" s="675"/>
      <c r="I806" s="3257">
        <f t="shared" si="138"/>
        <v>1</v>
      </c>
      <c r="J806" s="675"/>
      <c r="K806" s="3257">
        <f t="shared" si="139"/>
        <v>1</v>
      </c>
      <c r="L806" s="675"/>
      <c r="M806" s="3257">
        <f t="shared" si="140"/>
        <v>1</v>
      </c>
      <c r="N806" s="675"/>
      <c r="O806" s="3257">
        <f t="shared" si="141"/>
        <v>1</v>
      </c>
      <c r="P806" s="675"/>
      <c r="Q806" s="3257">
        <f t="shared" si="142"/>
        <v>1</v>
      </c>
      <c r="R806" s="3258">
        <f t="shared" ca="1" si="143"/>
        <v>5702</v>
      </c>
      <c r="S806" s="1070">
        <f t="shared" ca="1" si="144"/>
        <v>21</v>
      </c>
    </row>
    <row r="807" spans="1:19">
      <c r="A807" s="673" t="str">
        <f>Sheet1!E785</f>
        <v>K1-087</v>
      </c>
      <c r="B807" s="673">
        <f>Sheet1!F785</f>
        <v>36.74</v>
      </c>
      <c r="C807" s="3257">
        <f t="shared" si="135"/>
        <v>0.99</v>
      </c>
      <c r="D807" s="675"/>
      <c r="E807" s="3257">
        <f t="shared" si="136"/>
        <v>1</v>
      </c>
      <c r="F807" s="675"/>
      <c r="G807" s="3257">
        <f t="shared" si="137"/>
        <v>1</v>
      </c>
      <c r="H807" s="675"/>
      <c r="I807" s="3257">
        <f t="shared" si="138"/>
        <v>1</v>
      </c>
      <c r="J807" s="675"/>
      <c r="K807" s="3257">
        <f t="shared" si="139"/>
        <v>1</v>
      </c>
      <c r="L807" s="675"/>
      <c r="M807" s="3257">
        <f t="shared" si="140"/>
        <v>1</v>
      </c>
      <c r="N807" s="675"/>
      <c r="O807" s="3257">
        <f t="shared" si="141"/>
        <v>1</v>
      </c>
      <c r="P807" s="675"/>
      <c r="Q807" s="3257">
        <f t="shared" si="142"/>
        <v>1</v>
      </c>
      <c r="R807" s="3258">
        <f t="shared" ca="1" si="143"/>
        <v>5702</v>
      </c>
      <c r="S807" s="1070">
        <f t="shared" ca="1" si="144"/>
        <v>21</v>
      </c>
    </row>
    <row r="808" spans="1:19">
      <c r="A808" s="673" t="str">
        <f>Sheet1!E786</f>
        <v>K1-088</v>
      </c>
      <c r="B808" s="673">
        <f>Sheet1!F786</f>
        <v>39.090000000000003</v>
      </c>
      <c r="C808" s="3257">
        <f t="shared" si="135"/>
        <v>0.99</v>
      </c>
      <c r="D808" s="675"/>
      <c r="E808" s="3257">
        <f t="shared" si="136"/>
        <v>1</v>
      </c>
      <c r="F808" s="675"/>
      <c r="G808" s="3257">
        <f t="shared" si="137"/>
        <v>1</v>
      </c>
      <c r="H808" s="675"/>
      <c r="I808" s="3257">
        <f t="shared" si="138"/>
        <v>1</v>
      </c>
      <c r="J808" s="675"/>
      <c r="K808" s="3257">
        <f t="shared" si="139"/>
        <v>1</v>
      </c>
      <c r="L808" s="675"/>
      <c r="M808" s="3257">
        <f t="shared" si="140"/>
        <v>1</v>
      </c>
      <c r="N808" s="675"/>
      <c r="O808" s="3257">
        <f t="shared" si="141"/>
        <v>1</v>
      </c>
      <c r="P808" s="675"/>
      <c r="Q808" s="3257">
        <f t="shared" si="142"/>
        <v>1</v>
      </c>
      <c r="R808" s="3258">
        <f t="shared" ca="1" si="143"/>
        <v>5702</v>
      </c>
      <c r="S808" s="1070">
        <f t="shared" ca="1" si="144"/>
        <v>22</v>
      </c>
    </row>
    <row r="809" spans="1:19">
      <c r="A809" s="673" t="str">
        <f>Sheet1!E787</f>
        <v>K1-089</v>
      </c>
      <c r="B809" s="673">
        <f>Sheet1!F787</f>
        <v>39.090000000000003</v>
      </c>
      <c r="C809" s="3257">
        <f t="shared" si="135"/>
        <v>0.99</v>
      </c>
      <c r="D809" s="675"/>
      <c r="E809" s="3257">
        <f t="shared" si="136"/>
        <v>1</v>
      </c>
      <c r="F809" s="675"/>
      <c r="G809" s="3257">
        <f t="shared" si="137"/>
        <v>1</v>
      </c>
      <c r="H809" s="675"/>
      <c r="I809" s="3257">
        <f t="shared" si="138"/>
        <v>1</v>
      </c>
      <c r="J809" s="675"/>
      <c r="K809" s="3257">
        <f t="shared" si="139"/>
        <v>1</v>
      </c>
      <c r="L809" s="675"/>
      <c r="M809" s="3257">
        <f t="shared" si="140"/>
        <v>1</v>
      </c>
      <c r="N809" s="675"/>
      <c r="O809" s="3257">
        <f t="shared" si="141"/>
        <v>1</v>
      </c>
      <c r="P809" s="675"/>
      <c r="Q809" s="3257">
        <f t="shared" si="142"/>
        <v>1</v>
      </c>
      <c r="R809" s="3258">
        <f t="shared" ca="1" si="143"/>
        <v>5702</v>
      </c>
      <c r="S809" s="1070">
        <f t="shared" ca="1" si="144"/>
        <v>22</v>
      </c>
    </row>
    <row r="810" spans="1:19">
      <c r="A810" s="673" t="str">
        <f>Sheet1!E788</f>
        <v>K1-090</v>
      </c>
      <c r="B810" s="673">
        <f>Sheet1!F788</f>
        <v>39.090000000000003</v>
      </c>
      <c r="C810" s="3257">
        <f t="shared" si="135"/>
        <v>0.99</v>
      </c>
      <c r="D810" s="675"/>
      <c r="E810" s="3257">
        <f t="shared" si="136"/>
        <v>1</v>
      </c>
      <c r="F810" s="675"/>
      <c r="G810" s="3257">
        <f t="shared" si="137"/>
        <v>1</v>
      </c>
      <c r="H810" s="675"/>
      <c r="I810" s="3257">
        <f t="shared" si="138"/>
        <v>1</v>
      </c>
      <c r="J810" s="675"/>
      <c r="K810" s="3257">
        <f t="shared" si="139"/>
        <v>1</v>
      </c>
      <c r="L810" s="675"/>
      <c r="M810" s="3257">
        <f t="shared" si="140"/>
        <v>1</v>
      </c>
      <c r="N810" s="675"/>
      <c r="O810" s="3257">
        <f t="shared" si="141"/>
        <v>1</v>
      </c>
      <c r="P810" s="675"/>
      <c r="Q810" s="3257">
        <f t="shared" si="142"/>
        <v>1</v>
      </c>
      <c r="R810" s="3258">
        <f t="shared" ca="1" si="143"/>
        <v>5702</v>
      </c>
      <c r="S810" s="1070">
        <f t="shared" ca="1" si="144"/>
        <v>22</v>
      </c>
    </row>
    <row r="811" spans="1:19">
      <c r="A811" s="673" t="str">
        <f>Sheet1!E789</f>
        <v>K1-091</v>
      </c>
      <c r="B811" s="673">
        <f>Sheet1!F789</f>
        <v>39.090000000000003</v>
      </c>
      <c r="C811" s="3257">
        <f t="shared" si="135"/>
        <v>0.99</v>
      </c>
      <c r="D811" s="675"/>
      <c r="E811" s="3257">
        <f t="shared" si="136"/>
        <v>1</v>
      </c>
      <c r="F811" s="675"/>
      <c r="G811" s="3257">
        <f t="shared" si="137"/>
        <v>1</v>
      </c>
      <c r="H811" s="675"/>
      <c r="I811" s="3257">
        <f t="shared" si="138"/>
        <v>1</v>
      </c>
      <c r="J811" s="675"/>
      <c r="K811" s="3257">
        <f t="shared" si="139"/>
        <v>1</v>
      </c>
      <c r="L811" s="675"/>
      <c r="M811" s="3257">
        <f t="shared" si="140"/>
        <v>1</v>
      </c>
      <c r="N811" s="675"/>
      <c r="O811" s="3257">
        <f t="shared" si="141"/>
        <v>1</v>
      </c>
      <c r="P811" s="675"/>
      <c r="Q811" s="3257">
        <f t="shared" si="142"/>
        <v>1</v>
      </c>
      <c r="R811" s="3258">
        <f t="shared" ca="1" si="143"/>
        <v>5702</v>
      </c>
      <c r="S811" s="1070">
        <f t="shared" ca="1" si="144"/>
        <v>22</v>
      </c>
    </row>
    <row r="812" spans="1:19">
      <c r="A812" s="673" t="str">
        <f>Sheet1!E790</f>
        <v>K1-092</v>
      </c>
      <c r="B812" s="673">
        <f>Sheet1!F790</f>
        <v>39.090000000000003</v>
      </c>
      <c r="C812" s="3257">
        <f t="shared" si="135"/>
        <v>0.99</v>
      </c>
      <c r="D812" s="675"/>
      <c r="E812" s="3257">
        <f t="shared" si="136"/>
        <v>1</v>
      </c>
      <c r="F812" s="675"/>
      <c r="G812" s="3257">
        <f t="shared" si="137"/>
        <v>1</v>
      </c>
      <c r="H812" s="675"/>
      <c r="I812" s="3257">
        <f t="shared" si="138"/>
        <v>1</v>
      </c>
      <c r="J812" s="675"/>
      <c r="K812" s="3257">
        <f t="shared" si="139"/>
        <v>1</v>
      </c>
      <c r="L812" s="675"/>
      <c r="M812" s="3257">
        <f t="shared" si="140"/>
        <v>1</v>
      </c>
      <c r="N812" s="675"/>
      <c r="O812" s="3257">
        <f t="shared" si="141"/>
        <v>1</v>
      </c>
      <c r="P812" s="675"/>
      <c r="Q812" s="3257">
        <f t="shared" si="142"/>
        <v>1</v>
      </c>
      <c r="R812" s="3258">
        <f t="shared" ca="1" si="143"/>
        <v>5702</v>
      </c>
      <c r="S812" s="1070">
        <f t="shared" ca="1" si="144"/>
        <v>22</v>
      </c>
    </row>
    <row r="813" spans="1:19">
      <c r="A813" s="673" t="str">
        <f>Sheet1!E791</f>
        <v>K1-094</v>
      </c>
      <c r="B813" s="673">
        <f>Sheet1!F791</f>
        <v>39.090000000000003</v>
      </c>
      <c r="C813" s="3257">
        <f t="shared" si="135"/>
        <v>0.99</v>
      </c>
      <c r="D813" s="675"/>
      <c r="E813" s="3257">
        <f t="shared" si="136"/>
        <v>1</v>
      </c>
      <c r="F813" s="675"/>
      <c r="G813" s="3257">
        <f t="shared" si="137"/>
        <v>1</v>
      </c>
      <c r="H813" s="675"/>
      <c r="I813" s="3257">
        <f t="shared" si="138"/>
        <v>1</v>
      </c>
      <c r="J813" s="675"/>
      <c r="K813" s="3257">
        <f t="shared" si="139"/>
        <v>1</v>
      </c>
      <c r="L813" s="675"/>
      <c r="M813" s="3257">
        <f t="shared" si="140"/>
        <v>1</v>
      </c>
      <c r="N813" s="675"/>
      <c r="O813" s="3257">
        <f t="shared" si="141"/>
        <v>1</v>
      </c>
      <c r="P813" s="675"/>
      <c r="Q813" s="3257">
        <f t="shared" si="142"/>
        <v>1</v>
      </c>
      <c r="R813" s="3258">
        <f t="shared" ca="1" si="143"/>
        <v>5702</v>
      </c>
      <c r="S813" s="1070">
        <f t="shared" ca="1" si="144"/>
        <v>22</v>
      </c>
    </row>
    <row r="814" spans="1:19">
      <c r="A814" s="673" t="str">
        <f>Sheet1!E792</f>
        <v>K1-097</v>
      </c>
      <c r="B814" s="673">
        <f>Sheet1!F792</f>
        <v>39.090000000000003</v>
      </c>
      <c r="C814" s="3257">
        <f t="shared" si="135"/>
        <v>0.99</v>
      </c>
      <c r="D814" s="675"/>
      <c r="E814" s="3257">
        <f t="shared" si="136"/>
        <v>1</v>
      </c>
      <c r="F814" s="675"/>
      <c r="G814" s="3257">
        <f t="shared" si="137"/>
        <v>1</v>
      </c>
      <c r="H814" s="675"/>
      <c r="I814" s="3257">
        <f t="shared" si="138"/>
        <v>1</v>
      </c>
      <c r="J814" s="675"/>
      <c r="K814" s="3257">
        <f t="shared" si="139"/>
        <v>1</v>
      </c>
      <c r="L814" s="675"/>
      <c r="M814" s="3257">
        <f t="shared" si="140"/>
        <v>1</v>
      </c>
      <c r="N814" s="675"/>
      <c r="O814" s="3257">
        <f t="shared" si="141"/>
        <v>1</v>
      </c>
      <c r="P814" s="675"/>
      <c r="Q814" s="3257">
        <f t="shared" si="142"/>
        <v>1</v>
      </c>
      <c r="R814" s="3258">
        <f t="shared" ca="1" si="143"/>
        <v>5702</v>
      </c>
      <c r="S814" s="1070">
        <f t="shared" ca="1" si="144"/>
        <v>22</v>
      </c>
    </row>
    <row r="815" spans="1:19">
      <c r="A815" s="673" t="str">
        <f>Sheet1!E793</f>
        <v>K1-106</v>
      </c>
      <c r="B815" s="673">
        <f>Sheet1!F793</f>
        <v>36.74</v>
      </c>
      <c r="C815" s="3257">
        <f t="shared" si="135"/>
        <v>0.99</v>
      </c>
      <c r="D815" s="675"/>
      <c r="E815" s="3257">
        <f t="shared" si="136"/>
        <v>1</v>
      </c>
      <c r="F815" s="675"/>
      <c r="G815" s="3257">
        <f t="shared" si="137"/>
        <v>1</v>
      </c>
      <c r="H815" s="675"/>
      <c r="I815" s="3257">
        <f t="shared" si="138"/>
        <v>1</v>
      </c>
      <c r="J815" s="675"/>
      <c r="K815" s="3257">
        <f t="shared" si="139"/>
        <v>1</v>
      </c>
      <c r="L815" s="675"/>
      <c r="M815" s="3257">
        <f t="shared" si="140"/>
        <v>1</v>
      </c>
      <c r="N815" s="675"/>
      <c r="O815" s="3257">
        <f t="shared" si="141"/>
        <v>1</v>
      </c>
      <c r="P815" s="675"/>
      <c r="Q815" s="3257">
        <f t="shared" si="142"/>
        <v>1</v>
      </c>
      <c r="R815" s="3258">
        <f t="shared" ca="1" si="143"/>
        <v>5702</v>
      </c>
      <c r="S815" s="1070">
        <f t="shared" ca="1" si="144"/>
        <v>21</v>
      </c>
    </row>
    <row r="816" spans="1:19">
      <c r="A816" s="673" t="str">
        <f>Sheet1!E794</f>
        <v>K1-107</v>
      </c>
      <c r="B816" s="673">
        <f>Sheet1!F794</f>
        <v>36.74</v>
      </c>
      <c r="C816" s="3257">
        <f t="shared" si="135"/>
        <v>0.99</v>
      </c>
      <c r="D816" s="675"/>
      <c r="E816" s="3257">
        <f t="shared" si="136"/>
        <v>1</v>
      </c>
      <c r="F816" s="675"/>
      <c r="G816" s="3257">
        <f t="shared" si="137"/>
        <v>1</v>
      </c>
      <c r="H816" s="675"/>
      <c r="I816" s="3257">
        <f t="shared" si="138"/>
        <v>1</v>
      </c>
      <c r="J816" s="675"/>
      <c r="K816" s="3257">
        <f t="shared" si="139"/>
        <v>1</v>
      </c>
      <c r="L816" s="675"/>
      <c r="M816" s="3257">
        <f t="shared" si="140"/>
        <v>1</v>
      </c>
      <c r="N816" s="675"/>
      <c r="O816" s="3257">
        <f t="shared" si="141"/>
        <v>1</v>
      </c>
      <c r="P816" s="675"/>
      <c r="Q816" s="3257">
        <f t="shared" si="142"/>
        <v>1</v>
      </c>
      <c r="R816" s="3258">
        <f t="shared" ca="1" si="143"/>
        <v>5702</v>
      </c>
      <c r="S816" s="1070">
        <f t="shared" ca="1" si="144"/>
        <v>21</v>
      </c>
    </row>
    <row r="817" spans="1:19">
      <c r="A817" s="673" t="str">
        <f>Sheet1!E795</f>
        <v>K1-108</v>
      </c>
      <c r="B817" s="673">
        <f>Sheet1!F795</f>
        <v>36.770000000000003</v>
      </c>
      <c r="C817" s="3257">
        <f t="shared" si="135"/>
        <v>0.99</v>
      </c>
      <c r="D817" s="675"/>
      <c r="E817" s="3257">
        <f t="shared" si="136"/>
        <v>1</v>
      </c>
      <c r="F817" s="675"/>
      <c r="G817" s="3257">
        <f t="shared" si="137"/>
        <v>1</v>
      </c>
      <c r="H817" s="675"/>
      <c r="I817" s="3257">
        <f t="shared" si="138"/>
        <v>1</v>
      </c>
      <c r="J817" s="675"/>
      <c r="K817" s="3257">
        <f t="shared" si="139"/>
        <v>1</v>
      </c>
      <c r="L817" s="675"/>
      <c r="M817" s="3257">
        <f t="shared" si="140"/>
        <v>1</v>
      </c>
      <c r="N817" s="675"/>
      <c r="O817" s="3257">
        <f t="shared" si="141"/>
        <v>1</v>
      </c>
      <c r="P817" s="675"/>
      <c r="Q817" s="3257">
        <f t="shared" si="142"/>
        <v>1</v>
      </c>
      <c r="R817" s="3258">
        <f t="shared" ca="1" si="143"/>
        <v>5702</v>
      </c>
      <c r="S817" s="1070">
        <f t="shared" ca="1" si="144"/>
        <v>21</v>
      </c>
    </row>
    <row r="818" spans="1:19">
      <c r="A818" s="673" t="str">
        <f>Sheet1!E796</f>
        <v>K1-109</v>
      </c>
      <c r="B818" s="673">
        <f>Sheet1!F796</f>
        <v>36.770000000000003</v>
      </c>
      <c r="C818" s="3257">
        <f t="shared" si="135"/>
        <v>0.99</v>
      </c>
      <c r="D818" s="675"/>
      <c r="E818" s="3257">
        <f t="shared" si="136"/>
        <v>1</v>
      </c>
      <c r="F818" s="675"/>
      <c r="G818" s="3257">
        <f t="shared" si="137"/>
        <v>1</v>
      </c>
      <c r="H818" s="675"/>
      <c r="I818" s="3257">
        <f t="shared" si="138"/>
        <v>1</v>
      </c>
      <c r="J818" s="675"/>
      <c r="K818" s="3257">
        <f t="shared" si="139"/>
        <v>1</v>
      </c>
      <c r="L818" s="675"/>
      <c r="M818" s="3257">
        <f t="shared" si="140"/>
        <v>1</v>
      </c>
      <c r="N818" s="675"/>
      <c r="O818" s="3257">
        <f t="shared" si="141"/>
        <v>1</v>
      </c>
      <c r="P818" s="675"/>
      <c r="Q818" s="3257">
        <f t="shared" si="142"/>
        <v>1</v>
      </c>
      <c r="R818" s="3258">
        <f t="shared" ca="1" si="143"/>
        <v>5702</v>
      </c>
      <c r="S818" s="1070">
        <f t="shared" ca="1" si="144"/>
        <v>21</v>
      </c>
    </row>
    <row r="819" spans="1:19">
      <c r="A819" s="673" t="str">
        <f>Sheet1!E797</f>
        <v>K1-110</v>
      </c>
      <c r="B819" s="673">
        <f>Sheet1!F797</f>
        <v>36.770000000000003</v>
      </c>
      <c r="C819" s="3257">
        <f t="shared" si="135"/>
        <v>0.99</v>
      </c>
      <c r="D819" s="675"/>
      <c r="E819" s="3257">
        <f t="shared" si="136"/>
        <v>1</v>
      </c>
      <c r="F819" s="675"/>
      <c r="G819" s="3257">
        <f t="shared" si="137"/>
        <v>1</v>
      </c>
      <c r="H819" s="675"/>
      <c r="I819" s="3257">
        <f t="shared" si="138"/>
        <v>1</v>
      </c>
      <c r="J819" s="675"/>
      <c r="K819" s="3257">
        <f t="shared" si="139"/>
        <v>1</v>
      </c>
      <c r="L819" s="675"/>
      <c r="M819" s="3257">
        <f t="shared" si="140"/>
        <v>1</v>
      </c>
      <c r="N819" s="675"/>
      <c r="O819" s="3257">
        <f t="shared" si="141"/>
        <v>1</v>
      </c>
      <c r="P819" s="675"/>
      <c r="Q819" s="3257">
        <f t="shared" si="142"/>
        <v>1</v>
      </c>
      <c r="R819" s="3258">
        <f t="shared" ca="1" si="143"/>
        <v>5702</v>
      </c>
      <c r="S819" s="1070">
        <f t="shared" ca="1" si="144"/>
        <v>21</v>
      </c>
    </row>
    <row r="820" spans="1:19">
      <c r="A820" s="673" t="str">
        <f>Sheet1!E798</f>
        <v>L1-001</v>
      </c>
      <c r="B820" s="673">
        <f>Sheet1!F798</f>
        <v>40.65</v>
      </c>
      <c r="C820" s="3257">
        <f t="shared" si="135"/>
        <v>0.99</v>
      </c>
      <c r="D820" s="675"/>
      <c r="E820" s="3257">
        <f t="shared" si="136"/>
        <v>1</v>
      </c>
      <c r="F820" s="675"/>
      <c r="G820" s="3257">
        <f t="shared" si="137"/>
        <v>1</v>
      </c>
      <c r="H820" s="675"/>
      <c r="I820" s="3257">
        <f t="shared" si="138"/>
        <v>1</v>
      </c>
      <c r="J820" s="675"/>
      <c r="K820" s="3257">
        <f t="shared" si="139"/>
        <v>1</v>
      </c>
      <c r="L820" s="675"/>
      <c r="M820" s="3257">
        <f t="shared" si="140"/>
        <v>1</v>
      </c>
      <c r="N820" s="675"/>
      <c r="O820" s="3257">
        <f t="shared" si="141"/>
        <v>1</v>
      </c>
      <c r="P820" s="675"/>
      <c r="Q820" s="3257">
        <f t="shared" si="142"/>
        <v>1</v>
      </c>
      <c r="R820" s="3258">
        <f t="shared" ca="1" si="143"/>
        <v>5702</v>
      </c>
      <c r="S820" s="1070">
        <f t="shared" ca="1" si="144"/>
        <v>23</v>
      </c>
    </row>
    <row r="821" spans="1:19">
      <c r="A821" s="673" t="str">
        <f>Sheet1!E799</f>
        <v>L1-003</v>
      </c>
      <c r="B821" s="673">
        <f>Sheet1!F799</f>
        <v>37.520000000000003</v>
      </c>
      <c r="C821" s="3257">
        <f t="shared" si="135"/>
        <v>0.99</v>
      </c>
      <c r="D821" s="675"/>
      <c r="E821" s="3257">
        <f t="shared" si="136"/>
        <v>1</v>
      </c>
      <c r="F821" s="675"/>
      <c r="G821" s="3257">
        <f t="shared" si="137"/>
        <v>1</v>
      </c>
      <c r="H821" s="675"/>
      <c r="I821" s="3257">
        <f t="shared" si="138"/>
        <v>1</v>
      </c>
      <c r="J821" s="675"/>
      <c r="K821" s="3257">
        <f t="shared" si="139"/>
        <v>1</v>
      </c>
      <c r="L821" s="675"/>
      <c r="M821" s="3257">
        <f t="shared" si="140"/>
        <v>1</v>
      </c>
      <c r="N821" s="675"/>
      <c r="O821" s="3257">
        <f t="shared" si="141"/>
        <v>1</v>
      </c>
      <c r="P821" s="675"/>
      <c r="Q821" s="3257">
        <f t="shared" si="142"/>
        <v>1</v>
      </c>
      <c r="R821" s="3258">
        <f t="shared" ca="1" si="143"/>
        <v>5702</v>
      </c>
      <c r="S821" s="1070">
        <f t="shared" ca="1" si="144"/>
        <v>21</v>
      </c>
    </row>
    <row r="822" spans="1:19">
      <c r="A822" s="673" t="str">
        <f>Sheet1!E800</f>
        <v>L1-004</v>
      </c>
      <c r="B822" s="673">
        <f>Sheet1!F800</f>
        <v>37.520000000000003</v>
      </c>
      <c r="C822" s="3257">
        <f t="shared" si="135"/>
        <v>0.99</v>
      </c>
      <c r="D822" s="675"/>
      <c r="E822" s="3257">
        <f t="shared" si="136"/>
        <v>1</v>
      </c>
      <c r="F822" s="675"/>
      <c r="G822" s="3257">
        <f t="shared" si="137"/>
        <v>1</v>
      </c>
      <c r="H822" s="675"/>
      <c r="I822" s="3257">
        <f t="shared" si="138"/>
        <v>1</v>
      </c>
      <c r="J822" s="675"/>
      <c r="K822" s="3257">
        <f t="shared" si="139"/>
        <v>1</v>
      </c>
      <c r="L822" s="675"/>
      <c r="M822" s="3257">
        <f t="shared" si="140"/>
        <v>1</v>
      </c>
      <c r="N822" s="675"/>
      <c r="O822" s="3257">
        <f t="shared" si="141"/>
        <v>1</v>
      </c>
      <c r="P822" s="675"/>
      <c r="Q822" s="3257">
        <f t="shared" si="142"/>
        <v>1</v>
      </c>
      <c r="R822" s="3258">
        <f t="shared" ca="1" si="143"/>
        <v>5702</v>
      </c>
      <c r="S822" s="1070">
        <f t="shared" ca="1" si="144"/>
        <v>21</v>
      </c>
    </row>
    <row r="823" spans="1:19">
      <c r="A823" s="673" t="str">
        <f>Sheet1!E801</f>
        <v>L1-005</v>
      </c>
      <c r="B823" s="673">
        <f>Sheet1!F801</f>
        <v>37.520000000000003</v>
      </c>
      <c r="C823" s="3257">
        <f t="shared" si="135"/>
        <v>0.99</v>
      </c>
      <c r="D823" s="675"/>
      <c r="E823" s="3257">
        <f t="shared" si="136"/>
        <v>1</v>
      </c>
      <c r="F823" s="675"/>
      <c r="G823" s="3257">
        <f t="shared" si="137"/>
        <v>1</v>
      </c>
      <c r="H823" s="675"/>
      <c r="I823" s="3257">
        <f t="shared" si="138"/>
        <v>1</v>
      </c>
      <c r="J823" s="675"/>
      <c r="K823" s="3257">
        <f t="shared" si="139"/>
        <v>1</v>
      </c>
      <c r="L823" s="675"/>
      <c r="M823" s="3257">
        <f t="shared" si="140"/>
        <v>1</v>
      </c>
      <c r="N823" s="675"/>
      <c r="O823" s="3257">
        <f t="shared" si="141"/>
        <v>1</v>
      </c>
      <c r="P823" s="675"/>
      <c r="Q823" s="3257">
        <f t="shared" si="142"/>
        <v>1</v>
      </c>
      <c r="R823" s="3258">
        <f t="shared" ca="1" si="143"/>
        <v>5702</v>
      </c>
      <c r="S823" s="1070">
        <f t="shared" ca="1" si="144"/>
        <v>21</v>
      </c>
    </row>
    <row r="824" spans="1:19">
      <c r="A824" s="673" t="str">
        <f>Sheet1!E802</f>
        <v>L1-006</v>
      </c>
      <c r="B824" s="673">
        <f>Sheet1!F802</f>
        <v>37.520000000000003</v>
      </c>
      <c r="C824" s="3257">
        <f t="shared" si="135"/>
        <v>0.99</v>
      </c>
      <c r="D824" s="675"/>
      <c r="E824" s="3257">
        <f t="shared" si="136"/>
        <v>1</v>
      </c>
      <c r="F824" s="675"/>
      <c r="G824" s="3257">
        <f t="shared" si="137"/>
        <v>1</v>
      </c>
      <c r="H824" s="675"/>
      <c r="I824" s="3257">
        <f t="shared" si="138"/>
        <v>1</v>
      </c>
      <c r="J824" s="675"/>
      <c r="K824" s="3257">
        <f t="shared" si="139"/>
        <v>1</v>
      </c>
      <c r="L824" s="675"/>
      <c r="M824" s="3257">
        <f t="shared" si="140"/>
        <v>1</v>
      </c>
      <c r="N824" s="675"/>
      <c r="O824" s="3257">
        <f t="shared" si="141"/>
        <v>1</v>
      </c>
      <c r="P824" s="675"/>
      <c r="Q824" s="3257">
        <f t="shared" si="142"/>
        <v>1</v>
      </c>
      <c r="R824" s="3258">
        <f t="shared" ca="1" si="143"/>
        <v>5702</v>
      </c>
      <c r="S824" s="1070">
        <f t="shared" ca="1" si="144"/>
        <v>21</v>
      </c>
    </row>
    <row r="825" spans="1:19">
      <c r="A825" s="673" t="str">
        <f>Sheet1!E803</f>
        <v>L1-007</v>
      </c>
      <c r="B825" s="673">
        <f>Sheet1!F803</f>
        <v>37.520000000000003</v>
      </c>
      <c r="C825" s="3257">
        <f t="shared" si="135"/>
        <v>0.99</v>
      </c>
      <c r="D825" s="675"/>
      <c r="E825" s="3257">
        <f t="shared" si="136"/>
        <v>1</v>
      </c>
      <c r="F825" s="675"/>
      <c r="G825" s="3257">
        <f t="shared" si="137"/>
        <v>1</v>
      </c>
      <c r="H825" s="675"/>
      <c r="I825" s="3257">
        <f t="shared" si="138"/>
        <v>1</v>
      </c>
      <c r="J825" s="675"/>
      <c r="K825" s="3257">
        <f t="shared" si="139"/>
        <v>1</v>
      </c>
      <c r="L825" s="675"/>
      <c r="M825" s="3257">
        <f t="shared" si="140"/>
        <v>1</v>
      </c>
      <c r="N825" s="675"/>
      <c r="O825" s="3257">
        <f t="shared" si="141"/>
        <v>1</v>
      </c>
      <c r="P825" s="675"/>
      <c r="Q825" s="3257">
        <f t="shared" si="142"/>
        <v>1</v>
      </c>
      <c r="R825" s="3258">
        <f t="shared" ca="1" si="143"/>
        <v>5702</v>
      </c>
      <c r="S825" s="1070">
        <f t="shared" ca="1" si="144"/>
        <v>21</v>
      </c>
    </row>
    <row r="826" spans="1:19">
      <c r="A826" s="673" t="str">
        <f>Sheet1!E804</f>
        <v>L1-008</v>
      </c>
      <c r="B826" s="673">
        <f>Sheet1!F804</f>
        <v>37.520000000000003</v>
      </c>
      <c r="C826" s="3257">
        <f t="shared" si="135"/>
        <v>0.99</v>
      </c>
      <c r="D826" s="675"/>
      <c r="E826" s="3257">
        <f t="shared" si="136"/>
        <v>1</v>
      </c>
      <c r="F826" s="675"/>
      <c r="G826" s="3257">
        <f t="shared" si="137"/>
        <v>1</v>
      </c>
      <c r="H826" s="675"/>
      <c r="I826" s="3257">
        <f t="shared" si="138"/>
        <v>1</v>
      </c>
      <c r="J826" s="675"/>
      <c r="K826" s="3257">
        <f t="shared" si="139"/>
        <v>1</v>
      </c>
      <c r="L826" s="675"/>
      <c r="M826" s="3257">
        <f t="shared" si="140"/>
        <v>1</v>
      </c>
      <c r="N826" s="675"/>
      <c r="O826" s="3257">
        <f t="shared" si="141"/>
        <v>1</v>
      </c>
      <c r="P826" s="675"/>
      <c r="Q826" s="3257">
        <f t="shared" si="142"/>
        <v>1</v>
      </c>
      <c r="R826" s="3258">
        <f t="shared" ca="1" si="143"/>
        <v>5702</v>
      </c>
      <c r="S826" s="1070">
        <f t="shared" ca="1" si="144"/>
        <v>21</v>
      </c>
    </row>
    <row r="827" spans="1:19">
      <c r="A827" s="673" t="str">
        <f>Sheet1!E805</f>
        <v>L1-009</v>
      </c>
      <c r="B827" s="673">
        <f>Sheet1!F805</f>
        <v>37.520000000000003</v>
      </c>
      <c r="C827" s="3257">
        <f t="shared" si="135"/>
        <v>0.99</v>
      </c>
      <c r="D827" s="675"/>
      <c r="E827" s="3257">
        <f t="shared" si="136"/>
        <v>1</v>
      </c>
      <c r="F827" s="675"/>
      <c r="G827" s="3257">
        <f t="shared" si="137"/>
        <v>1</v>
      </c>
      <c r="H827" s="675"/>
      <c r="I827" s="3257">
        <f t="shared" si="138"/>
        <v>1</v>
      </c>
      <c r="J827" s="675"/>
      <c r="K827" s="3257">
        <f t="shared" si="139"/>
        <v>1</v>
      </c>
      <c r="L827" s="675"/>
      <c r="M827" s="3257">
        <f t="shared" si="140"/>
        <v>1</v>
      </c>
      <c r="N827" s="675"/>
      <c r="O827" s="3257">
        <f t="shared" si="141"/>
        <v>1</v>
      </c>
      <c r="P827" s="675"/>
      <c r="Q827" s="3257">
        <f t="shared" si="142"/>
        <v>1</v>
      </c>
      <c r="R827" s="3258">
        <f t="shared" ca="1" si="143"/>
        <v>5702</v>
      </c>
      <c r="S827" s="1070">
        <f t="shared" ca="1" si="144"/>
        <v>21</v>
      </c>
    </row>
    <row r="828" spans="1:19">
      <c r="A828" s="673" t="str">
        <f>Sheet1!E806</f>
        <v>L1-010</v>
      </c>
      <c r="B828" s="673">
        <f>Sheet1!F806</f>
        <v>37.520000000000003</v>
      </c>
      <c r="C828" s="3257">
        <f t="shared" si="135"/>
        <v>0.99</v>
      </c>
      <c r="D828" s="675"/>
      <c r="E828" s="3257">
        <f t="shared" si="136"/>
        <v>1</v>
      </c>
      <c r="F828" s="675"/>
      <c r="G828" s="3257">
        <f t="shared" si="137"/>
        <v>1</v>
      </c>
      <c r="H828" s="675"/>
      <c r="I828" s="3257">
        <f t="shared" si="138"/>
        <v>1</v>
      </c>
      <c r="J828" s="675"/>
      <c r="K828" s="3257">
        <f t="shared" si="139"/>
        <v>1</v>
      </c>
      <c r="L828" s="675"/>
      <c r="M828" s="3257">
        <f t="shared" si="140"/>
        <v>1</v>
      </c>
      <c r="N828" s="675"/>
      <c r="O828" s="3257">
        <f t="shared" si="141"/>
        <v>1</v>
      </c>
      <c r="P828" s="675"/>
      <c r="Q828" s="3257">
        <f t="shared" si="142"/>
        <v>1</v>
      </c>
      <c r="R828" s="3258">
        <f t="shared" ca="1" si="143"/>
        <v>5702</v>
      </c>
      <c r="S828" s="1070">
        <f t="shared" ca="1" si="144"/>
        <v>21</v>
      </c>
    </row>
    <row r="829" spans="1:19">
      <c r="A829" s="673" t="str">
        <f>Sheet1!E807</f>
        <v>L1-011</v>
      </c>
      <c r="B829" s="673">
        <f>Sheet1!F807</f>
        <v>36.020000000000003</v>
      </c>
      <c r="C829" s="3257">
        <f t="shared" si="135"/>
        <v>0.99</v>
      </c>
      <c r="D829" s="675"/>
      <c r="E829" s="3257">
        <f t="shared" si="136"/>
        <v>1</v>
      </c>
      <c r="F829" s="675"/>
      <c r="G829" s="3257">
        <f t="shared" si="137"/>
        <v>1</v>
      </c>
      <c r="H829" s="675"/>
      <c r="I829" s="3257">
        <f t="shared" si="138"/>
        <v>1</v>
      </c>
      <c r="J829" s="675"/>
      <c r="K829" s="3257">
        <f t="shared" si="139"/>
        <v>1</v>
      </c>
      <c r="L829" s="675"/>
      <c r="M829" s="3257">
        <f t="shared" si="140"/>
        <v>1</v>
      </c>
      <c r="N829" s="675"/>
      <c r="O829" s="3257">
        <f t="shared" si="141"/>
        <v>1</v>
      </c>
      <c r="P829" s="675"/>
      <c r="Q829" s="3257">
        <f t="shared" si="142"/>
        <v>1</v>
      </c>
      <c r="R829" s="3258">
        <f t="shared" ca="1" si="143"/>
        <v>5702</v>
      </c>
      <c r="S829" s="1070">
        <f t="shared" ca="1" si="144"/>
        <v>21</v>
      </c>
    </row>
    <row r="830" spans="1:19">
      <c r="A830" s="673" t="str">
        <f>Sheet1!E808</f>
        <v>L1-012</v>
      </c>
      <c r="B830" s="673">
        <f>Sheet1!F808</f>
        <v>36.020000000000003</v>
      </c>
      <c r="C830" s="3257">
        <f t="shared" si="135"/>
        <v>0.99</v>
      </c>
      <c r="D830" s="675"/>
      <c r="E830" s="3257">
        <f t="shared" si="136"/>
        <v>1</v>
      </c>
      <c r="F830" s="675"/>
      <c r="G830" s="3257">
        <f t="shared" si="137"/>
        <v>1</v>
      </c>
      <c r="H830" s="675"/>
      <c r="I830" s="3257">
        <f t="shared" si="138"/>
        <v>1</v>
      </c>
      <c r="J830" s="675"/>
      <c r="K830" s="3257">
        <f t="shared" si="139"/>
        <v>1</v>
      </c>
      <c r="L830" s="675"/>
      <c r="M830" s="3257">
        <f t="shared" si="140"/>
        <v>1</v>
      </c>
      <c r="N830" s="675"/>
      <c r="O830" s="3257">
        <f t="shared" si="141"/>
        <v>1</v>
      </c>
      <c r="P830" s="675"/>
      <c r="Q830" s="3257">
        <f t="shared" si="142"/>
        <v>1</v>
      </c>
      <c r="R830" s="3258">
        <f t="shared" ca="1" si="143"/>
        <v>5702</v>
      </c>
      <c r="S830" s="1070">
        <f t="shared" ca="1" si="144"/>
        <v>21</v>
      </c>
    </row>
    <row r="831" spans="1:19">
      <c r="A831" s="673" t="str">
        <f>Sheet1!E809</f>
        <v>L1-013</v>
      </c>
      <c r="B831" s="673">
        <f>Sheet1!F809</f>
        <v>36.020000000000003</v>
      </c>
      <c r="C831" s="3257">
        <f t="shared" si="135"/>
        <v>0.99</v>
      </c>
      <c r="D831" s="675"/>
      <c r="E831" s="3257">
        <f t="shared" si="136"/>
        <v>1</v>
      </c>
      <c r="F831" s="675"/>
      <c r="G831" s="3257">
        <f t="shared" si="137"/>
        <v>1</v>
      </c>
      <c r="H831" s="675"/>
      <c r="I831" s="3257">
        <f t="shared" si="138"/>
        <v>1</v>
      </c>
      <c r="J831" s="675"/>
      <c r="K831" s="3257">
        <f t="shared" si="139"/>
        <v>1</v>
      </c>
      <c r="L831" s="675"/>
      <c r="M831" s="3257">
        <f t="shared" si="140"/>
        <v>1</v>
      </c>
      <c r="N831" s="675"/>
      <c r="O831" s="3257">
        <f t="shared" si="141"/>
        <v>1</v>
      </c>
      <c r="P831" s="675"/>
      <c r="Q831" s="3257">
        <f t="shared" si="142"/>
        <v>1</v>
      </c>
      <c r="R831" s="3258">
        <f t="shared" ca="1" si="143"/>
        <v>5702</v>
      </c>
      <c r="S831" s="1070">
        <f t="shared" ca="1" si="144"/>
        <v>21</v>
      </c>
    </row>
    <row r="832" spans="1:19">
      <c r="A832" s="673" t="str">
        <f>Sheet1!E810</f>
        <v>L1-014</v>
      </c>
      <c r="B832" s="673">
        <f>Sheet1!F810</f>
        <v>36.020000000000003</v>
      </c>
      <c r="C832" s="3257">
        <f t="shared" si="135"/>
        <v>0.99</v>
      </c>
      <c r="D832" s="675"/>
      <c r="E832" s="3257">
        <f t="shared" si="136"/>
        <v>1</v>
      </c>
      <c r="F832" s="675"/>
      <c r="G832" s="3257">
        <f t="shared" si="137"/>
        <v>1</v>
      </c>
      <c r="H832" s="675"/>
      <c r="I832" s="3257">
        <f t="shared" si="138"/>
        <v>1</v>
      </c>
      <c r="J832" s="675"/>
      <c r="K832" s="3257">
        <f t="shared" si="139"/>
        <v>1</v>
      </c>
      <c r="L832" s="675"/>
      <c r="M832" s="3257">
        <f t="shared" si="140"/>
        <v>1</v>
      </c>
      <c r="N832" s="675"/>
      <c r="O832" s="3257">
        <f t="shared" si="141"/>
        <v>1</v>
      </c>
      <c r="P832" s="675"/>
      <c r="Q832" s="3257">
        <f t="shared" si="142"/>
        <v>1</v>
      </c>
      <c r="R832" s="3258">
        <f t="shared" ca="1" si="143"/>
        <v>5702</v>
      </c>
      <c r="S832" s="1070">
        <f t="shared" ca="1" si="144"/>
        <v>21</v>
      </c>
    </row>
    <row r="833" spans="1:19">
      <c r="A833" s="673" t="str">
        <f>Sheet1!E811</f>
        <v>L1-015</v>
      </c>
      <c r="B833" s="673">
        <f>Sheet1!F811</f>
        <v>36.020000000000003</v>
      </c>
      <c r="C833" s="3257">
        <f t="shared" si="135"/>
        <v>0.99</v>
      </c>
      <c r="D833" s="675"/>
      <c r="E833" s="3257">
        <f t="shared" si="136"/>
        <v>1</v>
      </c>
      <c r="F833" s="675"/>
      <c r="G833" s="3257">
        <f t="shared" si="137"/>
        <v>1</v>
      </c>
      <c r="H833" s="675"/>
      <c r="I833" s="3257">
        <f t="shared" si="138"/>
        <v>1</v>
      </c>
      <c r="J833" s="675"/>
      <c r="K833" s="3257">
        <f t="shared" si="139"/>
        <v>1</v>
      </c>
      <c r="L833" s="675"/>
      <c r="M833" s="3257">
        <f t="shared" si="140"/>
        <v>1</v>
      </c>
      <c r="N833" s="675"/>
      <c r="O833" s="3257">
        <f t="shared" si="141"/>
        <v>1</v>
      </c>
      <c r="P833" s="675"/>
      <c r="Q833" s="3257">
        <f t="shared" si="142"/>
        <v>1</v>
      </c>
      <c r="R833" s="3258">
        <f t="shared" ca="1" si="143"/>
        <v>5702</v>
      </c>
      <c r="S833" s="1070">
        <f t="shared" ca="1" si="144"/>
        <v>21</v>
      </c>
    </row>
    <row r="834" spans="1:19">
      <c r="A834" s="673" t="str">
        <f>Sheet1!E812</f>
        <v>L1-016</v>
      </c>
      <c r="B834" s="673">
        <f>Sheet1!F812</f>
        <v>36.020000000000003</v>
      </c>
      <c r="C834" s="3257">
        <f t="shared" si="135"/>
        <v>0.99</v>
      </c>
      <c r="D834" s="675"/>
      <c r="E834" s="3257">
        <f t="shared" si="136"/>
        <v>1</v>
      </c>
      <c r="F834" s="675"/>
      <c r="G834" s="3257">
        <f t="shared" si="137"/>
        <v>1</v>
      </c>
      <c r="H834" s="675"/>
      <c r="I834" s="3257">
        <f t="shared" si="138"/>
        <v>1</v>
      </c>
      <c r="J834" s="675"/>
      <c r="K834" s="3257">
        <f t="shared" si="139"/>
        <v>1</v>
      </c>
      <c r="L834" s="675"/>
      <c r="M834" s="3257">
        <f t="shared" si="140"/>
        <v>1</v>
      </c>
      <c r="N834" s="675"/>
      <c r="O834" s="3257">
        <f t="shared" si="141"/>
        <v>1</v>
      </c>
      <c r="P834" s="675"/>
      <c r="Q834" s="3257">
        <f t="shared" si="142"/>
        <v>1</v>
      </c>
      <c r="R834" s="3258">
        <f t="shared" ca="1" si="143"/>
        <v>5702</v>
      </c>
      <c r="S834" s="1070">
        <f t="shared" ca="1" si="144"/>
        <v>21</v>
      </c>
    </row>
    <row r="835" spans="1:19">
      <c r="A835" s="673" t="str">
        <f>Sheet1!E813</f>
        <v>L1-017</v>
      </c>
      <c r="B835" s="673">
        <f>Sheet1!F813</f>
        <v>36.020000000000003</v>
      </c>
      <c r="C835" s="3257">
        <f t="shared" si="135"/>
        <v>0.99</v>
      </c>
      <c r="D835" s="675"/>
      <c r="E835" s="3257">
        <f t="shared" si="136"/>
        <v>1</v>
      </c>
      <c r="F835" s="675"/>
      <c r="G835" s="3257">
        <f t="shared" si="137"/>
        <v>1</v>
      </c>
      <c r="H835" s="675"/>
      <c r="I835" s="3257">
        <f t="shared" si="138"/>
        <v>1</v>
      </c>
      <c r="J835" s="675"/>
      <c r="K835" s="3257">
        <f t="shared" si="139"/>
        <v>1</v>
      </c>
      <c r="L835" s="675"/>
      <c r="M835" s="3257">
        <f t="shared" si="140"/>
        <v>1</v>
      </c>
      <c r="N835" s="675"/>
      <c r="O835" s="3257">
        <f t="shared" si="141"/>
        <v>1</v>
      </c>
      <c r="P835" s="675"/>
      <c r="Q835" s="3257">
        <f t="shared" si="142"/>
        <v>1</v>
      </c>
      <c r="R835" s="3258">
        <f t="shared" ca="1" si="143"/>
        <v>5702</v>
      </c>
      <c r="S835" s="1070">
        <f t="shared" ca="1" si="144"/>
        <v>21</v>
      </c>
    </row>
    <row r="836" spans="1:19">
      <c r="A836" s="673" t="str">
        <f>Sheet1!E814</f>
        <v>L1-020</v>
      </c>
      <c r="B836" s="673">
        <f>Sheet1!F814</f>
        <v>39.090000000000003</v>
      </c>
      <c r="C836" s="3257">
        <f t="shared" si="135"/>
        <v>0.99</v>
      </c>
      <c r="D836" s="675"/>
      <c r="E836" s="3257">
        <f t="shared" si="136"/>
        <v>1</v>
      </c>
      <c r="F836" s="675"/>
      <c r="G836" s="3257">
        <f t="shared" si="137"/>
        <v>1</v>
      </c>
      <c r="H836" s="675"/>
      <c r="I836" s="3257">
        <f t="shared" si="138"/>
        <v>1</v>
      </c>
      <c r="J836" s="675"/>
      <c r="K836" s="3257">
        <f t="shared" si="139"/>
        <v>1</v>
      </c>
      <c r="L836" s="675"/>
      <c r="M836" s="3257">
        <f t="shared" si="140"/>
        <v>1</v>
      </c>
      <c r="N836" s="675"/>
      <c r="O836" s="3257">
        <f t="shared" si="141"/>
        <v>1</v>
      </c>
      <c r="P836" s="675"/>
      <c r="Q836" s="3257">
        <f t="shared" si="142"/>
        <v>1</v>
      </c>
      <c r="R836" s="3258">
        <f t="shared" ca="1" si="143"/>
        <v>5702</v>
      </c>
      <c r="S836" s="1070">
        <f t="shared" ca="1" si="144"/>
        <v>22</v>
      </c>
    </row>
    <row r="837" spans="1:19">
      <c r="A837" s="673" t="str">
        <f>Sheet1!E815</f>
        <v>L1-021</v>
      </c>
      <c r="B837" s="673">
        <f>Sheet1!F815</f>
        <v>39.090000000000003</v>
      </c>
      <c r="C837" s="3257">
        <f t="shared" si="135"/>
        <v>0.99</v>
      </c>
      <c r="D837" s="675"/>
      <c r="E837" s="3257">
        <f t="shared" si="136"/>
        <v>1</v>
      </c>
      <c r="F837" s="675"/>
      <c r="G837" s="3257">
        <f t="shared" si="137"/>
        <v>1</v>
      </c>
      <c r="H837" s="675"/>
      <c r="I837" s="3257">
        <f t="shared" si="138"/>
        <v>1</v>
      </c>
      <c r="J837" s="675"/>
      <c r="K837" s="3257">
        <f t="shared" si="139"/>
        <v>1</v>
      </c>
      <c r="L837" s="675"/>
      <c r="M837" s="3257">
        <f t="shared" si="140"/>
        <v>1</v>
      </c>
      <c r="N837" s="675"/>
      <c r="O837" s="3257">
        <f t="shared" si="141"/>
        <v>1</v>
      </c>
      <c r="P837" s="675"/>
      <c r="Q837" s="3257">
        <f t="shared" si="142"/>
        <v>1</v>
      </c>
      <c r="R837" s="3258">
        <f t="shared" ca="1" si="143"/>
        <v>5702</v>
      </c>
      <c r="S837" s="1070">
        <f t="shared" ca="1" si="144"/>
        <v>22</v>
      </c>
    </row>
    <row r="838" spans="1:19">
      <c r="A838" s="673" t="str">
        <f>Sheet1!E816</f>
        <v>L1-022</v>
      </c>
      <c r="B838" s="673">
        <f>Sheet1!F816</f>
        <v>39.090000000000003</v>
      </c>
      <c r="C838" s="3257">
        <f t="shared" si="135"/>
        <v>0.99</v>
      </c>
      <c r="D838" s="675"/>
      <c r="E838" s="3257">
        <f t="shared" si="136"/>
        <v>1</v>
      </c>
      <c r="F838" s="675"/>
      <c r="G838" s="3257">
        <f t="shared" si="137"/>
        <v>1</v>
      </c>
      <c r="H838" s="675"/>
      <c r="I838" s="3257">
        <f t="shared" si="138"/>
        <v>1</v>
      </c>
      <c r="J838" s="675"/>
      <c r="K838" s="3257">
        <f t="shared" si="139"/>
        <v>1</v>
      </c>
      <c r="L838" s="675"/>
      <c r="M838" s="3257">
        <f t="shared" si="140"/>
        <v>1</v>
      </c>
      <c r="N838" s="675"/>
      <c r="O838" s="3257">
        <f t="shared" si="141"/>
        <v>1</v>
      </c>
      <c r="P838" s="675"/>
      <c r="Q838" s="3257">
        <f t="shared" si="142"/>
        <v>1</v>
      </c>
      <c r="R838" s="3258">
        <f t="shared" ca="1" si="143"/>
        <v>5702</v>
      </c>
      <c r="S838" s="1070">
        <f t="shared" ca="1" si="144"/>
        <v>22</v>
      </c>
    </row>
    <row r="839" spans="1:19">
      <c r="A839" s="673" t="str">
        <f>Sheet1!E817</f>
        <v>L1-023</v>
      </c>
      <c r="B839" s="673">
        <f>Sheet1!F817</f>
        <v>36.020000000000003</v>
      </c>
      <c r="C839" s="3257">
        <f t="shared" si="135"/>
        <v>0.99</v>
      </c>
      <c r="D839" s="675"/>
      <c r="E839" s="3257">
        <f t="shared" si="136"/>
        <v>1</v>
      </c>
      <c r="F839" s="675"/>
      <c r="G839" s="3257">
        <f t="shared" si="137"/>
        <v>1</v>
      </c>
      <c r="H839" s="675"/>
      <c r="I839" s="3257">
        <f t="shared" si="138"/>
        <v>1</v>
      </c>
      <c r="J839" s="675"/>
      <c r="K839" s="3257">
        <f t="shared" si="139"/>
        <v>1</v>
      </c>
      <c r="L839" s="675"/>
      <c r="M839" s="3257">
        <f t="shared" si="140"/>
        <v>1</v>
      </c>
      <c r="N839" s="675"/>
      <c r="O839" s="3257">
        <f t="shared" si="141"/>
        <v>1</v>
      </c>
      <c r="P839" s="675"/>
      <c r="Q839" s="3257">
        <f t="shared" si="142"/>
        <v>1</v>
      </c>
      <c r="R839" s="3258">
        <f t="shared" ca="1" si="143"/>
        <v>5702</v>
      </c>
      <c r="S839" s="1070">
        <f t="shared" ca="1" si="144"/>
        <v>21</v>
      </c>
    </row>
    <row r="840" spans="1:19">
      <c r="A840" s="673" t="str">
        <f>Sheet1!E818</f>
        <v>L1-024</v>
      </c>
      <c r="B840" s="673">
        <f>Sheet1!F818</f>
        <v>36.020000000000003</v>
      </c>
      <c r="C840" s="3257">
        <f t="shared" si="135"/>
        <v>0.99</v>
      </c>
      <c r="D840" s="675"/>
      <c r="E840" s="3257">
        <f t="shared" si="136"/>
        <v>1</v>
      </c>
      <c r="F840" s="675"/>
      <c r="G840" s="3257">
        <f t="shared" si="137"/>
        <v>1</v>
      </c>
      <c r="H840" s="675"/>
      <c r="I840" s="3257">
        <f t="shared" si="138"/>
        <v>1</v>
      </c>
      <c r="J840" s="675"/>
      <c r="K840" s="3257">
        <f t="shared" si="139"/>
        <v>1</v>
      </c>
      <c r="L840" s="675"/>
      <c r="M840" s="3257">
        <f t="shared" si="140"/>
        <v>1</v>
      </c>
      <c r="N840" s="675"/>
      <c r="O840" s="3257">
        <f t="shared" si="141"/>
        <v>1</v>
      </c>
      <c r="P840" s="675"/>
      <c r="Q840" s="3257">
        <f t="shared" si="142"/>
        <v>1</v>
      </c>
      <c r="R840" s="3258">
        <f t="shared" ca="1" si="143"/>
        <v>5702</v>
      </c>
      <c r="S840" s="1070">
        <f t="shared" ca="1" si="144"/>
        <v>21</v>
      </c>
    </row>
    <row r="841" spans="1:19">
      <c r="A841" s="673" t="str">
        <f>Sheet1!E819</f>
        <v>L1-025</v>
      </c>
      <c r="B841" s="673">
        <f>Sheet1!F819</f>
        <v>36.020000000000003</v>
      </c>
      <c r="C841" s="3257">
        <f t="shared" si="135"/>
        <v>0.99</v>
      </c>
      <c r="D841" s="675"/>
      <c r="E841" s="3257">
        <f t="shared" si="136"/>
        <v>1</v>
      </c>
      <c r="F841" s="675"/>
      <c r="G841" s="3257">
        <f t="shared" si="137"/>
        <v>1</v>
      </c>
      <c r="H841" s="675"/>
      <c r="I841" s="3257">
        <f t="shared" si="138"/>
        <v>1</v>
      </c>
      <c r="J841" s="675"/>
      <c r="K841" s="3257">
        <f t="shared" si="139"/>
        <v>1</v>
      </c>
      <c r="L841" s="675"/>
      <c r="M841" s="3257">
        <f t="shared" si="140"/>
        <v>1</v>
      </c>
      <c r="N841" s="675"/>
      <c r="O841" s="3257">
        <f t="shared" si="141"/>
        <v>1</v>
      </c>
      <c r="P841" s="675"/>
      <c r="Q841" s="3257">
        <f t="shared" si="142"/>
        <v>1</v>
      </c>
      <c r="R841" s="3258">
        <f t="shared" ca="1" si="143"/>
        <v>5702</v>
      </c>
      <c r="S841" s="1070">
        <f t="shared" ca="1" si="144"/>
        <v>21</v>
      </c>
    </row>
    <row r="842" spans="1:19">
      <c r="A842" s="673" t="str">
        <f>Sheet1!E820</f>
        <v>L1-026</v>
      </c>
      <c r="B842" s="673">
        <f>Sheet1!F820</f>
        <v>39.090000000000003</v>
      </c>
      <c r="C842" s="3257">
        <f t="shared" si="135"/>
        <v>0.99</v>
      </c>
      <c r="D842" s="675"/>
      <c r="E842" s="3257">
        <f t="shared" si="136"/>
        <v>1</v>
      </c>
      <c r="F842" s="675"/>
      <c r="G842" s="3257">
        <f t="shared" si="137"/>
        <v>1</v>
      </c>
      <c r="H842" s="675"/>
      <c r="I842" s="3257">
        <f t="shared" si="138"/>
        <v>1</v>
      </c>
      <c r="J842" s="675"/>
      <c r="K842" s="3257">
        <f t="shared" si="139"/>
        <v>1</v>
      </c>
      <c r="L842" s="675"/>
      <c r="M842" s="3257">
        <f t="shared" si="140"/>
        <v>1</v>
      </c>
      <c r="N842" s="675"/>
      <c r="O842" s="3257">
        <f t="shared" si="141"/>
        <v>1</v>
      </c>
      <c r="P842" s="675"/>
      <c r="Q842" s="3257">
        <f t="shared" si="142"/>
        <v>1</v>
      </c>
      <c r="R842" s="3258">
        <f t="shared" ca="1" si="143"/>
        <v>5702</v>
      </c>
      <c r="S842" s="1070">
        <f t="shared" ca="1" si="144"/>
        <v>22</v>
      </c>
    </row>
    <row r="843" spans="1:19">
      <c r="A843" s="673" t="str">
        <f>Sheet1!E821</f>
        <v>L1-027</v>
      </c>
      <c r="B843" s="673">
        <f>Sheet1!F821</f>
        <v>39.090000000000003</v>
      </c>
      <c r="C843" s="3257">
        <f t="shared" si="135"/>
        <v>0.99</v>
      </c>
      <c r="D843" s="675"/>
      <c r="E843" s="3257">
        <f t="shared" si="136"/>
        <v>1</v>
      </c>
      <c r="F843" s="675"/>
      <c r="G843" s="3257">
        <f t="shared" si="137"/>
        <v>1</v>
      </c>
      <c r="H843" s="675"/>
      <c r="I843" s="3257">
        <f t="shared" si="138"/>
        <v>1</v>
      </c>
      <c r="J843" s="675"/>
      <c r="K843" s="3257">
        <f t="shared" si="139"/>
        <v>1</v>
      </c>
      <c r="L843" s="675"/>
      <c r="M843" s="3257">
        <f t="shared" si="140"/>
        <v>1</v>
      </c>
      <c r="N843" s="675"/>
      <c r="O843" s="3257">
        <f t="shared" si="141"/>
        <v>1</v>
      </c>
      <c r="P843" s="675"/>
      <c r="Q843" s="3257">
        <f t="shared" si="142"/>
        <v>1</v>
      </c>
      <c r="R843" s="3258">
        <f t="shared" ca="1" si="143"/>
        <v>5702</v>
      </c>
      <c r="S843" s="1070">
        <f t="shared" ca="1" si="144"/>
        <v>22</v>
      </c>
    </row>
    <row r="844" spans="1:19">
      <c r="A844" s="673" t="str">
        <f>Sheet1!E822</f>
        <v>L1-028</v>
      </c>
      <c r="B844" s="673">
        <f>Sheet1!F822</f>
        <v>39.090000000000003</v>
      </c>
      <c r="C844" s="3257">
        <f t="shared" si="135"/>
        <v>0.99</v>
      </c>
      <c r="D844" s="675"/>
      <c r="E844" s="3257">
        <f t="shared" si="136"/>
        <v>1</v>
      </c>
      <c r="F844" s="675"/>
      <c r="G844" s="3257">
        <f t="shared" si="137"/>
        <v>1</v>
      </c>
      <c r="H844" s="675"/>
      <c r="I844" s="3257">
        <f t="shared" si="138"/>
        <v>1</v>
      </c>
      <c r="J844" s="675"/>
      <c r="K844" s="3257">
        <f t="shared" si="139"/>
        <v>1</v>
      </c>
      <c r="L844" s="675"/>
      <c r="M844" s="3257">
        <f t="shared" si="140"/>
        <v>1</v>
      </c>
      <c r="N844" s="675"/>
      <c r="O844" s="3257">
        <f t="shared" si="141"/>
        <v>1</v>
      </c>
      <c r="P844" s="675"/>
      <c r="Q844" s="3257">
        <f t="shared" si="142"/>
        <v>1</v>
      </c>
      <c r="R844" s="3258">
        <f t="shared" ca="1" si="143"/>
        <v>5702</v>
      </c>
      <c r="S844" s="1070">
        <f t="shared" ca="1" si="144"/>
        <v>22</v>
      </c>
    </row>
    <row r="845" spans="1:19">
      <c r="A845" s="673" t="str">
        <f>Sheet1!E823</f>
        <v>L1-029</v>
      </c>
      <c r="B845" s="673">
        <f>Sheet1!F823</f>
        <v>39.090000000000003</v>
      </c>
      <c r="C845" s="3257">
        <f t="shared" ref="C845:C908" si="145">IF(B845="",1,(LOOKUP(B845,$3:$3,$4:$4)-LOOKUP($B$24,$3:$3,$4:$4)+100)/100)</f>
        <v>0.99</v>
      </c>
      <c r="D845" s="675"/>
      <c r="E845" s="3257">
        <f t="shared" ref="E845:E908" si="146">(SUMIF($5:$5,D845,$6:$6)-SUMIF($5:$5,$D$24,$6:$6)+100)/100</f>
        <v>1</v>
      </c>
      <c r="F845" s="675"/>
      <c r="G845" s="3257">
        <f t="shared" ref="G845:G908" si="147">(SUMIF($7:$7,F845,$8:$8)-SUMIF($7:$7,$F$24,$8:$8)+100)/100</f>
        <v>1</v>
      </c>
      <c r="H845" s="675"/>
      <c r="I845" s="3257">
        <f t="shared" ref="I845:I908" si="148">(SUMIF($9:$9,H845,$10:$10)-SUMIF($9:$9,$H$24,$10:$10)+100)/100</f>
        <v>1</v>
      </c>
      <c r="J845" s="675"/>
      <c r="K845" s="3257">
        <f t="shared" ref="K845:K908" si="149">(SUMIF($11:$11,J845,$12:$12)-SUMIF($11:$11,$J$24,$12:$12)+100)/100</f>
        <v>1</v>
      </c>
      <c r="L845" s="675"/>
      <c r="M845" s="3257">
        <f t="shared" ref="M845:M908" si="150">(SUMIF($13:$13,L845,$14:$14)-SUMIF($13:$13,$L$24,$14:$14)+100)/100</f>
        <v>1</v>
      </c>
      <c r="N845" s="675"/>
      <c r="O845" s="3257">
        <f t="shared" ref="O845:O908" si="151">(SUMIF($15:$15,N845,$16:$16)-SUMIF($15:$15,$N$24,$16:$16)+100)/100</f>
        <v>1</v>
      </c>
      <c r="P845" s="675"/>
      <c r="Q845" s="3257">
        <f t="shared" ref="Q845:Q908" si="152">(SUMIF($17:$17,P845,$18:$18)-SUMIF($17:$17,$P$24,$18:$18)+100)/100</f>
        <v>1</v>
      </c>
      <c r="R845" s="3258">
        <f t="shared" ref="R845:R908" ca="1" si="153">IF(B845="",0,ROUND($R$24*C845*E845*G845*I845*K845*M845*O845*Q845,0))</f>
        <v>5702</v>
      </c>
      <c r="S845" s="1070">
        <f t="shared" ref="S845:S908" ca="1" si="154">ROUND(R845*B845/10000,0)</f>
        <v>22</v>
      </c>
    </row>
    <row r="846" spans="1:19">
      <c r="A846" s="673" t="str">
        <f>Sheet1!E824</f>
        <v>L1-030</v>
      </c>
      <c r="B846" s="673">
        <f>Sheet1!F824</f>
        <v>39.090000000000003</v>
      </c>
      <c r="C846" s="3257">
        <f t="shared" si="145"/>
        <v>0.99</v>
      </c>
      <c r="D846" s="675"/>
      <c r="E846" s="3257">
        <f t="shared" si="146"/>
        <v>1</v>
      </c>
      <c r="F846" s="675"/>
      <c r="G846" s="3257">
        <f t="shared" si="147"/>
        <v>1</v>
      </c>
      <c r="H846" s="675"/>
      <c r="I846" s="3257">
        <f t="shared" si="148"/>
        <v>1</v>
      </c>
      <c r="J846" s="675"/>
      <c r="K846" s="3257">
        <f t="shared" si="149"/>
        <v>1</v>
      </c>
      <c r="L846" s="675"/>
      <c r="M846" s="3257">
        <f t="shared" si="150"/>
        <v>1</v>
      </c>
      <c r="N846" s="675"/>
      <c r="O846" s="3257">
        <f t="shared" si="151"/>
        <v>1</v>
      </c>
      <c r="P846" s="675"/>
      <c r="Q846" s="3257">
        <f t="shared" si="152"/>
        <v>1</v>
      </c>
      <c r="R846" s="3258">
        <f t="shared" ca="1" si="153"/>
        <v>5702</v>
      </c>
      <c r="S846" s="1070">
        <f t="shared" ca="1" si="154"/>
        <v>22</v>
      </c>
    </row>
    <row r="847" spans="1:19">
      <c r="A847" s="673" t="str">
        <f>Sheet1!E825</f>
        <v>L1-031</v>
      </c>
      <c r="B847" s="673">
        <f>Sheet1!F825</f>
        <v>39.090000000000003</v>
      </c>
      <c r="C847" s="3257">
        <f t="shared" si="145"/>
        <v>0.99</v>
      </c>
      <c r="D847" s="675"/>
      <c r="E847" s="3257">
        <f t="shared" si="146"/>
        <v>1</v>
      </c>
      <c r="F847" s="675"/>
      <c r="G847" s="3257">
        <f t="shared" si="147"/>
        <v>1</v>
      </c>
      <c r="H847" s="675"/>
      <c r="I847" s="3257">
        <f t="shared" si="148"/>
        <v>1</v>
      </c>
      <c r="J847" s="675"/>
      <c r="K847" s="3257">
        <f t="shared" si="149"/>
        <v>1</v>
      </c>
      <c r="L847" s="675"/>
      <c r="M847" s="3257">
        <f t="shared" si="150"/>
        <v>1</v>
      </c>
      <c r="N847" s="675"/>
      <c r="O847" s="3257">
        <f t="shared" si="151"/>
        <v>1</v>
      </c>
      <c r="P847" s="675"/>
      <c r="Q847" s="3257">
        <f t="shared" si="152"/>
        <v>1</v>
      </c>
      <c r="R847" s="3258">
        <f t="shared" ca="1" si="153"/>
        <v>5702</v>
      </c>
      <c r="S847" s="1070">
        <f t="shared" ca="1" si="154"/>
        <v>22</v>
      </c>
    </row>
    <row r="848" spans="1:19">
      <c r="A848" s="673" t="str">
        <f>Sheet1!E826</f>
        <v>L1-032</v>
      </c>
      <c r="B848" s="673">
        <f>Sheet1!F826</f>
        <v>36.74</v>
      </c>
      <c r="C848" s="3257">
        <f t="shared" si="145"/>
        <v>0.99</v>
      </c>
      <c r="D848" s="675"/>
      <c r="E848" s="3257">
        <f t="shared" si="146"/>
        <v>1</v>
      </c>
      <c r="F848" s="675"/>
      <c r="G848" s="3257">
        <f t="shared" si="147"/>
        <v>1</v>
      </c>
      <c r="H848" s="675"/>
      <c r="I848" s="3257">
        <f t="shared" si="148"/>
        <v>1</v>
      </c>
      <c r="J848" s="675"/>
      <c r="K848" s="3257">
        <f t="shared" si="149"/>
        <v>1</v>
      </c>
      <c r="L848" s="675"/>
      <c r="M848" s="3257">
        <f t="shared" si="150"/>
        <v>1</v>
      </c>
      <c r="N848" s="675"/>
      <c r="O848" s="3257">
        <f t="shared" si="151"/>
        <v>1</v>
      </c>
      <c r="P848" s="675"/>
      <c r="Q848" s="3257">
        <f t="shared" si="152"/>
        <v>1</v>
      </c>
      <c r="R848" s="3258">
        <f t="shared" ca="1" si="153"/>
        <v>5702</v>
      </c>
      <c r="S848" s="1070">
        <f t="shared" ca="1" si="154"/>
        <v>21</v>
      </c>
    </row>
    <row r="849" spans="1:19">
      <c r="A849" s="673" t="str">
        <f>Sheet1!E827</f>
        <v>L1-033</v>
      </c>
      <c r="B849" s="673">
        <f>Sheet1!F827</f>
        <v>36.74</v>
      </c>
      <c r="C849" s="3257">
        <f t="shared" si="145"/>
        <v>0.99</v>
      </c>
      <c r="D849" s="675"/>
      <c r="E849" s="3257">
        <f t="shared" si="146"/>
        <v>1</v>
      </c>
      <c r="F849" s="675"/>
      <c r="G849" s="3257">
        <f t="shared" si="147"/>
        <v>1</v>
      </c>
      <c r="H849" s="675"/>
      <c r="I849" s="3257">
        <f t="shared" si="148"/>
        <v>1</v>
      </c>
      <c r="J849" s="675"/>
      <c r="K849" s="3257">
        <f t="shared" si="149"/>
        <v>1</v>
      </c>
      <c r="L849" s="675"/>
      <c r="M849" s="3257">
        <f t="shared" si="150"/>
        <v>1</v>
      </c>
      <c r="N849" s="675"/>
      <c r="O849" s="3257">
        <f t="shared" si="151"/>
        <v>1</v>
      </c>
      <c r="P849" s="675"/>
      <c r="Q849" s="3257">
        <f t="shared" si="152"/>
        <v>1</v>
      </c>
      <c r="R849" s="3258">
        <f t="shared" ca="1" si="153"/>
        <v>5702</v>
      </c>
      <c r="S849" s="1070">
        <f t="shared" ca="1" si="154"/>
        <v>21</v>
      </c>
    </row>
    <row r="850" spans="1:19">
      <c r="A850" s="673" t="str">
        <f>Sheet1!E828</f>
        <v>L1-034</v>
      </c>
      <c r="B850" s="673">
        <f>Sheet1!F828</f>
        <v>36.74</v>
      </c>
      <c r="C850" s="3257">
        <f t="shared" si="145"/>
        <v>0.99</v>
      </c>
      <c r="D850" s="675"/>
      <c r="E850" s="3257">
        <f t="shared" si="146"/>
        <v>1</v>
      </c>
      <c r="F850" s="675"/>
      <c r="G850" s="3257">
        <f t="shared" si="147"/>
        <v>1</v>
      </c>
      <c r="H850" s="675"/>
      <c r="I850" s="3257">
        <f t="shared" si="148"/>
        <v>1</v>
      </c>
      <c r="J850" s="675"/>
      <c r="K850" s="3257">
        <f t="shared" si="149"/>
        <v>1</v>
      </c>
      <c r="L850" s="675"/>
      <c r="M850" s="3257">
        <f t="shared" si="150"/>
        <v>1</v>
      </c>
      <c r="N850" s="675"/>
      <c r="O850" s="3257">
        <f t="shared" si="151"/>
        <v>1</v>
      </c>
      <c r="P850" s="675"/>
      <c r="Q850" s="3257">
        <f t="shared" si="152"/>
        <v>1</v>
      </c>
      <c r="R850" s="3258">
        <f t="shared" ca="1" si="153"/>
        <v>5702</v>
      </c>
      <c r="S850" s="1070">
        <f t="shared" ca="1" si="154"/>
        <v>21</v>
      </c>
    </row>
    <row r="851" spans="1:19">
      <c r="A851" s="673" t="str">
        <f>Sheet1!E829</f>
        <v>L1-035</v>
      </c>
      <c r="B851" s="673">
        <f>Sheet1!F829</f>
        <v>36.74</v>
      </c>
      <c r="C851" s="3257">
        <f t="shared" si="145"/>
        <v>0.99</v>
      </c>
      <c r="D851" s="675"/>
      <c r="E851" s="3257">
        <f t="shared" si="146"/>
        <v>1</v>
      </c>
      <c r="F851" s="675"/>
      <c r="G851" s="3257">
        <f t="shared" si="147"/>
        <v>1</v>
      </c>
      <c r="H851" s="675"/>
      <c r="I851" s="3257">
        <f t="shared" si="148"/>
        <v>1</v>
      </c>
      <c r="J851" s="675"/>
      <c r="K851" s="3257">
        <f t="shared" si="149"/>
        <v>1</v>
      </c>
      <c r="L851" s="675"/>
      <c r="M851" s="3257">
        <f t="shared" si="150"/>
        <v>1</v>
      </c>
      <c r="N851" s="675"/>
      <c r="O851" s="3257">
        <f t="shared" si="151"/>
        <v>1</v>
      </c>
      <c r="P851" s="675"/>
      <c r="Q851" s="3257">
        <f t="shared" si="152"/>
        <v>1</v>
      </c>
      <c r="R851" s="3258">
        <f t="shared" ca="1" si="153"/>
        <v>5702</v>
      </c>
      <c r="S851" s="1070">
        <f t="shared" ca="1" si="154"/>
        <v>21</v>
      </c>
    </row>
    <row r="852" spans="1:19">
      <c r="A852" s="673" t="str">
        <f>Sheet1!E830</f>
        <v>L1-036</v>
      </c>
      <c r="B852" s="673">
        <f>Sheet1!F830</f>
        <v>36.74</v>
      </c>
      <c r="C852" s="3257">
        <f t="shared" si="145"/>
        <v>0.99</v>
      </c>
      <c r="D852" s="675"/>
      <c r="E852" s="3257">
        <f t="shared" si="146"/>
        <v>1</v>
      </c>
      <c r="F852" s="675"/>
      <c r="G852" s="3257">
        <f t="shared" si="147"/>
        <v>1</v>
      </c>
      <c r="H852" s="675"/>
      <c r="I852" s="3257">
        <f t="shared" si="148"/>
        <v>1</v>
      </c>
      <c r="J852" s="675"/>
      <c r="K852" s="3257">
        <f t="shared" si="149"/>
        <v>1</v>
      </c>
      <c r="L852" s="675"/>
      <c r="M852" s="3257">
        <f t="shared" si="150"/>
        <v>1</v>
      </c>
      <c r="N852" s="675"/>
      <c r="O852" s="3257">
        <f t="shared" si="151"/>
        <v>1</v>
      </c>
      <c r="P852" s="675"/>
      <c r="Q852" s="3257">
        <f t="shared" si="152"/>
        <v>1</v>
      </c>
      <c r="R852" s="3258">
        <f t="shared" ca="1" si="153"/>
        <v>5702</v>
      </c>
      <c r="S852" s="1070">
        <f t="shared" ca="1" si="154"/>
        <v>21</v>
      </c>
    </row>
    <row r="853" spans="1:19">
      <c r="A853" s="673" t="str">
        <f>Sheet1!E831</f>
        <v>L1-037</v>
      </c>
      <c r="B853" s="673">
        <f>Sheet1!F831</f>
        <v>36.74</v>
      </c>
      <c r="C853" s="3257">
        <f t="shared" si="145"/>
        <v>0.99</v>
      </c>
      <c r="D853" s="675"/>
      <c r="E853" s="3257">
        <f t="shared" si="146"/>
        <v>1</v>
      </c>
      <c r="F853" s="675"/>
      <c r="G853" s="3257">
        <f t="shared" si="147"/>
        <v>1</v>
      </c>
      <c r="H853" s="675"/>
      <c r="I853" s="3257">
        <f t="shared" si="148"/>
        <v>1</v>
      </c>
      <c r="J853" s="675"/>
      <c r="K853" s="3257">
        <f t="shared" si="149"/>
        <v>1</v>
      </c>
      <c r="L853" s="675"/>
      <c r="M853" s="3257">
        <f t="shared" si="150"/>
        <v>1</v>
      </c>
      <c r="N853" s="675"/>
      <c r="O853" s="3257">
        <f t="shared" si="151"/>
        <v>1</v>
      </c>
      <c r="P853" s="675"/>
      <c r="Q853" s="3257">
        <f t="shared" si="152"/>
        <v>1</v>
      </c>
      <c r="R853" s="3258">
        <f t="shared" ca="1" si="153"/>
        <v>5702</v>
      </c>
      <c r="S853" s="1070">
        <f t="shared" ca="1" si="154"/>
        <v>21</v>
      </c>
    </row>
    <row r="854" spans="1:19">
      <c r="A854" s="673" t="str">
        <f>Sheet1!E832</f>
        <v>L1-038</v>
      </c>
      <c r="B854" s="673">
        <f>Sheet1!F832</f>
        <v>39.090000000000003</v>
      </c>
      <c r="C854" s="3257">
        <f t="shared" si="145"/>
        <v>0.99</v>
      </c>
      <c r="D854" s="675"/>
      <c r="E854" s="3257">
        <f t="shared" si="146"/>
        <v>1</v>
      </c>
      <c r="F854" s="675"/>
      <c r="G854" s="3257">
        <f t="shared" si="147"/>
        <v>1</v>
      </c>
      <c r="H854" s="675"/>
      <c r="I854" s="3257">
        <f t="shared" si="148"/>
        <v>1</v>
      </c>
      <c r="J854" s="675"/>
      <c r="K854" s="3257">
        <f t="shared" si="149"/>
        <v>1</v>
      </c>
      <c r="L854" s="675"/>
      <c r="M854" s="3257">
        <f t="shared" si="150"/>
        <v>1</v>
      </c>
      <c r="N854" s="675"/>
      <c r="O854" s="3257">
        <f t="shared" si="151"/>
        <v>1</v>
      </c>
      <c r="P854" s="675"/>
      <c r="Q854" s="3257">
        <f t="shared" si="152"/>
        <v>1</v>
      </c>
      <c r="R854" s="3258">
        <f t="shared" ca="1" si="153"/>
        <v>5702</v>
      </c>
      <c r="S854" s="1070">
        <f t="shared" ca="1" si="154"/>
        <v>22</v>
      </c>
    </row>
    <row r="855" spans="1:19">
      <c r="A855" s="673" t="str">
        <f>Sheet1!E833</f>
        <v>L1-039</v>
      </c>
      <c r="B855" s="673">
        <f>Sheet1!F833</f>
        <v>39.090000000000003</v>
      </c>
      <c r="C855" s="3257">
        <f t="shared" si="145"/>
        <v>0.99</v>
      </c>
      <c r="D855" s="675"/>
      <c r="E855" s="3257">
        <f t="shared" si="146"/>
        <v>1</v>
      </c>
      <c r="F855" s="675"/>
      <c r="G855" s="3257">
        <f t="shared" si="147"/>
        <v>1</v>
      </c>
      <c r="H855" s="675"/>
      <c r="I855" s="3257">
        <f t="shared" si="148"/>
        <v>1</v>
      </c>
      <c r="J855" s="675"/>
      <c r="K855" s="3257">
        <f t="shared" si="149"/>
        <v>1</v>
      </c>
      <c r="L855" s="675"/>
      <c r="M855" s="3257">
        <f t="shared" si="150"/>
        <v>1</v>
      </c>
      <c r="N855" s="675"/>
      <c r="O855" s="3257">
        <f t="shared" si="151"/>
        <v>1</v>
      </c>
      <c r="P855" s="675"/>
      <c r="Q855" s="3257">
        <f t="shared" si="152"/>
        <v>1</v>
      </c>
      <c r="R855" s="3258">
        <f t="shared" ca="1" si="153"/>
        <v>5702</v>
      </c>
      <c r="S855" s="1070">
        <f t="shared" ca="1" si="154"/>
        <v>22</v>
      </c>
    </row>
    <row r="856" spans="1:19">
      <c r="A856" s="673" t="str">
        <f>Sheet1!E834</f>
        <v>L1-040</v>
      </c>
      <c r="B856" s="673">
        <f>Sheet1!F834</f>
        <v>39.090000000000003</v>
      </c>
      <c r="C856" s="3257">
        <f t="shared" si="145"/>
        <v>0.99</v>
      </c>
      <c r="D856" s="675"/>
      <c r="E856" s="3257">
        <f t="shared" si="146"/>
        <v>1</v>
      </c>
      <c r="F856" s="675"/>
      <c r="G856" s="3257">
        <f t="shared" si="147"/>
        <v>1</v>
      </c>
      <c r="H856" s="675"/>
      <c r="I856" s="3257">
        <f t="shared" si="148"/>
        <v>1</v>
      </c>
      <c r="J856" s="675"/>
      <c r="K856" s="3257">
        <f t="shared" si="149"/>
        <v>1</v>
      </c>
      <c r="L856" s="675"/>
      <c r="M856" s="3257">
        <f t="shared" si="150"/>
        <v>1</v>
      </c>
      <c r="N856" s="675"/>
      <c r="O856" s="3257">
        <f t="shared" si="151"/>
        <v>1</v>
      </c>
      <c r="P856" s="675"/>
      <c r="Q856" s="3257">
        <f t="shared" si="152"/>
        <v>1</v>
      </c>
      <c r="R856" s="3258">
        <f t="shared" ca="1" si="153"/>
        <v>5702</v>
      </c>
      <c r="S856" s="1070">
        <f t="shared" ca="1" si="154"/>
        <v>22</v>
      </c>
    </row>
    <row r="857" spans="1:19">
      <c r="A857" s="673" t="str">
        <f>Sheet1!E835</f>
        <v>L1-041</v>
      </c>
      <c r="B857" s="673">
        <f>Sheet1!F835</f>
        <v>39.090000000000003</v>
      </c>
      <c r="C857" s="3257">
        <f t="shared" si="145"/>
        <v>0.99</v>
      </c>
      <c r="D857" s="675"/>
      <c r="E857" s="3257">
        <f t="shared" si="146"/>
        <v>1</v>
      </c>
      <c r="F857" s="675"/>
      <c r="G857" s="3257">
        <f t="shared" si="147"/>
        <v>1</v>
      </c>
      <c r="H857" s="675"/>
      <c r="I857" s="3257">
        <f t="shared" si="148"/>
        <v>1</v>
      </c>
      <c r="J857" s="675"/>
      <c r="K857" s="3257">
        <f t="shared" si="149"/>
        <v>1</v>
      </c>
      <c r="L857" s="675"/>
      <c r="M857" s="3257">
        <f t="shared" si="150"/>
        <v>1</v>
      </c>
      <c r="N857" s="675"/>
      <c r="O857" s="3257">
        <f t="shared" si="151"/>
        <v>1</v>
      </c>
      <c r="P857" s="675"/>
      <c r="Q857" s="3257">
        <f t="shared" si="152"/>
        <v>1</v>
      </c>
      <c r="R857" s="3258">
        <f t="shared" ca="1" si="153"/>
        <v>5702</v>
      </c>
      <c r="S857" s="1070">
        <f t="shared" ca="1" si="154"/>
        <v>22</v>
      </c>
    </row>
    <row r="858" spans="1:19">
      <c r="A858" s="673" t="str">
        <f>Sheet1!E836</f>
        <v>L1-042</v>
      </c>
      <c r="B858" s="673">
        <f>Sheet1!F836</f>
        <v>39.090000000000003</v>
      </c>
      <c r="C858" s="3257">
        <f t="shared" si="145"/>
        <v>0.99</v>
      </c>
      <c r="D858" s="675"/>
      <c r="E858" s="3257">
        <f t="shared" si="146"/>
        <v>1</v>
      </c>
      <c r="F858" s="675"/>
      <c r="G858" s="3257">
        <f t="shared" si="147"/>
        <v>1</v>
      </c>
      <c r="H858" s="675"/>
      <c r="I858" s="3257">
        <f t="shared" si="148"/>
        <v>1</v>
      </c>
      <c r="J858" s="675"/>
      <c r="K858" s="3257">
        <f t="shared" si="149"/>
        <v>1</v>
      </c>
      <c r="L858" s="675"/>
      <c r="M858" s="3257">
        <f t="shared" si="150"/>
        <v>1</v>
      </c>
      <c r="N858" s="675"/>
      <c r="O858" s="3257">
        <f t="shared" si="151"/>
        <v>1</v>
      </c>
      <c r="P858" s="675"/>
      <c r="Q858" s="3257">
        <f t="shared" si="152"/>
        <v>1</v>
      </c>
      <c r="R858" s="3258">
        <f t="shared" ca="1" si="153"/>
        <v>5702</v>
      </c>
      <c r="S858" s="1070">
        <f t="shared" ca="1" si="154"/>
        <v>22</v>
      </c>
    </row>
    <row r="859" spans="1:19">
      <c r="A859" s="673" t="str">
        <f>Sheet1!E837</f>
        <v>L1-043</v>
      </c>
      <c r="B859" s="673">
        <f>Sheet1!F837</f>
        <v>39.090000000000003</v>
      </c>
      <c r="C859" s="3257">
        <f t="shared" si="145"/>
        <v>0.99</v>
      </c>
      <c r="D859" s="675"/>
      <c r="E859" s="3257">
        <f t="shared" si="146"/>
        <v>1</v>
      </c>
      <c r="F859" s="675"/>
      <c r="G859" s="3257">
        <f t="shared" si="147"/>
        <v>1</v>
      </c>
      <c r="H859" s="675"/>
      <c r="I859" s="3257">
        <f t="shared" si="148"/>
        <v>1</v>
      </c>
      <c r="J859" s="675"/>
      <c r="K859" s="3257">
        <f t="shared" si="149"/>
        <v>1</v>
      </c>
      <c r="L859" s="675"/>
      <c r="M859" s="3257">
        <f t="shared" si="150"/>
        <v>1</v>
      </c>
      <c r="N859" s="675"/>
      <c r="O859" s="3257">
        <f t="shared" si="151"/>
        <v>1</v>
      </c>
      <c r="P859" s="675"/>
      <c r="Q859" s="3257">
        <f t="shared" si="152"/>
        <v>1</v>
      </c>
      <c r="R859" s="3258">
        <f t="shared" ca="1" si="153"/>
        <v>5702</v>
      </c>
      <c r="S859" s="1070">
        <f t="shared" ca="1" si="154"/>
        <v>22</v>
      </c>
    </row>
    <row r="860" spans="1:19">
      <c r="A860" s="673" t="str">
        <f>Sheet1!E838</f>
        <v>L1-044</v>
      </c>
      <c r="B860" s="673">
        <f>Sheet1!F838</f>
        <v>39.090000000000003</v>
      </c>
      <c r="C860" s="3257">
        <f t="shared" si="145"/>
        <v>0.99</v>
      </c>
      <c r="D860" s="675"/>
      <c r="E860" s="3257">
        <f t="shared" si="146"/>
        <v>1</v>
      </c>
      <c r="F860" s="675"/>
      <c r="G860" s="3257">
        <f t="shared" si="147"/>
        <v>1</v>
      </c>
      <c r="H860" s="675"/>
      <c r="I860" s="3257">
        <f t="shared" si="148"/>
        <v>1</v>
      </c>
      <c r="J860" s="675"/>
      <c r="K860" s="3257">
        <f t="shared" si="149"/>
        <v>1</v>
      </c>
      <c r="L860" s="675"/>
      <c r="M860" s="3257">
        <f t="shared" si="150"/>
        <v>1</v>
      </c>
      <c r="N860" s="675"/>
      <c r="O860" s="3257">
        <f t="shared" si="151"/>
        <v>1</v>
      </c>
      <c r="P860" s="675"/>
      <c r="Q860" s="3257">
        <f t="shared" si="152"/>
        <v>1</v>
      </c>
      <c r="R860" s="3258">
        <f t="shared" ca="1" si="153"/>
        <v>5702</v>
      </c>
      <c r="S860" s="1070">
        <f t="shared" ca="1" si="154"/>
        <v>22</v>
      </c>
    </row>
    <row r="861" spans="1:19">
      <c r="A861" s="673" t="str">
        <f>Sheet1!E839</f>
        <v>L1-045</v>
      </c>
      <c r="B861" s="673">
        <f>Sheet1!F839</f>
        <v>39.090000000000003</v>
      </c>
      <c r="C861" s="3257">
        <f t="shared" si="145"/>
        <v>0.99</v>
      </c>
      <c r="D861" s="675"/>
      <c r="E861" s="3257">
        <f t="shared" si="146"/>
        <v>1</v>
      </c>
      <c r="F861" s="675"/>
      <c r="G861" s="3257">
        <f t="shared" si="147"/>
        <v>1</v>
      </c>
      <c r="H861" s="675"/>
      <c r="I861" s="3257">
        <f t="shared" si="148"/>
        <v>1</v>
      </c>
      <c r="J861" s="675"/>
      <c r="K861" s="3257">
        <f t="shared" si="149"/>
        <v>1</v>
      </c>
      <c r="L861" s="675"/>
      <c r="M861" s="3257">
        <f t="shared" si="150"/>
        <v>1</v>
      </c>
      <c r="N861" s="675"/>
      <c r="O861" s="3257">
        <f t="shared" si="151"/>
        <v>1</v>
      </c>
      <c r="P861" s="675"/>
      <c r="Q861" s="3257">
        <f t="shared" si="152"/>
        <v>1</v>
      </c>
      <c r="R861" s="3258">
        <f t="shared" ca="1" si="153"/>
        <v>5702</v>
      </c>
      <c r="S861" s="1070">
        <f t="shared" ca="1" si="154"/>
        <v>22</v>
      </c>
    </row>
    <row r="862" spans="1:19">
      <c r="A862" s="673" t="str">
        <f>Sheet1!E840</f>
        <v>L1-046</v>
      </c>
      <c r="B862" s="673">
        <f>Sheet1!F840</f>
        <v>39.090000000000003</v>
      </c>
      <c r="C862" s="3257">
        <f t="shared" si="145"/>
        <v>0.99</v>
      </c>
      <c r="D862" s="675"/>
      <c r="E862" s="3257">
        <f t="shared" si="146"/>
        <v>1</v>
      </c>
      <c r="F862" s="675"/>
      <c r="G862" s="3257">
        <f t="shared" si="147"/>
        <v>1</v>
      </c>
      <c r="H862" s="675"/>
      <c r="I862" s="3257">
        <f t="shared" si="148"/>
        <v>1</v>
      </c>
      <c r="J862" s="675"/>
      <c r="K862" s="3257">
        <f t="shared" si="149"/>
        <v>1</v>
      </c>
      <c r="L862" s="675"/>
      <c r="M862" s="3257">
        <f t="shared" si="150"/>
        <v>1</v>
      </c>
      <c r="N862" s="675"/>
      <c r="O862" s="3257">
        <f t="shared" si="151"/>
        <v>1</v>
      </c>
      <c r="P862" s="675"/>
      <c r="Q862" s="3257">
        <f t="shared" si="152"/>
        <v>1</v>
      </c>
      <c r="R862" s="3258">
        <f t="shared" ca="1" si="153"/>
        <v>5702</v>
      </c>
      <c r="S862" s="1070">
        <f t="shared" ca="1" si="154"/>
        <v>22</v>
      </c>
    </row>
    <row r="863" spans="1:19">
      <c r="A863" s="673" t="str">
        <f>Sheet1!E841</f>
        <v>L1-047</v>
      </c>
      <c r="B863" s="673">
        <f>Sheet1!F841</f>
        <v>39.090000000000003</v>
      </c>
      <c r="C863" s="3257">
        <f t="shared" si="145"/>
        <v>0.99</v>
      </c>
      <c r="D863" s="675"/>
      <c r="E863" s="3257">
        <f t="shared" si="146"/>
        <v>1</v>
      </c>
      <c r="F863" s="675"/>
      <c r="G863" s="3257">
        <f t="shared" si="147"/>
        <v>1</v>
      </c>
      <c r="H863" s="675"/>
      <c r="I863" s="3257">
        <f t="shared" si="148"/>
        <v>1</v>
      </c>
      <c r="J863" s="675"/>
      <c r="K863" s="3257">
        <f t="shared" si="149"/>
        <v>1</v>
      </c>
      <c r="L863" s="675"/>
      <c r="M863" s="3257">
        <f t="shared" si="150"/>
        <v>1</v>
      </c>
      <c r="N863" s="675"/>
      <c r="O863" s="3257">
        <f t="shared" si="151"/>
        <v>1</v>
      </c>
      <c r="P863" s="675"/>
      <c r="Q863" s="3257">
        <f t="shared" si="152"/>
        <v>1</v>
      </c>
      <c r="R863" s="3258">
        <f t="shared" ca="1" si="153"/>
        <v>5702</v>
      </c>
      <c r="S863" s="1070">
        <f t="shared" ca="1" si="154"/>
        <v>22</v>
      </c>
    </row>
    <row r="864" spans="1:19">
      <c r="A864" s="673" t="str">
        <f>Sheet1!E842</f>
        <v>L1-048</v>
      </c>
      <c r="B864" s="673">
        <f>Sheet1!F842</f>
        <v>39.090000000000003</v>
      </c>
      <c r="C864" s="3257">
        <f t="shared" si="145"/>
        <v>0.99</v>
      </c>
      <c r="D864" s="675"/>
      <c r="E864" s="3257">
        <f t="shared" si="146"/>
        <v>1</v>
      </c>
      <c r="F864" s="675"/>
      <c r="G864" s="3257">
        <f t="shared" si="147"/>
        <v>1</v>
      </c>
      <c r="H864" s="675"/>
      <c r="I864" s="3257">
        <f t="shared" si="148"/>
        <v>1</v>
      </c>
      <c r="J864" s="675"/>
      <c r="K864" s="3257">
        <f t="shared" si="149"/>
        <v>1</v>
      </c>
      <c r="L864" s="675"/>
      <c r="M864" s="3257">
        <f t="shared" si="150"/>
        <v>1</v>
      </c>
      <c r="N864" s="675"/>
      <c r="O864" s="3257">
        <f t="shared" si="151"/>
        <v>1</v>
      </c>
      <c r="P864" s="675"/>
      <c r="Q864" s="3257">
        <f t="shared" si="152"/>
        <v>1</v>
      </c>
      <c r="R864" s="3258">
        <f t="shared" ca="1" si="153"/>
        <v>5702</v>
      </c>
      <c r="S864" s="1070">
        <f t="shared" ca="1" si="154"/>
        <v>22</v>
      </c>
    </row>
    <row r="865" spans="1:19">
      <c r="A865" s="673" t="str">
        <f>Sheet1!E843</f>
        <v>L1-049</v>
      </c>
      <c r="B865" s="673">
        <f>Sheet1!F843</f>
        <v>39.090000000000003</v>
      </c>
      <c r="C865" s="3257">
        <f t="shared" si="145"/>
        <v>0.99</v>
      </c>
      <c r="D865" s="675"/>
      <c r="E865" s="3257">
        <f t="shared" si="146"/>
        <v>1</v>
      </c>
      <c r="F865" s="675"/>
      <c r="G865" s="3257">
        <f t="shared" si="147"/>
        <v>1</v>
      </c>
      <c r="H865" s="675"/>
      <c r="I865" s="3257">
        <f t="shared" si="148"/>
        <v>1</v>
      </c>
      <c r="J865" s="675"/>
      <c r="K865" s="3257">
        <f t="shared" si="149"/>
        <v>1</v>
      </c>
      <c r="L865" s="675"/>
      <c r="M865" s="3257">
        <f t="shared" si="150"/>
        <v>1</v>
      </c>
      <c r="N865" s="675"/>
      <c r="O865" s="3257">
        <f t="shared" si="151"/>
        <v>1</v>
      </c>
      <c r="P865" s="675"/>
      <c r="Q865" s="3257">
        <f t="shared" si="152"/>
        <v>1</v>
      </c>
      <c r="R865" s="3258">
        <f t="shared" ca="1" si="153"/>
        <v>5702</v>
      </c>
      <c r="S865" s="1070">
        <f t="shared" ca="1" si="154"/>
        <v>22</v>
      </c>
    </row>
    <row r="866" spans="1:19">
      <c r="A866" s="673" t="str">
        <f>Sheet1!E844</f>
        <v>L1-050</v>
      </c>
      <c r="B866" s="673">
        <f>Sheet1!F844</f>
        <v>36.74</v>
      </c>
      <c r="C866" s="3257">
        <f t="shared" si="145"/>
        <v>0.99</v>
      </c>
      <c r="D866" s="675"/>
      <c r="E866" s="3257">
        <f t="shared" si="146"/>
        <v>1</v>
      </c>
      <c r="F866" s="675"/>
      <c r="G866" s="3257">
        <f t="shared" si="147"/>
        <v>1</v>
      </c>
      <c r="H866" s="675"/>
      <c r="I866" s="3257">
        <f t="shared" si="148"/>
        <v>1</v>
      </c>
      <c r="J866" s="675"/>
      <c r="K866" s="3257">
        <f t="shared" si="149"/>
        <v>1</v>
      </c>
      <c r="L866" s="675"/>
      <c r="M866" s="3257">
        <f t="shared" si="150"/>
        <v>1</v>
      </c>
      <c r="N866" s="675"/>
      <c r="O866" s="3257">
        <f t="shared" si="151"/>
        <v>1</v>
      </c>
      <c r="P866" s="675"/>
      <c r="Q866" s="3257">
        <f t="shared" si="152"/>
        <v>1</v>
      </c>
      <c r="R866" s="3258">
        <f t="shared" ca="1" si="153"/>
        <v>5702</v>
      </c>
      <c r="S866" s="1070">
        <f t="shared" ca="1" si="154"/>
        <v>21</v>
      </c>
    </row>
    <row r="867" spans="1:19">
      <c r="A867" s="673" t="str">
        <f>Sheet1!E845</f>
        <v>L1-051</v>
      </c>
      <c r="B867" s="673">
        <f>Sheet1!F845</f>
        <v>36.74</v>
      </c>
      <c r="C867" s="3257">
        <f t="shared" si="145"/>
        <v>0.99</v>
      </c>
      <c r="D867" s="675"/>
      <c r="E867" s="3257">
        <f t="shared" si="146"/>
        <v>1</v>
      </c>
      <c r="F867" s="675"/>
      <c r="G867" s="3257">
        <f t="shared" si="147"/>
        <v>1</v>
      </c>
      <c r="H867" s="675"/>
      <c r="I867" s="3257">
        <f t="shared" si="148"/>
        <v>1</v>
      </c>
      <c r="J867" s="675"/>
      <c r="K867" s="3257">
        <f t="shared" si="149"/>
        <v>1</v>
      </c>
      <c r="L867" s="675"/>
      <c r="M867" s="3257">
        <f t="shared" si="150"/>
        <v>1</v>
      </c>
      <c r="N867" s="675"/>
      <c r="O867" s="3257">
        <f t="shared" si="151"/>
        <v>1</v>
      </c>
      <c r="P867" s="675"/>
      <c r="Q867" s="3257">
        <f t="shared" si="152"/>
        <v>1</v>
      </c>
      <c r="R867" s="3258">
        <f t="shared" ca="1" si="153"/>
        <v>5702</v>
      </c>
      <c r="S867" s="1070">
        <f t="shared" ca="1" si="154"/>
        <v>21</v>
      </c>
    </row>
    <row r="868" spans="1:19">
      <c r="A868" s="673" t="str">
        <f>Sheet1!E846</f>
        <v>L1-054</v>
      </c>
      <c r="B868" s="673">
        <f>Sheet1!F846</f>
        <v>36.74</v>
      </c>
      <c r="C868" s="3257">
        <f t="shared" si="145"/>
        <v>0.99</v>
      </c>
      <c r="D868" s="675"/>
      <c r="E868" s="3257">
        <f t="shared" si="146"/>
        <v>1</v>
      </c>
      <c r="F868" s="675"/>
      <c r="G868" s="3257">
        <f t="shared" si="147"/>
        <v>1</v>
      </c>
      <c r="H868" s="675"/>
      <c r="I868" s="3257">
        <f t="shared" si="148"/>
        <v>1</v>
      </c>
      <c r="J868" s="675"/>
      <c r="K868" s="3257">
        <f t="shared" si="149"/>
        <v>1</v>
      </c>
      <c r="L868" s="675"/>
      <c r="M868" s="3257">
        <f t="shared" si="150"/>
        <v>1</v>
      </c>
      <c r="N868" s="675"/>
      <c r="O868" s="3257">
        <f t="shared" si="151"/>
        <v>1</v>
      </c>
      <c r="P868" s="675"/>
      <c r="Q868" s="3257">
        <f t="shared" si="152"/>
        <v>1</v>
      </c>
      <c r="R868" s="3258">
        <f t="shared" ca="1" si="153"/>
        <v>5702</v>
      </c>
      <c r="S868" s="1070">
        <f t="shared" ca="1" si="154"/>
        <v>21</v>
      </c>
    </row>
    <row r="869" spans="1:19">
      <c r="A869" s="673" t="str">
        <f>Sheet1!E847</f>
        <v>L1-055</v>
      </c>
      <c r="B869" s="673">
        <f>Sheet1!F847</f>
        <v>36.74</v>
      </c>
      <c r="C869" s="3257">
        <f t="shared" si="145"/>
        <v>0.99</v>
      </c>
      <c r="D869" s="675"/>
      <c r="E869" s="3257">
        <f t="shared" si="146"/>
        <v>1</v>
      </c>
      <c r="F869" s="675"/>
      <c r="G869" s="3257">
        <f t="shared" si="147"/>
        <v>1</v>
      </c>
      <c r="H869" s="675"/>
      <c r="I869" s="3257">
        <f t="shared" si="148"/>
        <v>1</v>
      </c>
      <c r="J869" s="675"/>
      <c r="K869" s="3257">
        <f t="shared" si="149"/>
        <v>1</v>
      </c>
      <c r="L869" s="675"/>
      <c r="M869" s="3257">
        <f t="shared" si="150"/>
        <v>1</v>
      </c>
      <c r="N869" s="675"/>
      <c r="O869" s="3257">
        <f t="shared" si="151"/>
        <v>1</v>
      </c>
      <c r="P869" s="675"/>
      <c r="Q869" s="3257">
        <f t="shared" si="152"/>
        <v>1</v>
      </c>
      <c r="R869" s="3258">
        <f t="shared" ca="1" si="153"/>
        <v>5702</v>
      </c>
      <c r="S869" s="1070">
        <f t="shared" ca="1" si="154"/>
        <v>21</v>
      </c>
    </row>
    <row r="870" spans="1:19">
      <c r="A870" s="673" t="str">
        <f>Sheet1!E848</f>
        <v>L1-057</v>
      </c>
      <c r="B870" s="673">
        <f>Sheet1!F848</f>
        <v>36.74</v>
      </c>
      <c r="C870" s="3257">
        <f t="shared" si="145"/>
        <v>0.99</v>
      </c>
      <c r="D870" s="675"/>
      <c r="E870" s="3257">
        <f t="shared" si="146"/>
        <v>1</v>
      </c>
      <c r="F870" s="675"/>
      <c r="G870" s="3257">
        <f t="shared" si="147"/>
        <v>1</v>
      </c>
      <c r="H870" s="675"/>
      <c r="I870" s="3257">
        <f t="shared" si="148"/>
        <v>1</v>
      </c>
      <c r="J870" s="675"/>
      <c r="K870" s="3257">
        <f t="shared" si="149"/>
        <v>1</v>
      </c>
      <c r="L870" s="675"/>
      <c r="M870" s="3257">
        <f t="shared" si="150"/>
        <v>1</v>
      </c>
      <c r="N870" s="675"/>
      <c r="O870" s="3257">
        <f t="shared" si="151"/>
        <v>1</v>
      </c>
      <c r="P870" s="675"/>
      <c r="Q870" s="3257">
        <f t="shared" si="152"/>
        <v>1</v>
      </c>
      <c r="R870" s="3258">
        <f t="shared" ca="1" si="153"/>
        <v>5702</v>
      </c>
      <c r="S870" s="1070">
        <f t="shared" ca="1" si="154"/>
        <v>21</v>
      </c>
    </row>
    <row r="871" spans="1:19">
      <c r="A871" s="673" t="str">
        <f>Sheet1!E849</f>
        <v>L1-059</v>
      </c>
      <c r="B871" s="673">
        <f>Sheet1!F849</f>
        <v>36.74</v>
      </c>
      <c r="C871" s="3257">
        <f t="shared" si="145"/>
        <v>0.99</v>
      </c>
      <c r="D871" s="675"/>
      <c r="E871" s="3257">
        <f t="shared" si="146"/>
        <v>1</v>
      </c>
      <c r="F871" s="675"/>
      <c r="G871" s="3257">
        <f t="shared" si="147"/>
        <v>1</v>
      </c>
      <c r="H871" s="675"/>
      <c r="I871" s="3257">
        <f t="shared" si="148"/>
        <v>1</v>
      </c>
      <c r="J871" s="675"/>
      <c r="K871" s="3257">
        <f t="shared" si="149"/>
        <v>1</v>
      </c>
      <c r="L871" s="675"/>
      <c r="M871" s="3257">
        <f t="shared" si="150"/>
        <v>1</v>
      </c>
      <c r="N871" s="675"/>
      <c r="O871" s="3257">
        <f t="shared" si="151"/>
        <v>1</v>
      </c>
      <c r="P871" s="675"/>
      <c r="Q871" s="3257">
        <f t="shared" si="152"/>
        <v>1</v>
      </c>
      <c r="R871" s="3258">
        <f t="shared" ca="1" si="153"/>
        <v>5702</v>
      </c>
      <c r="S871" s="1070">
        <f t="shared" ca="1" si="154"/>
        <v>21</v>
      </c>
    </row>
    <row r="872" spans="1:19">
      <c r="A872" s="673" t="str">
        <f>Sheet1!E850</f>
        <v>L1-060</v>
      </c>
      <c r="B872" s="673">
        <f>Sheet1!F850</f>
        <v>36.74</v>
      </c>
      <c r="C872" s="3257">
        <f t="shared" si="145"/>
        <v>0.99</v>
      </c>
      <c r="D872" s="675"/>
      <c r="E872" s="3257">
        <f t="shared" si="146"/>
        <v>1</v>
      </c>
      <c r="F872" s="675"/>
      <c r="G872" s="3257">
        <f t="shared" si="147"/>
        <v>1</v>
      </c>
      <c r="H872" s="675"/>
      <c r="I872" s="3257">
        <f t="shared" si="148"/>
        <v>1</v>
      </c>
      <c r="J872" s="675"/>
      <c r="K872" s="3257">
        <f t="shared" si="149"/>
        <v>1</v>
      </c>
      <c r="L872" s="675"/>
      <c r="M872" s="3257">
        <f t="shared" si="150"/>
        <v>1</v>
      </c>
      <c r="N872" s="675"/>
      <c r="O872" s="3257">
        <f t="shared" si="151"/>
        <v>1</v>
      </c>
      <c r="P872" s="675"/>
      <c r="Q872" s="3257">
        <f t="shared" si="152"/>
        <v>1</v>
      </c>
      <c r="R872" s="3258">
        <f t="shared" ca="1" si="153"/>
        <v>5702</v>
      </c>
      <c r="S872" s="1070">
        <f t="shared" ca="1" si="154"/>
        <v>21</v>
      </c>
    </row>
    <row r="873" spans="1:19">
      <c r="A873" s="673" t="str">
        <f>Sheet1!E851</f>
        <v>L1-061</v>
      </c>
      <c r="B873" s="673">
        <f>Sheet1!F851</f>
        <v>36.74</v>
      </c>
      <c r="C873" s="3257">
        <f t="shared" si="145"/>
        <v>0.99</v>
      </c>
      <c r="D873" s="675"/>
      <c r="E873" s="3257">
        <f t="shared" si="146"/>
        <v>1</v>
      </c>
      <c r="F873" s="675"/>
      <c r="G873" s="3257">
        <f t="shared" si="147"/>
        <v>1</v>
      </c>
      <c r="H873" s="675"/>
      <c r="I873" s="3257">
        <f t="shared" si="148"/>
        <v>1</v>
      </c>
      <c r="J873" s="675"/>
      <c r="K873" s="3257">
        <f t="shared" si="149"/>
        <v>1</v>
      </c>
      <c r="L873" s="675"/>
      <c r="M873" s="3257">
        <f t="shared" si="150"/>
        <v>1</v>
      </c>
      <c r="N873" s="675"/>
      <c r="O873" s="3257">
        <f t="shared" si="151"/>
        <v>1</v>
      </c>
      <c r="P873" s="675"/>
      <c r="Q873" s="3257">
        <f t="shared" si="152"/>
        <v>1</v>
      </c>
      <c r="R873" s="3258">
        <f t="shared" ca="1" si="153"/>
        <v>5702</v>
      </c>
      <c r="S873" s="1070">
        <f t="shared" ca="1" si="154"/>
        <v>21</v>
      </c>
    </row>
    <row r="874" spans="1:19">
      <c r="A874" s="673" t="str">
        <f>Sheet1!E852</f>
        <v>L1-062</v>
      </c>
      <c r="B874" s="673">
        <f>Sheet1!F852</f>
        <v>39.090000000000003</v>
      </c>
      <c r="C874" s="3257">
        <f t="shared" si="145"/>
        <v>0.99</v>
      </c>
      <c r="D874" s="675"/>
      <c r="E874" s="3257">
        <f t="shared" si="146"/>
        <v>1</v>
      </c>
      <c r="F874" s="675"/>
      <c r="G874" s="3257">
        <f t="shared" si="147"/>
        <v>1</v>
      </c>
      <c r="H874" s="675"/>
      <c r="I874" s="3257">
        <f t="shared" si="148"/>
        <v>1</v>
      </c>
      <c r="J874" s="675"/>
      <c r="K874" s="3257">
        <f t="shared" si="149"/>
        <v>1</v>
      </c>
      <c r="L874" s="675"/>
      <c r="M874" s="3257">
        <f t="shared" si="150"/>
        <v>1</v>
      </c>
      <c r="N874" s="675"/>
      <c r="O874" s="3257">
        <f t="shared" si="151"/>
        <v>1</v>
      </c>
      <c r="P874" s="675"/>
      <c r="Q874" s="3257">
        <f t="shared" si="152"/>
        <v>1</v>
      </c>
      <c r="R874" s="3258">
        <f t="shared" ca="1" si="153"/>
        <v>5702</v>
      </c>
      <c r="S874" s="1070">
        <f t="shared" ca="1" si="154"/>
        <v>22</v>
      </c>
    </row>
    <row r="875" spans="1:19">
      <c r="A875" s="673" t="str">
        <f>Sheet1!E853</f>
        <v>L1-063</v>
      </c>
      <c r="B875" s="673">
        <f>Sheet1!F853</f>
        <v>39.090000000000003</v>
      </c>
      <c r="C875" s="3257">
        <f t="shared" si="145"/>
        <v>0.99</v>
      </c>
      <c r="D875" s="675"/>
      <c r="E875" s="3257">
        <f t="shared" si="146"/>
        <v>1</v>
      </c>
      <c r="F875" s="675"/>
      <c r="G875" s="3257">
        <f t="shared" si="147"/>
        <v>1</v>
      </c>
      <c r="H875" s="675"/>
      <c r="I875" s="3257">
        <f t="shared" si="148"/>
        <v>1</v>
      </c>
      <c r="J875" s="675"/>
      <c r="K875" s="3257">
        <f t="shared" si="149"/>
        <v>1</v>
      </c>
      <c r="L875" s="675"/>
      <c r="M875" s="3257">
        <f t="shared" si="150"/>
        <v>1</v>
      </c>
      <c r="N875" s="675"/>
      <c r="O875" s="3257">
        <f t="shared" si="151"/>
        <v>1</v>
      </c>
      <c r="P875" s="675"/>
      <c r="Q875" s="3257">
        <f t="shared" si="152"/>
        <v>1</v>
      </c>
      <c r="R875" s="3258">
        <f t="shared" ca="1" si="153"/>
        <v>5702</v>
      </c>
      <c r="S875" s="1070">
        <f t="shared" ca="1" si="154"/>
        <v>22</v>
      </c>
    </row>
    <row r="876" spans="1:19">
      <c r="A876" s="673" t="str">
        <f>Sheet1!E854</f>
        <v>L1-069</v>
      </c>
      <c r="B876" s="673">
        <f>Sheet1!F854</f>
        <v>39.090000000000003</v>
      </c>
      <c r="C876" s="3257">
        <f t="shared" si="145"/>
        <v>0.99</v>
      </c>
      <c r="D876" s="675"/>
      <c r="E876" s="3257">
        <f t="shared" si="146"/>
        <v>1</v>
      </c>
      <c r="F876" s="675"/>
      <c r="G876" s="3257">
        <f t="shared" si="147"/>
        <v>1</v>
      </c>
      <c r="H876" s="675"/>
      <c r="I876" s="3257">
        <f t="shared" si="148"/>
        <v>1</v>
      </c>
      <c r="J876" s="675"/>
      <c r="K876" s="3257">
        <f t="shared" si="149"/>
        <v>1</v>
      </c>
      <c r="L876" s="675"/>
      <c r="M876" s="3257">
        <f t="shared" si="150"/>
        <v>1</v>
      </c>
      <c r="N876" s="675"/>
      <c r="O876" s="3257">
        <f t="shared" si="151"/>
        <v>1</v>
      </c>
      <c r="P876" s="675"/>
      <c r="Q876" s="3257">
        <f t="shared" si="152"/>
        <v>1</v>
      </c>
      <c r="R876" s="3258">
        <f t="shared" ca="1" si="153"/>
        <v>5702</v>
      </c>
      <c r="S876" s="1070">
        <f t="shared" ca="1" si="154"/>
        <v>22</v>
      </c>
    </row>
    <row r="877" spans="1:19">
      <c r="A877" s="673" t="str">
        <f>Sheet1!E855</f>
        <v>M1-001</v>
      </c>
      <c r="B877" s="673">
        <f>Sheet1!F855</f>
        <v>39.090000000000003</v>
      </c>
      <c r="C877" s="3257">
        <f t="shared" si="145"/>
        <v>0.99</v>
      </c>
      <c r="D877" s="675"/>
      <c r="E877" s="3257">
        <f t="shared" si="146"/>
        <v>1</v>
      </c>
      <c r="F877" s="675"/>
      <c r="G877" s="3257">
        <f t="shared" si="147"/>
        <v>1</v>
      </c>
      <c r="H877" s="675"/>
      <c r="I877" s="3257">
        <f t="shared" si="148"/>
        <v>1</v>
      </c>
      <c r="J877" s="675"/>
      <c r="K877" s="3257">
        <f t="shared" si="149"/>
        <v>1</v>
      </c>
      <c r="L877" s="675"/>
      <c r="M877" s="3257">
        <f t="shared" si="150"/>
        <v>1</v>
      </c>
      <c r="N877" s="675"/>
      <c r="O877" s="3257">
        <f t="shared" si="151"/>
        <v>1</v>
      </c>
      <c r="P877" s="675"/>
      <c r="Q877" s="3257">
        <f t="shared" si="152"/>
        <v>1</v>
      </c>
      <c r="R877" s="3258">
        <f t="shared" ca="1" si="153"/>
        <v>5702</v>
      </c>
      <c r="S877" s="1070">
        <f t="shared" ca="1" si="154"/>
        <v>22</v>
      </c>
    </row>
    <row r="878" spans="1:19">
      <c r="A878" s="673" t="str">
        <f>Sheet1!E856</f>
        <v>M1-002</v>
      </c>
      <c r="B878" s="673">
        <f>Sheet1!F856</f>
        <v>39.090000000000003</v>
      </c>
      <c r="C878" s="3257">
        <f t="shared" si="145"/>
        <v>0.99</v>
      </c>
      <c r="D878" s="675"/>
      <c r="E878" s="3257">
        <f t="shared" si="146"/>
        <v>1</v>
      </c>
      <c r="F878" s="675"/>
      <c r="G878" s="3257">
        <f t="shared" si="147"/>
        <v>1</v>
      </c>
      <c r="H878" s="675"/>
      <c r="I878" s="3257">
        <f t="shared" si="148"/>
        <v>1</v>
      </c>
      <c r="J878" s="675"/>
      <c r="K878" s="3257">
        <f t="shared" si="149"/>
        <v>1</v>
      </c>
      <c r="L878" s="675"/>
      <c r="M878" s="3257">
        <f t="shared" si="150"/>
        <v>1</v>
      </c>
      <c r="N878" s="675"/>
      <c r="O878" s="3257">
        <f t="shared" si="151"/>
        <v>1</v>
      </c>
      <c r="P878" s="675"/>
      <c r="Q878" s="3257">
        <f t="shared" si="152"/>
        <v>1</v>
      </c>
      <c r="R878" s="3258">
        <f t="shared" ca="1" si="153"/>
        <v>5702</v>
      </c>
      <c r="S878" s="1070">
        <f t="shared" ca="1" si="154"/>
        <v>22</v>
      </c>
    </row>
    <row r="879" spans="1:19">
      <c r="A879" s="673" t="str">
        <f>Sheet1!E857</f>
        <v>M1-003</v>
      </c>
      <c r="B879" s="673">
        <f>Sheet1!F857</f>
        <v>32.83</v>
      </c>
      <c r="C879" s="3257">
        <f t="shared" si="145"/>
        <v>1</v>
      </c>
      <c r="D879" s="675"/>
      <c r="E879" s="3257">
        <f t="shared" si="146"/>
        <v>1</v>
      </c>
      <c r="F879" s="675"/>
      <c r="G879" s="3257">
        <f t="shared" si="147"/>
        <v>1</v>
      </c>
      <c r="H879" s="675"/>
      <c r="I879" s="3257">
        <f t="shared" si="148"/>
        <v>1</v>
      </c>
      <c r="J879" s="675"/>
      <c r="K879" s="3257">
        <f t="shared" si="149"/>
        <v>1</v>
      </c>
      <c r="L879" s="675"/>
      <c r="M879" s="3257">
        <f t="shared" si="150"/>
        <v>1</v>
      </c>
      <c r="N879" s="675"/>
      <c r="O879" s="3257">
        <f t="shared" si="151"/>
        <v>1</v>
      </c>
      <c r="P879" s="675"/>
      <c r="Q879" s="3257">
        <f t="shared" si="152"/>
        <v>1</v>
      </c>
      <c r="R879" s="3258">
        <f t="shared" ca="1" si="153"/>
        <v>5760</v>
      </c>
      <c r="S879" s="1070">
        <f t="shared" ca="1" si="154"/>
        <v>19</v>
      </c>
    </row>
    <row r="880" spans="1:19">
      <c r="A880" s="673" t="str">
        <f>Sheet1!E858</f>
        <v>M1-004</v>
      </c>
      <c r="B880" s="673">
        <f>Sheet1!F858</f>
        <v>39.090000000000003</v>
      </c>
      <c r="C880" s="3257">
        <f t="shared" si="145"/>
        <v>0.99</v>
      </c>
      <c r="D880" s="675"/>
      <c r="E880" s="3257">
        <f t="shared" si="146"/>
        <v>1</v>
      </c>
      <c r="F880" s="675"/>
      <c r="G880" s="3257">
        <f t="shared" si="147"/>
        <v>1</v>
      </c>
      <c r="H880" s="675"/>
      <c r="I880" s="3257">
        <f t="shared" si="148"/>
        <v>1</v>
      </c>
      <c r="J880" s="675"/>
      <c r="K880" s="3257">
        <f t="shared" si="149"/>
        <v>1</v>
      </c>
      <c r="L880" s="675"/>
      <c r="M880" s="3257">
        <f t="shared" si="150"/>
        <v>1</v>
      </c>
      <c r="N880" s="675"/>
      <c r="O880" s="3257">
        <f t="shared" si="151"/>
        <v>1</v>
      </c>
      <c r="P880" s="675"/>
      <c r="Q880" s="3257">
        <f t="shared" si="152"/>
        <v>1</v>
      </c>
      <c r="R880" s="3258">
        <f t="shared" ca="1" si="153"/>
        <v>5702</v>
      </c>
      <c r="S880" s="1070">
        <f t="shared" ca="1" si="154"/>
        <v>22</v>
      </c>
    </row>
    <row r="881" spans="1:19">
      <c r="A881" s="673" t="str">
        <f>Sheet1!E859</f>
        <v>M1-005</v>
      </c>
      <c r="B881" s="673">
        <f>Sheet1!F859</f>
        <v>37.520000000000003</v>
      </c>
      <c r="C881" s="3257">
        <f t="shared" si="145"/>
        <v>0.99</v>
      </c>
      <c r="D881" s="675"/>
      <c r="E881" s="3257">
        <f t="shared" si="146"/>
        <v>1</v>
      </c>
      <c r="F881" s="675"/>
      <c r="G881" s="3257">
        <f t="shared" si="147"/>
        <v>1</v>
      </c>
      <c r="H881" s="675"/>
      <c r="I881" s="3257">
        <f t="shared" si="148"/>
        <v>1</v>
      </c>
      <c r="J881" s="675"/>
      <c r="K881" s="3257">
        <f t="shared" si="149"/>
        <v>1</v>
      </c>
      <c r="L881" s="675"/>
      <c r="M881" s="3257">
        <f t="shared" si="150"/>
        <v>1</v>
      </c>
      <c r="N881" s="675"/>
      <c r="O881" s="3257">
        <f t="shared" si="151"/>
        <v>1</v>
      </c>
      <c r="P881" s="675"/>
      <c r="Q881" s="3257">
        <f t="shared" si="152"/>
        <v>1</v>
      </c>
      <c r="R881" s="3258">
        <f t="shared" ca="1" si="153"/>
        <v>5702</v>
      </c>
      <c r="S881" s="1070">
        <f t="shared" ca="1" si="154"/>
        <v>21</v>
      </c>
    </row>
    <row r="882" spans="1:19">
      <c r="A882" s="673" t="str">
        <f>Sheet1!E860</f>
        <v>M1-006</v>
      </c>
      <c r="B882" s="673">
        <f>Sheet1!F860</f>
        <v>37.520000000000003</v>
      </c>
      <c r="C882" s="3257">
        <f t="shared" si="145"/>
        <v>0.99</v>
      </c>
      <c r="D882" s="675"/>
      <c r="E882" s="3257">
        <f t="shared" si="146"/>
        <v>1</v>
      </c>
      <c r="F882" s="675"/>
      <c r="G882" s="3257">
        <f t="shared" si="147"/>
        <v>1</v>
      </c>
      <c r="H882" s="675"/>
      <c r="I882" s="3257">
        <f t="shared" si="148"/>
        <v>1</v>
      </c>
      <c r="J882" s="675"/>
      <c r="K882" s="3257">
        <f t="shared" si="149"/>
        <v>1</v>
      </c>
      <c r="L882" s="675"/>
      <c r="M882" s="3257">
        <f t="shared" si="150"/>
        <v>1</v>
      </c>
      <c r="N882" s="675"/>
      <c r="O882" s="3257">
        <f t="shared" si="151"/>
        <v>1</v>
      </c>
      <c r="P882" s="675"/>
      <c r="Q882" s="3257">
        <f t="shared" si="152"/>
        <v>1</v>
      </c>
      <c r="R882" s="3258">
        <f t="shared" ca="1" si="153"/>
        <v>5702</v>
      </c>
      <c r="S882" s="1070">
        <f t="shared" ca="1" si="154"/>
        <v>21</v>
      </c>
    </row>
    <row r="883" spans="1:19">
      <c r="A883" s="673" t="str">
        <f>Sheet1!E861</f>
        <v>M1-007</v>
      </c>
      <c r="B883" s="673">
        <f>Sheet1!F861</f>
        <v>37.520000000000003</v>
      </c>
      <c r="C883" s="3257">
        <f t="shared" si="145"/>
        <v>0.99</v>
      </c>
      <c r="D883" s="675"/>
      <c r="E883" s="3257">
        <f t="shared" si="146"/>
        <v>1</v>
      </c>
      <c r="F883" s="675"/>
      <c r="G883" s="3257">
        <f t="shared" si="147"/>
        <v>1</v>
      </c>
      <c r="H883" s="675"/>
      <c r="I883" s="3257">
        <f t="shared" si="148"/>
        <v>1</v>
      </c>
      <c r="J883" s="675"/>
      <c r="K883" s="3257">
        <f t="shared" si="149"/>
        <v>1</v>
      </c>
      <c r="L883" s="675"/>
      <c r="M883" s="3257">
        <f t="shared" si="150"/>
        <v>1</v>
      </c>
      <c r="N883" s="675"/>
      <c r="O883" s="3257">
        <f t="shared" si="151"/>
        <v>1</v>
      </c>
      <c r="P883" s="675"/>
      <c r="Q883" s="3257">
        <f t="shared" si="152"/>
        <v>1</v>
      </c>
      <c r="R883" s="3258">
        <f t="shared" ca="1" si="153"/>
        <v>5702</v>
      </c>
      <c r="S883" s="1070">
        <f t="shared" ca="1" si="154"/>
        <v>21</v>
      </c>
    </row>
    <row r="884" spans="1:19">
      <c r="A884" s="673" t="str">
        <f>Sheet1!E862</f>
        <v>M1-008</v>
      </c>
      <c r="B884" s="673">
        <f>Sheet1!F862</f>
        <v>37.520000000000003</v>
      </c>
      <c r="C884" s="3257">
        <f t="shared" si="145"/>
        <v>0.99</v>
      </c>
      <c r="D884" s="675"/>
      <c r="E884" s="3257">
        <f t="shared" si="146"/>
        <v>1</v>
      </c>
      <c r="F884" s="675"/>
      <c r="G884" s="3257">
        <f t="shared" si="147"/>
        <v>1</v>
      </c>
      <c r="H884" s="675"/>
      <c r="I884" s="3257">
        <f t="shared" si="148"/>
        <v>1</v>
      </c>
      <c r="J884" s="675"/>
      <c r="K884" s="3257">
        <f t="shared" si="149"/>
        <v>1</v>
      </c>
      <c r="L884" s="675"/>
      <c r="M884" s="3257">
        <f t="shared" si="150"/>
        <v>1</v>
      </c>
      <c r="N884" s="675"/>
      <c r="O884" s="3257">
        <f t="shared" si="151"/>
        <v>1</v>
      </c>
      <c r="P884" s="675"/>
      <c r="Q884" s="3257">
        <f t="shared" si="152"/>
        <v>1</v>
      </c>
      <c r="R884" s="3258">
        <f t="shared" ca="1" si="153"/>
        <v>5702</v>
      </c>
      <c r="S884" s="1070">
        <f t="shared" ca="1" si="154"/>
        <v>21</v>
      </c>
    </row>
    <row r="885" spans="1:19">
      <c r="A885" s="673" t="str">
        <f>Sheet1!E863</f>
        <v>M1-009</v>
      </c>
      <c r="B885" s="673">
        <f>Sheet1!F863</f>
        <v>37.520000000000003</v>
      </c>
      <c r="C885" s="3257">
        <f t="shared" si="145"/>
        <v>0.99</v>
      </c>
      <c r="D885" s="675"/>
      <c r="E885" s="3257">
        <f t="shared" si="146"/>
        <v>1</v>
      </c>
      <c r="F885" s="675"/>
      <c r="G885" s="3257">
        <f t="shared" si="147"/>
        <v>1</v>
      </c>
      <c r="H885" s="675"/>
      <c r="I885" s="3257">
        <f t="shared" si="148"/>
        <v>1</v>
      </c>
      <c r="J885" s="675"/>
      <c r="K885" s="3257">
        <f t="shared" si="149"/>
        <v>1</v>
      </c>
      <c r="L885" s="675"/>
      <c r="M885" s="3257">
        <f t="shared" si="150"/>
        <v>1</v>
      </c>
      <c r="N885" s="675"/>
      <c r="O885" s="3257">
        <f t="shared" si="151"/>
        <v>1</v>
      </c>
      <c r="P885" s="675"/>
      <c r="Q885" s="3257">
        <f t="shared" si="152"/>
        <v>1</v>
      </c>
      <c r="R885" s="3258">
        <f t="shared" ca="1" si="153"/>
        <v>5702</v>
      </c>
      <c r="S885" s="1070">
        <f t="shared" ca="1" si="154"/>
        <v>21</v>
      </c>
    </row>
    <row r="886" spans="1:19">
      <c r="A886" s="673" t="str">
        <f>Sheet1!E864</f>
        <v>M1-010</v>
      </c>
      <c r="B886" s="673">
        <f>Sheet1!F864</f>
        <v>37.520000000000003</v>
      </c>
      <c r="C886" s="3257">
        <f t="shared" si="145"/>
        <v>0.99</v>
      </c>
      <c r="D886" s="675"/>
      <c r="E886" s="3257">
        <f t="shared" si="146"/>
        <v>1</v>
      </c>
      <c r="F886" s="675"/>
      <c r="G886" s="3257">
        <f t="shared" si="147"/>
        <v>1</v>
      </c>
      <c r="H886" s="675"/>
      <c r="I886" s="3257">
        <f t="shared" si="148"/>
        <v>1</v>
      </c>
      <c r="J886" s="675"/>
      <c r="K886" s="3257">
        <f t="shared" si="149"/>
        <v>1</v>
      </c>
      <c r="L886" s="675"/>
      <c r="M886" s="3257">
        <f t="shared" si="150"/>
        <v>1</v>
      </c>
      <c r="N886" s="675"/>
      <c r="O886" s="3257">
        <f t="shared" si="151"/>
        <v>1</v>
      </c>
      <c r="P886" s="675"/>
      <c r="Q886" s="3257">
        <f t="shared" si="152"/>
        <v>1</v>
      </c>
      <c r="R886" s="3258">
        <f t="shared" ca="1" si="153"/>
        <v>5702</v>
      </c>
      <c r="S886" s="1070">
        <f t="shared" ca="1" si="154"/>
        <v>21</v>
      </c>
    </row>
    <row r="887" spans="1:19">
      <c r="A887" s="673" t="str">
        <f>Sheet1!E865</f>
        <v>M1-011</v>
      </c>
      <c r="B887" s="673">
        <f>Sheet1!F865</f>
        <v>32.270000000000003</v>
      </c>
      <c r="C887" s="3257">
        <f t="shared" si="145"/>
        <v>1</v>
      </c>
      <c r="D887" s="675"/>
      <c r="E887" s="3257">
        <f t="shared" si="146"/>
        <v>1</v>
      </c>
      <c r="F887" s="675"/>
      <c r="G887" s="3257">
        <f t="shared" si="147"/>
        <v>1</v>
      </c>
      <c r="H887" s="675"/>
      <c r="I887" s="3257">
        <f t="shared" si="148"/>
        <v>1</v>
      </c>
      <c r="J887" s="675"/>
      <c r="K887" s="3257">
        <f t="shared" si="149"/>
        <v>1</v>
      </c>
      <c r="L887" s="675"/>
      <c r="M887" s="3257">
        <f t="shared" si="150"/>
        <v>1</v>
      </c>
      <c r="N887" s="675"/>
      <c r="O887" s="3257">
        <f t="shared" si="151"/>
        <v>1</v>
      </c>
      <c r="P887" s="675"/>
      <c r="Q887" s="3257">
        <f t="shared" si="152"/>
        <v>1</v>
      </c>
      <c r="R887" s="3258">
        <f t="shared" ca="1" si="153"/>
        <v>5760</v>
      </c>
      <c r="S887" s="1070">
        <f t="shared" ca="1" si="154"/>
        <v>19</v>
      </c>
    </row>
    <row r="888" spans="1:19">
      <c r="A888" s="673" t="str">
        <f>Sheet1!E866</f>
        <v>M1-012</v>
      </c>
      <c r="B888" s="673">
        <f>Sheet1!F866</f>
        <v>32.270000000000003</v>
      </c>
      <c r="C888" s="3257">
        <f t="shared" si="145"/>
        <v>1</v>
      </c>
      <c r="D888" s="675"/>
      <c r="E888" s="3257">
        <f t="shared" si="146"/>
        <v>1</v>
      </c>
      <c r="F888" s="675"/>
      <c r="G888" s="3257">
        <f t="shared" si="147"/>
        <v>1</v>
      </c>
      <c r="H888" s="675"/>
      <c r="I888" s="3257">
        <f t="shared" si="148"/>
        <v>1</v>
      </c>
      <c r="J888" s="675"/>
      <c r="K888" s="3257">
        <f t="shared" si="149"/>
        <v>1</v>
      </c>
      <c r="L888" s="675"/>
      <c r="M888" s="3257">
        <f t="shared" si="150"/>
        <v>1</v>
      </c>
      <c r="N888" s="675"/>
      <c r="O888" s="3257">
        <f t="shared" si="151"/>
        <v>1</v>
      </c>
      <c r="P888" s="675"/>
      <c r="Q888" s="3257">
        <f t="shared" si="152"/>
        <v>1</v>
      </c>
      <c r="R888" s="3258">
        <f t="shared" ca="1" si="153"/>
        <v>5760</v>
      </c>
      <c r="S888" s="1070">
        <f t="shared" ca="1" si="154"/>
        <v>19</v>
      </c>
    </row>
    <row r="889" spans="1:19">
      <c r="A889" s="673" t="str">
        <f>Sheet1!E867</f>
        <v>M1-013</v>
      </c>
      <c r="B889" s="673">
        <f>Sheet1!F867</f>
        <v>32.270000000000003</v>
      </c>
      <c r="C889" s="3257">
        <f t="shared" si="145"/>
        <v>1</v>
      </c>
      <c r="D889" s="675"/>
      <c r="E889" s="3257">
        <f t="shared" si="146"/>
        <v>1</v>
      </c>
      <c r="F889" s="675"/>
      <c r="G889" s="3257">
        <f t="shared" si="147"/>
        <v>1</v>
      </c>
      <c r="H889" s="675"/>
      <c r="I889" s="3257">
        <f t="shared" si="148"/>
        <v>1</v>
      </c>
      <c r="J889" s="675"/>
      <c r="K889" s="3257">
        <f t="shared" si="149"/>
        <v>1</v>
      </c>
      <c r="L889" s="675"/>
      <c r="M889" s="3257">
        <f t="shared" si="150"/>
        <v>1</v>
      </c>
      <c r="N889" s="675"/>
      <c r="O889" s="3257">
        <f t="shared" si="151"/>
        <v>1</v>
      </c>
      <c r="P889" s="675"/>
      <c r="Q889" s="3257">
        <f t="shared" si="152"/>
        <v>1</v>
      </c>
      <c r="R889" s="3258">
        <f t="shared" ca="1" si="153"/>
        <v>5760</v>
      </c>
      <c r="S889" s="1070">
        <f t="shared" ca="1" si="154"/>
        <v>19</v>
      </c>
    </row>
    <row r="890" spans="1:19">
      <c r="A890" s="673" t="str">
        <f>Sheet1!E868</f>
        <v>M1-014</v>
      </c>
      <c r="B890" s="673">
        <f>Sheet1!F868</f>
        <v>39.090000000000003</v>
      </c>
      <c r="C890" s="3257">
        <f t="shared" si="145"/>
        <v>0.99</v>
      </c>
      <c r="D890" s="675"/>
      <c r="E890" s="3257">
        <f t="shared" si="146"/>
        <v>1</v>
      </c>
      <c r="F890" s="675"/>
      <c r="G890" s="3257">
        <f t="shared" si="147"/>
        <v>1</v>
      </c>
      <c r="H890" s="675"/>
      <c r="I890" s="3257">
        <f t="shared" si="148"/>
        <v>1</v>
      </c>
      <c r="J890" s="675"/>
      <c r="K890" s="3257">
        <f t="shared" si="149"/>
        <v>1</v>
      </c>
      <c r="L890" s="675"/>
      <c r="M890" s="3257">
        <f t="shared" si="150"/>
        <v>1</v>
      </c>
      <c r="N890" s="675"/>
      <c r="O890" s="3257">
        <f t="shared" si="151"/>
        <v>1</v>
      </c>
      <c r="P890" s="675"/>
      <c r="Q890" s="3257">
        <f t="shared" si="152"/>
        <v>1</v>
      </c>
      <c r="R890" s="3258">
        <f t="shared" ca="1" si="153"/>
        <v>5702</v>
      </c>
      <c r="S890" s="1070">
        <f t="shared" ca="1" si="154"/>
        <v>22</v>
      </c>
    </row>
    <row r="891" spans="1:19">
      <c r="A891" s="673" t="str">
        <f>Sheet1!E869</f>
        <v>M1-016</v>
      </c>
      <c r="B891" s="673">
        <f>Sheet1!F869</f>
        <v>38.31</v>
      </c>
      <c r="C891" s="3257">
        <f t="shared" si="145"/>
        <v>0.99</v>
      </c>
      <c r="D891" s="675"/>
      <c r="E891" s="3257">
        <f t="shared" si="146"/>
        <v>1</v>
      </c>
      <c r="F891" s="675"/>
      <c r="G891" s="3257">
        <f t="shared" si="147"/>
        <v>1</v>
      </c>
      <c r="H891" s="675"/>
      <c r="I891" s="3257">
        <f t="shared" si="148"/>
        <v>1</v>
      </c>
      <c r="J891" s="675"/>
      <c r="K891" s="3257">
        <f t="shared" si="149"/>
        <v>1</v>
      </c>
      <c r="L891" s="675"/>
      <c r="M891" s="3257">
        <f t="shared" si="150"/>
        <v>1</v>
      </c>
      <c r="N891" s="675"/>
      <c r="O891" s="3257">
        <f t="shared" si="151"/>
        <v>1</v>
      </c>
      <c r="P891" s="675"/>
      <c r="Q891" s="3257">
        <f t="shared" si="152"/>
        <v>1</v>
      </c>
      <c r="R891" s="3258">
        <f t="shared" ca="1" si="153"/>
        <v>5702</v>
      </c>
      <c r="S891" s="1070">
        <f t="shared" ca="1" si="154"/>
        <v>22</v>
      </c>
    </row>
    <row r="892" spans="1:19">
      <c r="A892" s="673" t="str">
        <f>Sheet1!E870</f>
        <v>M1-032</v>
      </c>
      <c r="B892" s="673">
        <f>Sheet1!F870</f>
        <v>39.090000000000003</v>
      </c>
      <c r="C892" s="3257">
        <f t="shared" si="145"/>
        <v>0.99</v>
      </c>
      <c r="D892" s="675"/>
      <c r="E892" s="3257">
        <f t="shared" si="146"/>
        <v>1</v>
      </c>
      <c r="F892" s="675"/>
      <c r="G892" s="3257">
        <f t="shared" si="147"/>
        <v>1</v>
      </c>
      <c r="H892" s="675"/>
      <c r="I892" s="3257">
        <f t="shared" si="148"/>
        <v>1</v>
      </c>
      <c r="J892" s="675"/>
      <c r="K892" s="3257">
        <f t="shared" si="149"/>
        <v>1</v>
      </c>
      <c r="L892" s="675"/>
      <c r="M892" s="3257">
        <f t="shared" si="150"/>
        <v>1</v>
      </c>
      <c r="N892" s="675"/>
      <c r="O892" s="3257">
        <f t="shared" si="151"/>
        <v>1</v>
      </c>
      <c r="P892" s="675"/>
      <c r="Q892" s="3257">
        <f t="shared" si="152"/>
        <v>1</v>
      </c>
      <c r="R892" s="3258">
        <f t="shared" ca="1" si="153"/>
        <v>5702</v>
      </c>
      <c r="S892" s="1070">
        <f t="shared" ca="1" si="154"/>
        <v>22</v>
      </c>
    </row>
    <row r="893" spans="1:19">
      <c r="A893" s="673" t="str">
        <f>Sheet1!E871</f>
        <v>M1-033</v>
      </c>
      <c r="B893" s="673">
        <f>Sheet1!F871</f>
        <v>39.090000000000003</v>
      </c>
      <c r="C893" s="3257">
        <f t="shared" si="145"/>
        <v>0.99</v>
      </c>
      <c r="D893" s="675"/>
      <c r="E893" s="3257">
        <f t="shared" si="146"/>
        <v>1</v>
      </c>
      <c r="F893" s="675"/>
      <c r="G893" s="3257">
        <f t="shared" si="147"/>
        <v>1</v>
      </c>
      <c r="H893" s="675"/>
      <c r="I893" s="3257">
        <f t="shared" si="148"/>
        <v>1</v>
      </c>
      <c r="J893" s="675"/>
      <c r="K893" s="3257">
        <f t="shared" si="149"/>
        <v>1</v>
      </c>
      <c r="L893" s="675"/>
      <c r="M893" s="3257">
        <f t="shared" si="150"/>
        <v>1</v>
      </c>
      <c r="N893" s="675"/>
      <c r="O893" s="3257">
        <f t="shared" si="151"/>
        <v>1</v>
      </c>
      <c r="P893" s="675"/>
      <c r="Q893" s="3257">
        <f t="shared" si="152"/>
        <v>1</v>
      </c>
      <c r="R893" s="3258">
        <f t="shared" ca="1" si="153"/>
        <v>5702</v>
      </c>
      <c r="S893" s="1070">
        <f t="shared" ca="1" si="154"/>
        <v>22</v>
      </c>
    </row>
    <row r="894" spans="1:19">
      <c r="A894" s="673" t="str">
        <f>Sheet1!E872</f>
        <v>M1-034</v>
      </c>
      <c r="B894" s="673">
        <f>Sheet1!F872</f>
        <v>36.74</v>
      </c>
      <c r="C894" s="3257">
        <f t="shared" si="145"/>
        <v>0.99</v>
      </c>
      <c r="D894" s="675"/>
      <c r="E894" s="3257">
        <f t="shared" si="146"/>
        <v>1</v>
      </c>
      <c r="F894" s="675"/>
      <c r="G894" s="3257">
        <f t="shared" si="147"/>
        <v>1</v>
      </c>
      <c r="H894" s="675"/>
      <c r="I894" s="3257">
        <f t="shared" si="148"/>
        <v>1</v>
      </c>
      <c r="J894" s="675"/>
      <c r="K894" s="3257">
        <f t="shared" si="149"/>
        <v>1</v>
      </c>
      <c r="L894" s="675"/>
      <c r="M894" s="3257">
        <f t="shared" si="150"/>
        <v>1</v>
      </c>
      <c r="N894" s="675"/>
      <c r="O894" s="3257">
        <f t="shared" si="151"/>
        <v>1</v>
      </c>
      <c r="P894" s="675"/>
      <c r="Q894" s="3257">
        <f t="shared" si="152"/>
        <v>1</v>
      </c>
      <c r="R894" s="3258">
        <f t="shared" ca="1" si="153"/>
        <v>5702</v>
      </c>
      <c r="S894" s="1070">
        <f t="shared" ca="1" si="154"/>
        <v>21</v>
      </c>
    </row>
    <row r="895" spans="1:19">
      <c r="A895" s="673" t="str">
        <f>Sheet1!E873</f>
        <v>M1-035</v>
      </c>
      <c r="B895" s="673">
        <f>Sheet1!F873</f>
        <v>36.74</v>
      </c>
      <c r="C895" s="3257">
        <f t="shared" si="145"/>
        <v>0.99</v>
      </c>
      <c r="D895" s="675"/>
      <c r="E895" s="3257">
        <f t="shared" si="146"/>
        <v>1</v>
      </c>
      <c r="F895" s="675"/>
      <c r="G895" s="3257">
        <f t="shared" si="147"/>
        <v>1</v>
      </c>
      <c r="H895" s="675"/>
      <c r="I895" s="3257">
        <f t="shared" si="148"/>
        <v>1</v>
      </c>
      <c r="J895" s="675"/>
      <c r="K895" s="3257">
        <f t="shared" si="149"/>
        <v>1</v>
      </c>
      <c r="L895" s="675"/>
      <c r="M895" s="3257">
        <f t="shared" si="150"/>
        <v>1</v>
      </c>
      <c r="N895" s="675"/>
      <c r="O895" s="3257">
        <f t="shared" si="151"/>
        <v>1</v>
      </c>
      <c r="P895" s="675"/>
      <c r="Q895" s="3257">
        <f t="shared" si="152"/>
        <v>1</v>
      </c>
      <c r="R895" s="3258">
        <f t="shared" ca="1" si="153"/>
        <v>5702</v>
      </c>
      <c r="S895" s="1070">
        <f t="shared" ca="1" si="154"/>
        <v>21</v>
      </c>
    </row>
    <row r="896" spans="1:19">
      <c r="A896" s="673" t="str">
        <f>Sheet1!E874</f>
        <v>M1-037</v>
      </c>
      <c r="B896" s="673">
        <f>Sheet1!F874</f>
        <v>36.74</v>
      </c>
      <c r="C896" s="3257">
        <f t="shared" si="145"/>
        <v>0.99</v>
      </c>
      <c r="D896" s="675"/>
      <c r="E896" s="3257">
        <f t="shared" si="146"/>
        <v>1</v>
      </c>
      <c r="F896" s="675"/>
      <c r="G896" s="3257">
        <f t="shared" si="147"/>
        <v>1</v>
      </c>
      <c r="H896" s="675"/>
      <c r="I896" s="3257">
        <f t="shared" si="148"/>
        <v>1</v>
      </c>
      <c r="J896" s="675"/>
      <c r="K896" s="3257">
        <f t="shared" si="149"/>
        <v>1</v>
      </c>
      <c r="L896" s="675"/>
      <c r="M896" s="3257">
        <f t="shared" si="150"/>
        <v>1</v>
      </c>
      <c r="N896" s="675"/>
      <c r="O896" s="3257">
        <f t="shared" si="151"/>
        <v>1</v>
      </c>
      <c r="P896" s="675"/>
      <c r="Q896" s="3257">
        <f t="shared" si="152"/>
        <v>1</v>
      </c>
      <c r="R896" s="3258">
        <f t="shared" ca="1" si="153"/>
        <v>5702</v>
      </c>
      <c r="S896" s="1070">
        <f t="shared" ca="1" si="154"/>
        <v>21</v>
      </c>
    </row>
    <row r="897" spans="1:19">
      <c r="A897" s="673" t="str">
        <f>Sheet1!E875</f>
        <v>M1-038</v>
      </c>
      <c r="B897" s="673">
        <f>Sheet1!F875</f>
        <v>36.74</v>
      </c>
      <c r="C897" s="3257">
        <f t="shared" si="145"/>
        <v>0.99</v>
      </c>
      <c r="D897" s="675"/>
      <c r="E897" s="3257">
        <f t="shared" si="146"/>
        <v>1</v>
      </c>
      <c r="F897" s="675"/>
      <c r="G897" s="3257">
        <f t="shared" si="147"/>
        <v>1</v>
      </c>
      <c r="H897" s="675"/>
      <c r="I897" s="3257">
        <f t="shared" si="148"/>
        <v>1</v>
      </c>
      <c r="J897" s="675"/>
      <c r="K897" s="3257">
        <f t="shared" si="149"/>
        <v>1</v>
      </c>
      <c r="L897" s="675"/>
      <c r="M897" s="3257">
        <f t="shared" si="150"/>
        <v>1</v>
      </c>
      <c r="N897" s="675"/>
      <c r="O897" s="3257">
        <f t="shared" si="151"/>
        <v>1</v>
      </c>
      <c r="P897" s="675"/>
      <c r="Q897" s="3257">
        <f t="shared" si="152"/>
        <v>1</v>
      </c>
      <c r="R897" s="3258">
        <f t="shared" ca="1" si="153"/>
        <v>5702</v>
      </c>
      <c r="S897" s="1070">
        <f t="shared" ca="1" si="154"/>
        <v>21</v>
      </c>
    </row>
    <row r="898" spans="1:19">
      <c r="A898" s="673" t="str">
        <f>Sheet1!E876</f>
        <v>M1-040</v>
      </c>
      <c r="B898" s="673">
        <f>Sheet1!F876</f>
        <v>39.090000000000003</v>
      </c>
      <c r="C898" s="3257">
        <f t="shared" si="145"/>
        <v>0.99</v>
      </c>
      <c r="D898" s="675"/>
      <c r="E898" s="3257">
        <f t="shared" si="146"/>
        <v>1</v>
      </c>
      <c r="F898" s="675"/>
      <c r="G898" s="3257">
        <f t="shared" si="147"/>
        <v>1</v>
      </c>
      <c r="H898" s="675"/>
      <c r="I898" s="3257">
        <f t="shared" si="148"/>
        <v>1</v>
      </c>
      <c r="J898" s="675"/>
      <c r="K898" s="3257">
        <f t="shared" si="149"/>
        <v>1</v>
      </c>
      <c r="L898" s="675"/>
      <c r="M898" s="3257">
        <f t="shared" si="150"/>
        <v>1</v>
      </c>
      <c r="N898" s="675"/>
      <c r="O898" s="3257">
        <f t="shared" si="151"/>
        <v>1</v>
      </c>
      <c r="P898" s="675"/>
      <c r="Q898" s="3257">
        <f t="shared" si="152"/>
        <v>1</v>
      </c>
      <c r="R898" s="3258">
        <f t="shared" ca="1" si="153"/>
        <v>5702</v>
      </c>
      <c r="S898" s="1070">
        <f t="shared" ca="1" si="154"/>
        <v>22</v>
      </c>
    </row>
    <row r="899" spans="1:19">
      <c r="A899" s="673" t="str">
        <f>Sheet1!E877</f>
        <v>M1-041</v>
      </c>
      <c r="B899" s="673">
        <f>Sheet1!F877</f>
        <v>39.090000000000003</v>
      </c>
      <c r="C899" s="3257">
        <f t="shared" si="145"/>
        <v>0.99</v>
      </c>
      <c r="D899" s="675"/>
      <c r="E899" s="3257">
        <f t="shared" si="146"/>
        <v>1</v>
      </c>
      <c r="F899" s="675"/>
      <c r="G899" s="3257">
        <f t="shared" si="147"/>
        <v>1</v>
      </c>
      <c r="H899" s="675"/>
      <c r="I899" s="3257">
        <f t="shared" si="148"/>
        <v>1</v>
      </c>
      <c r="J899" s="675"/>
      <c r="K899" s="3257">
        <f t="shared" si="149"/>
        <v>1</v>
      </c>
      <c r="L899" s="675"/>
      <c r="M899" s="3257">
        <f t="shared" si="150"/>
        <v>1</v>
      </c>
      <c r="N899" s="675"/>
      <c r="O899" s="3257">
        <f t="shared" si="151"/>
        <v>1</v>
      </c>
      <c r="P899" s="675"/>
      <c r="Q899" s="3257">
        <f t="shared" si="152"/>
        <v>1</v>
      </c>
      <c r="R899" s="3258">
        <f t="shared" ca="1" si="153"/>
        <v>5702</v>
      </c>
      <c r="S899" s="1070">
        <f t="shared" ca="1" si="154"/>
        <v>22</v>
      </c>
    </row>
    <row r="900" spans="1:19">
      <c r="A900" s="673" t="str">
        <f>Sheet1!E878</f>
        <v>M1-042</v>
      </c>
      <c r="B900" s="673">
        <f>Sheet1!F878</f>
        <v>39.090000000000003</v>
      </c>
      <c r="C900" s="3257">
        <f t="shared" si="145"/>
        <v>0.99</v>
      </c>
      <c r="D900" s="675"/>
      <c r="E900" s="3257">
        <f t="shared" si="146"/>
        <v>1</v>
      </c>
      <c r="F900" s="675"/>
      <c r="G900" s="3257">
        <f t="shared" si="147"/>
        <v>1</v>
      </c>
      <c r="H900" s="675"/>
      <c r="I900" s="3257">
        <f t="shared" si="148"/>
        <v>1</v>
      </c>
      <c r="J900" s="675"/>
      <c r="K900" s="3257">
        <f t="shared" si="149"/>
        <v>1</v>
      </c>
      <c r="L900" s="675"/>
      <c r="M900" s="3257">
        <f t="shared" si="150"/>
        <v>1</v>
      </c>
      <c r="N900" s="675"/>
      <c r="O900" s="3257">
        <f t="shared" si="151"/>
        <v>1</v>
      </c>
      <c r="P900" s="675"/>
      <c r="Q900" s="3257">
        <f t="shared" si="152"/>
        <v>1</v>
      </c>
      <c r="R900" s="3258">
        <f t="shared" ca="1" si="153"/>
        <v>5702</v>
      </c>
      <c r="S900" s="1070">
        <f t="shared" ca="1" si="154"/>
        <v>22</v>
      </c>
    </row>
    <row r="901" spans="1:19">
      <c r="A901" s="673" t="str">
        <f>Sheet1!E879</f>
        <v>M1-043</v>
      </c>
      <c r="B901" s="673">
        <f>Sheet1!F879</f>
        <v>39.090000000000003</v>
      </c>
      <c r="C901" s="3257">
        <f t="shared" si="145"/>
        <v>0.99</v>
      </c>
      <c r="D901" s="675"/>
      <c r="E901" s="3257">
        <f t="shared" si="146"/>
        <v>1</v>
      </c>
      <c r="F901" s="675"/>
      <c r="G901" s="3257">
        <f t="shared" si="147"/>
        <v>1</v>
      </c>
      <c r="H901" s="675"/>
      <c r="I901" s="3257">
        <f t="shared" si="148"/>
        <v>1</v>
      </c>
      <c r="J901" s="675"/>
      <c r="K901" s="3257">
        <f t="shared" si="149"/>
        <v>1</v>
      </c>
      <c r="L901" s="675"/>
      <c r="M901" s="3257">
        <f t="shared" si="150"/>
        <v>1</v>
      </c>
      <c r="N901" s="675"/>
      <c r="O901" s="3257">
        <f t="shared" si="151"/>
        <v>1</v>
      </c>
      <c r="P901" s="675"/>
      <c r="Q901" s="3257">
        <f t="shared" si="152"/>
        <v>1</v>
      </c>
      <c r="R901" s="3258">
        <f t="shared" ca="1" si="153"/>
        <v>5702</v>
      </c>
      <c r="S901" s="1070">
        <f t="shared" ca="1" si="154"/>
        <v>22</v>
      </c>
    </row>
    <row r="902" spans="1:19">
      <c r="A902" s="673" t="str">
        <f>Sheet1!E880</f>
        <v>M1-044</v>
      </c>
      <c r="B902" s="673">
        <f>Sheet1!F880</f>
        <v>39.090000000000003</v>
      </c>
      <c r="C902" s="3257">
        <f t="shared" si="145"/>
        <v>0.99</v>
      </c>
      <c r="D902" s="675"/>
      <c r="E902" s="3257">
        <f t="shared" si="146"/>
        <v>1</v>
      </c>
      <c r="F902" s="675"/>
      <c r="G902" s="3257">
        <f t="shared" si="147"/>
        <v>1</v>
      </c>
      <c r="H902" s="675"/>
      <c r="I902" s="3257">
        <f t="shared" si="148"/>
        <v>1</v>
      </c>
      <c r="J902" s="675"/>
      <c r="K902" s="3257">
        <f t="shared" si="149"/>
        <v>1</v>
      </c>
      <c r="L902" s="675"/>
      <c r="M902" s="3257">
        <f t="shared" si="150"/>
        <v>1</v>
      </c>
      <c r="N902" s="675"/>
      <c r="O902" s="3257">
        <f t="shared" si="151"/>
        <v>1</v>
      </c>
      <c r="P902" s="675"/>
      <c r="Q902" s="3257">
        <f t="shared" si="152"/>
        <v>1</v>
      </c>
      <c r="R902" s="3258">
        <f t="shared" ca="1" si="153"/>
        <v>5702</v>
      </c>
      <c r="S902" s="1070">
        <f t="shared" ca="1" si="154"/>
        <v>22</v>
      </c>
    </row>
    <row r="903" spans="1:19">
      <c r="A903" s="673" t="str">
        <f>Sheet1!E881</f>
        <v>M1-045</v>
      </c>
      <c r="B903" s="673">
        <f>Sheet1!F881</f>
        <v>39.090000000000003</v>
      </c>
      <c r="C903" s="3257">
        <f t="shared" si="145"/>
        <v>0.99</v>
      </c>
      <c r="D903" s="675"/>
      <c r="E903" s="3257">
        <f t="shared" si="146"/>
        <v>1</v>
      </c>
      <c r="F903" s="675"/>
      <c r="G903" s="3257">
        <f t="shared" si="147"/>
        <v>1</v>
      </c>
      <c r="H903" s="675"/>
      <c r="I903" s="3257">
        <f t="shared" si="148"/>
        <v>1</v>
      </c>
      <c r="J903" s="675"/>
      <c r="K903" s="3257">
        <f t="shared" si="149"/>
        <v>1</v>
      </c>
      <c r="L903" s="675"/>
      <c r="M903" s="3257">
        <f t="shared" si="150"/>
        <v>1</v>
      </c>
      <c r="N903" s="675"/>
      <c r="O903" s="3257">
        <f t="shared" si="151"/>
        <v>1</v>
      </c>
      <c r="P903" s="675"/>
      <c r="Q903" s="3257">
        <f t="shared" si="152"/>
        <v>1</v>
      </c>
      <c r="R903" s="3258">
        <f t="shared" ca="1" si="153"/>
        <v>5702</v>
      </c>
      <c r="S903" s="1070">
        <f t="shared" ca="1" si="154"/>
        <v>22</v>
      </c>
    </row>
    <row r="904" spans="1:19">
      <c r="A904" s="673" t="str">
        <f>Sheet1!E882</f>
        <v>M1-046</v>
      </c>
      <c r="B904" s="673">
        <f>Sheet1!F882</f>
        <v>36.74</v>
      </c>
      <c r="C904" s="3257">
        <f t="shared" si="145"/>
        <v>0.99</v>
      </c>
      <c r="D904" s="675"/>
      <c r="E904" s="3257">
        <f t="shared" si="146"/>
        <v>1</v>
      </c>
      <c r="F904" s="675"/>
      <c r="G904" s="3257">
        <f t="shared" si="147"/>
        <v>1</v>
      </c>
      <c r="H904" s="675"/>
      <c r="I904" s="3257">
        <f t="shared" si="148"/>
        <v>1</v>
      </c>
      <c r="J904" s="675"/>
      <c r="K904" s="3257">
        <f t="shared" si="149"/>
        <v>1</v>
      </c>
      <c r="L904" s="675"/>
      <c r="M904" s="3257">
        <f t="shared" si="150"/>
        <v>1</v>
      </c>
      <c r="N904" s="675"/>
      <c r="O904" s="3257">
        <f t="shared" si="151"/>
        <v>1</v>
      </c>
      <c r="P904" s="675"/>
      <c r="Q904" s="3257">
        <f t="shared" si="152"/>
        <v>1</v>
      </c>
      <c r="R904" s="3258">
        <f t="shared" ca="1" si="153"/>
        <v>5702</v>
      </c>
      <c r="S904" s="1070">
        <f t="shared" ca="1" si="154"/>
        <v>21</v>
      </c>
    </row>
    <row r="905" spans="1:19">
      <c r="A905" s="673" t="str">
        <f>Sheet1!E883</f>
        <v>M1-047</v>
      </c>
      <c r="B905" s="673">
        <f>Sheet1!F883</f>
        <v>36.74</v>
      </c>
      <c r="C905" s="3257">
        <f t="shared" si="145"/>
        <v>0.99</v>
      </c>
      <c r="D905" s="675"/>
      <c r="E905" s="3257">
        <f t="shared" si="146"/>
        <v>1</v>
      </c>
      <c r="F905" s="675"/>
      <c r="G905" s="3257">
        <f t="shared" si="147"/>
        <v>1</v>
      </c>
      <c r="H905" s="675"/>
      <c r="I905" s="3257">
        <f t="shared" si="148"/>
        <v>1</v>
      </c>
      <c r="J905" s="675"/>
      <c r="K905" s="3257">
        <f t="shared" si="149"/>
        <v>1</v>
      </c>
      <c r="L905" s="675"/>
      <c r="M905" s="3257">
        <f t="shared" si="150"/>
        <v>1</v>
      </c>
      <c r="N905" s="675"/>
      <c r="O905" s="3257">
        <f t="shared" si="151"/>
        <v>1</v>
      </c>
      <c r="P905" s="675"/>
      <c r="Q905" s="3257">
        <f t="shared" si="152"/>
        <v>1</v>
      </c>
      <c r="R905" s="3258">
        <f t="shared" ca="1" si="153"/>
        <v>5702</v>
      </c>
      <c r="S905" s="1070">
        <f t="shared" ca="1" si="154"/>
        <v>21</v>
      </c>
    </row>
    <row r="906" spans="1:19">
      <c r="A906" s="673" t="str">
        <f>Sheet1!E884</f>
        <v>M1-048</v>
      </c>
      <c r="B906" s="673">
        <f>Sheet1!F884</f>
        <v>36.74</v>
      </c>
      <c r="C906" s="3257">
        <f t="shared" si="145"/>
        <v>0.99</v>
      </c>
      <c r="D906" s="675"/>
      <c r="E906" s="3257">
        <f t="shared" si="146"/>
        <v>1</v>
      </c>
      <c r="F906" s="675"/>
      <c r="G906" s="3257">
        <f t="shared" si="147"/>
        <v>1</v>
      </c>
      <c r="H906" s="675"/>
      <c r="I906" s="3257">
        <f t="shared" si="148"/>
        <v>1</v>
      </c>
      <c r="J906" s="675"/>
      <c r="K906" s="3257">
        <f t="shared" si="149"/>
        <v>1</v>
      </c>
      <c r="L906" s="675"/>
      <c r="M906" s="3257">
        <f t="shared" si="150"/>
        <v>1</v>
      </c>
      <c r="N906" s="675"/>
      <c r="O906" s="3257">
        <f t="shared" si="151"/>
        <v>1</v>
      </c>
      <c r="P906" s="675"/>
      <c r="Q906" s="3257">
        <f t="shared" si="152"/>
        <v>1</v>
      </c>
      <c r="R906" s="3258">
        <f t="shared" ca="1" si="153"/>
        <v>5702</v>
      </c>
      <c r="S906" s="1070">
        <f t="shared" ca="1" si="154"/>
        <v>21</v>
      </c>
    </row>
    <row r="907" spans="1:19">
      <c r="A907" s="673" t="str">
        <f>Sheet1!E885</f>
        <v>M1-049</v>
      </c>
      <c r="B907" s="673">
        <f>Sheet1!F885</f>
        <v>36.74</v>
      </c>
      <c r="C907" s="3257">
        <f t="shared" si="145"/>
        <v>0.99</v>
      </c>
      <c r="D907" s="675"/>
      <c r="E907" s="3257">
        <f t="shared" si="146"/>
        <v>1</v>
      </c>
      <c r="F907" s="675"/>
      <c r="G907" s="3257">
        <f t="shared" si="147"/>
        <v>1</v>
      </c>
      <c r="H907" s="675"/>
      <c r="I907" s="3257">
        <f t="shared" si="148"/>
        <v>1</v>
      </c>
      <c r="J907" s="675"/>
      <c r="K907" s="3257">
        <f t="shared" si="149"/>
        <v>1</v>
      </c>
      <c r="L907" s="675"/>
      <c r="M907" s="3257">
        <f t="shared" si="150"/>
        <v>1</v>
      </c>
      <c r="N907" s="675"/>
      <c r="O907" s="3257">
        <f t="shared" si="151"/>
        <v>1</v>
      </c>
      <c r="P907" s="675"/>
      <c r="Q907" s="3257">
        <f t="shared" si="152"/>
        <v>1</v>
      </c>
      <c r="R907" s="3258">
        <f t="shared" ca="1" si="153"/>
        <v>5702</v>
      </c>
      <c r="S907" s="1070">
        <f t="shared" ca="1" si="154"/>
        <v>21</v>
      </c>
    </row>
    <row r="908" spans="1:19">
      <c r="A908" s="673" t="str">
        <f>Sheet1!E886</f>
        <v>M1-050</v>
      </c>
      <c r="B908" s="673">
        <f>Sheet1!F886</f>
        <v>36.74</v>
      </c>
      <c r="C908" s="3257">
        <f t="shared" si="145"/>
        <v>0.99</v>
      </c>
      <c r="D908" s="675"/>
      <c r="E908" s="3257">
        <f t="shared" si="146"/>
        <v>1</v>
      </c>
      <c r="F908" s="675"/>
      <c r="G908" s="3257">
        <f t="shared" si="147"/>
        <v>1</v>
      </c>
      <c r="H908" s="675"/>
      <c r="I908" s="3257">
        <f t="shared" si="148"/>
        <v>1</v>
      </c>
      <c r="J908" s="675"/>
      <c r="K908" s="3257">
        <f t="shared" si="149"/>
        <v>1</v>
      </c>
      <c r="L908" s="675"/>
      <c r="M908" s="3257">
        <f t="shared" si="150"/>
        <v>1</v>
      </c>
      <c r="N908" s="675"/>
      <c r="O908" s="3257">
        <f t="shared" si="151"/>
        <v>1</v>
      </c>
      <c r="P908" s="675"/>
      <c r="Q908" s="3257">
        <f t="shared" si="152"/>
        <v>1</v>
      </c>
      <c r="R908" s="3258">
        <f t="shared" ca="1" si="153"/>
        <v>5702</v>
      </c>
      <c r="S908" s="1070">
        <f t="shared" ca="1" si="154"/>
        <v>21</v>
      </c>
    </row>
    <row r="909" spans="1:19">
      <c r="A909" s="673" t="str">
        <f>Sheet1!E887</f>
        <v>M1-051</v>
      </c>
      <c r="B909" s="673">
        <f>Sheet1!F887</f>
        <v>36.74</v>
      </c>
      <c r="C909" s="3257">
        <f t="shared" ref="C909:C951" si="155">IF(B909="",1,(LOOKUP(B909,$3:$3,$4:$4)-LOOKUP($B$24,$3:$3,$4:$4)+100)/100)</f>
        <v>0.99</v>
      </c>
      <c r="D909" s="675"/>
      <c r="E909" s="3257">
        <f t="shared" ref="E909:E951" si="156">(SUMIF($5:$5,D909,$6:$6)-SUMIF($5:$5,$D$24,$6:$6)+100)/100</f>
        <v>1</v>
      </c>
      <c r="F909" s="675"/>
      <c r="G909" s="3257">
        <f t="shared" ref="G909:G951" si="157">(SUMIF($7:$7,F909,$8:$8)-SUMIF($7:$7,$F$24,$8:$8)+100)/100</f>
        <v>1</v>
      </c>
      <c r="H909" s="675"/>
      <c r="I909" s="3257">
        <f t="shared" ref="I909:I951" si="158">(SUMIF($9:$9,H909,$10:$10)-SUMIF($9:$9,$H$24,$10:$10)+100)/100</f>
        <v>1</v>
      </c>
      <c r="J909" s="675"/>
      <c r="K909" s="3257">
        <f t="shared" ref="K909:K951" si="159">(SUMIF($11:$11,J909,$12:$12)-SUMIF($11:$11,$J$24,$12:$12)+100)/100</f>
        <v>1</v>
      </c>
      <c r="L909" s="675"/>
      <c r="M909" s="3257">
        <f t="shared" ref="M909:M951" si="160">(SUMIF($13:$13,L909,$14:$14)-SUMIF($13:$13,$L$24,$14:$14)+100)/100</f>
        <v>1</v>
      </c>
      <c r="N909" s="675"/>
      <c r="O909" s="3257">
        <f t="shared" ref="O909:O951" si="161">(SUMIF($15:$15,N909,$16:$16)-SUMIF($15:$15,$N$24,$16:$16)+100)/100</f>
        <v>1</v>
      </c>
      <c r="P909" s="675"/>
      <c r="Q909" s="3257">
        <f t="shared" ref="Q909:Q951" si="162">(SUMIF($17:$17,P909,$18:$18)-SUMIF($17:$17,$P$24,$18:$18)+100)/100</f>
        <v>1</v>
      </c>
      <c r="R909" s="3258">
        <f t="shared" ref="R909:R951" ca="1" si="163">IF(B909="",0,ROUND($R$24*C909*E909*G909*I909*K909*M909*O909*Q909,0))</f>
        <v>5702</v>
      </c>
      <c r="S909" s="1070">
        <f t="shared" ref="S909:S951" ca="1" si="164">ROUND(R909*B909/10000,0)</f>
        <v>21</v>
      </c>
    </row>
    <row r="910" spans="1:19">
      <c r="A910" s="673" t="str">
        <f>Sheet1!E888</f>
        <v>M1-052</v>
      </c>
      <c r="B910" s="673">
        <f>Sheet1!F888</f>
        <v>39.090000000000003</v>
      </c>
      <c r="C910" s="3257">
        <f t="shared" si="155"/>
        <v>0.99</v>
      </c>
      <c r="D910" s="675"/>
      <c r="E910" s="3257">
        <f t="shared" si="156"/>
        <v>1</v>
      </c>
      <c r="F910" s="675"/>
      <c r="G910" s="3257">
        <f t="shared" si="157"/>
        <v>1</v>
      </c>
      <c r="H910" s="675"/>
      <c r="I910" s="3257">
        <f t="shared" si="158"/>
        <v>1</v>
      </c>
      <c r="J910" s="675"/>
      <c r="K910" s="3257">
        <f t="shared" si="159"/>
        <v>1</v>
      </c>
      <c r="L910" s="675"/>
      <c r="M910" s="3257">
        <f t="shared" si="160"/>
        <v>1</v>
      </c>
      <c r="N910" s="675"/>
      <c r="O910" s="3257">
        <f t="shared" si="161"/>
        <v>1</v>
      </c>
      <c r="P910" s="675"/>
      <c r="Q910" s="3257">
        <f t="shared" si="162"/>
        <v>1</v>
      </c>
      <c r="R910" s="3258">
        <f t="shared" ca="1" si="163"/>
        <v>5702</v>
      </c>
      <c r="S910" s="1070">
        <f t="shared" ca="1" si="164"/>
        <v>22</v>
      </c>
    </row>
    <row r="911" spans="1:19">
      <c r="A911" s="673" t="str">
        <f>Sheet1!E889</f>
        <v>M1-053</v>
      </c>
      <c r="B911" s="673">
        <f>Sheet1!F889</f>
        <v>39.090000000000003</v>
      </c>
      <c r="C911" s="3257">
        <f t="shared" si="155"/>
        <v>0.99</v>
      </c>
      <c r="D911" s="675"/>
      <c r="E911" s="3257">
        <f t="shared" si="156"/>
        <v>1</v>
      </c>
      <c r="F911" s="675"/>
      <c r="G911" s="3257">
        <f t="shared" si="157"/>
        <v>1</v>
      </c>
      <c r="H911" s="675"/>
      <c r="I911" s="3257">
        <f t="shared" si="158"/>
        <v>1</v>
      </c>
      <c r="J911" s="675"/>
      <c r="K911" s="3257">
        <f t="shared" si="159"/>
        <v>1</v>
      </c>
      <c r="L911" s="675"/>
      <c r="M911" s="3257">
        <f t="shared" si="160"/>
        <v>1</v>
      </c>
      <c r="N911" s="675"/>
      <c r="O911" s="3257">
        <f t="shared" si="161"/>
        <v>1</v>
      </c>
      <c r="P911" s="675"/>
      <c r="Q911" s="3257">
        <f t="shared" si="162"/>
        <v>1</v>
      </c>
      <c r="R911" s="3258">
        <f t="shared" ca="1" si="163"/>
        <v>5702</v>
      </c>
      <c r="S911" s="1070">
        <f t="shared" ca="1" si="164"/>
        <v>22</v>
      </c>
    </row>
    <row r="912" spans="1:19">
      <c r="A912" s="673" t="str">
        <f>Sheet1!E890</f>
        <v>M1-054</v>
      </c>
      <c r="B912" s="673">
        <f>Sheet1!F890</f>
        <v>39.090000000000003</v>
      </c>
      <c r="C912" s="3257">
        <f t="shared" si="155"/>
        <v>0.99</v>
      </c>
      <c r="D912" s="675"/>
      <c r="E912" s="3257">
        <f t="shared" si="156"/>
        <v>1</v>
      </c>
      <c r="F912" s="675"/>
      <c r="G912" s="3257">
        <f t="shared" si="157"/>
        <v>1</v>
      </c>
      <c r="H912" s="675"/>
      <c r="I912" s="3257">
        <f t="shared" si="158"/>
        <v>1</v>
      </c>
      <c r="J912" s="675"/>
      <c r="K912" s="3257">
        <f t="shared" si="159"/>
        <v>1</v>
      </c>
      <c r="L912" s="675"/>
      <c r="M912" s="3257">
        <f t="shared" si="160"/>
        <v>1</v>
      </c>
      <c r="N912" s="675"/>
      <c r="O912" s="3257">
        <f t="shared" si="161"/>
        <v>1</v>
      </c>
      <c r="P912" s="675"/>
      <c r="Q912" s="3257">
        <f t="shared" si="162"/>
        <v>1</v>
      </c>
      <c r="R912" s="3258">
        <f t="shared" ca="1" si="163"/>
        <v>5702</v>
      </c>
      <c r="S912" s="1070">
        <f t="shared" ca="1" si="164"/>
        <v>22</v>
      </c>
    </row>
    <row r="913" spans="1:19">
      <c r="A913" s="673" t="str">
        <f>Sheet1!E891</f>
        <v>M1-055</v>
      </c>
      <c r="B913" s="673">
        <f>Sheet1!F891</f>
        <v>39.090000000000003</v>
      </c>
      <c r="C913" s="3257">
        <f t="shared" si="155"/>
        <v>0.99</v>
      </c>
      <c r="D913" s="675"/>
      <c r="E913" s="3257">
        <f t="shared" si="156"/>
        <v>1</v>
      </c>
      <c r="F913" s="675"/>
      <c r="G913" s="3257">
        <f t="shared" si="157"/>
        <v>1</v>
      </c>
      <c r="H913" s="675"/>
      <c r="I913" s="3257">
        <f t="shared" si="158"/>
        <v>1</v>
      </c>
      <c r="J913" s="675"/>
      <c r="K913" s="3257">
        <f t="shared" si="159"/>
        <v>1</v>
      </c>
      <c r="L913" s="675"/>
      <c r="M913" s="3257">
        <f t="shared" si="160"/>
        <v>1</v>
      </c>
      <c r="N913" s="675"/>
      <c r="O913" s="3257">
        <f t="shared" si="161"/>
        <v>1</v>
      </c>
      <c r="P913" s="675"/>
      <c r="Q913" s="3257">
        <f t="shared" si="162"/>
        <v>1</v>
      </c>
      <c r="R913" s="3258">
        <f t="shared" ca="1" si="163"/>
        <v>5702</v>
      </c>
      <c r="S913" s="1070">
        <f t="shared" ca="1" si="164"/>
        <v>22</v>
      </c>
    </row>
    <row r="914" spans="1:19">
      <c r="A914" s="673" t="str">
        <f>Sheet1!E892</f>
        <v>M1-056</v>
      </c>
      <c r="B914" s="673">
        <f>Sheet1!F892</f>
        <v>39.090000000000003</v>
      </c>
      <c r="C914" s="3257">
        <f t="shared" si="155"/>
        <v>0.99</v>
      </c>
      <c r="D914" s="675"/>
      <c r="E914" s="3257">
        <f t="shared" si="156"/>
        <v>1</v>
      </c>
      <c r="F914" s="675"/>
      <c r="G914" s="3257">
        <f t="shared" si="157"/>
        <v>1</v>
      </c>
      <c r="H914" s="675"/>
      <c r="I914" s="3257">
        <f t="shared" si="158"/>
        <v>1</v>
      </c>
      <c r="J914" s="675"/>
      <c r="K914" s="3257">
        <f t="shared" si="159"/>
        <v>1</v>
      </c>
      <c r="L914" s="675"/>
      <c r="M914" s="3257">
        <f t="shared" si="160"/>
        <v>1</v>
      </c>
      <c r="N914" s="675"/>
      <c r="O914" s="3257">
        <f t="shared" si="161"/>
        <v>1</v>
      </c>
      <c r="P914" s="675"/>
      <c r="Q914" s="3257">
        <f t="shared" si="162"/>
        <v>1</v>
      </c>
      <c r="R914" s="3258">
        <f t="shared" ca="1" si="163"/>
        <v>5702</v>
      </c>
      <c r="S914" s="1070">
        <f t="shared" ca="1" si="164"/>
        <v>22</v>
      </c>
    </row>
    <row r="915" spans="1:19">
      <c r="A915" s="673" t="str">
        <f>Sheet1!E893</f>
        <v>M1-057</v>
      </c>
      <c r="B915" s="673">
        <f>Sheet1!F893</f>
        <v>39.090000000000003</v>
      </c>
      <c r="C915" s="3257">
        <f t="shared" si="155"/>
        <v>0.99</v>
      </c>
      <c r="D915" s="675"/>
      <c r="E915" s="3257">
        <f t="shared" si="156"/>
        <v>1</v>
      </c>
      <c r="F915" s="675"/>
      <c r="G915" s="3257">
        <f t="shared" si="157"/>
        <v>1</v>
      </c>
      <c r="H915" s="675"/>
      <c r="I915" s="3257">
        <f t="shared" si="158"/>
        <v>1</v>
      </c>
      <c r="J915" s="675"/>
      <c r="K915" s="3257">
        <f t="shared" si="159"/>
        <v>1</v>
      </c>
      <c r="L915" s="675"/>
      <c r="M915" s="3257">
        <f t="shared" si="160"/>
        <v>1</v>
      </c>
      <c r="N915" s="675"/>
      <c r="O915" s="3257">
        <f t="shared" si="161"/>
        <v>1</v>
      </c>
      <c r="P915" s="675"/>
      <c r="Q915" s="3257">
        <f t="shared" si="162"/>
        <v>1</v>
      </c>
      <c r="R915" s="3258">
        <f t="shared" ca="1" si="163"/>
        <v>5702</v>
      </c>
      <c r="S915" s="1070">
        <f t="shared" ca="1" si="164"/>
        <v>22</v>
      </c>
    </row>
    <row r="916" spans="1:19">
      <c r="A916" s="673" t="str">
        <f>Sheet1!E894</f>
        <v>M1-058</v>
      </c>
      <c r="B916" s="673">
        <f>Sheet1!F894</f>
        <v>39.090000000000003</v>
      </c>
      <c r="C916" s="3257">
        <f t="shared" si="155"/>
        <v>0.99</v>
      </c>
      <c r="D916" s="675"/>
      <c r="E916" s="3257">
        <f t="shared" si="156"/>
        <v>1</v>
      </c>
      <c r="F916" s="675"/>
      <c r="G916" s="3257">
        <f t="shared" si="157"/>
        <v>1</v>
      </c>
      <c r="H916" s="675"/>
      <c r="I916" s="3257">
        <f t="shared" si="158"/>
        <v>1</v>
      </c>
      <c r="J916" s="675"/>
      <c r="K916" s="3257">
        <f t="shared" si="159"/>
        <v>1</v>
      </c>
      <c r="L916" s="675"/>
      <c r="M916" s="3257">
        <f t="shared" si="160"/>
        <v>1</v>
      </c>
      <c r="N916" s="675"/>
      <c r="O916" s="3257">
        <f t="shared" si="161"/>
        <v>1</v>
      </c>
      <c r="P916" s="675"/>
      <c r="Q916" s="3257">
        <f t="shared" si="162"/>
        <v>1</v>
      </c>
      <c r="R916" s="3258">
        <f t="shared" ca="1" si="163"/>
        <v>5702</v>
      </c>
      <c r="S916" s="1070">
        <f t="shared" ca="1" si="164"/>
        <v>22</v>
      </c>
    </row>
    <row r="917" spans="1:19">
      <c r="A917" s="673" t="str">
        <f>Sheet1!E895</f>
        <v>M1-059</v>
      </c>
      <c r="B917" s="673">
        <f>Sheet1!F895</f>
        <v>39.090000000000003</v>
      </c>
      <c r="C917" s="3257">
        <f t="shared" si="155"/>
        <v>0.99</v>
      </c>
      <c r="D917" s="675"/>
      <c r="E917" s="3257">
        <f t="shared" si="156"/>
        <v>1</v>
      </c>
      <c r="F917" s="675"/>
      <c r="G917" s="3257">
        <f t="shared" si="157"/>
        <v>1</v>
      </c>
      <c r="H917" s="675"/>
      <c r="I917" s="3257">
        <f t="shared" si="158"/>
        <v>1</v>
      </c>
      <c r="J917" s="675"/>
      <c r="K917" s="3257">
        <f t="shared" si="159"/>
        <v>1</v>
      </c>
      <c r="L917" s="675"/>
      <c r="M917" s="3257">
        <f t="shared" si="160"/>
        <v>1</v>
      </c>
      <c r="N917" s="675"/>
      <c r="O917" s="3257">
        <f t="shared" si="161"/>
        <v>1</v>
      </c>
      <c r="P917" s="675"/>
      <c r="Q917" s="3257">
        <f t="shared" si="162"/>
        <v>1</v>
      </c>
      <c r="R917" s="3258">
        <f t="shared" ca="1" si="163"/>
        <v>5702</v>
      </c>
      <c r="S917" s="1070">
        <f t="shared" ca="1" si="164"/>
        <v>22</v>
      </c>
    </row>
    <row r="918" spans="1:19">
      <c r="A918" s="673" t="str">
        <f>Sheet1!E896</f>
        <v>M1-060</v>
      </c>
      <c r="B918" s="673">
        <f>Sheet1!F896</f>
        <v>36.74</v>
      </c>
      <c r="C918" s="3257">
        <f t="shared" si="155"/>
        <v>0.99</v>
      </c>
      <c r="D918" s="675"/>
      <c r="E918" s="3257">
        <f t="shared" si="156"/>
        <v>1</v>
      </c>
      <c r="F918" s="675"/>
      <c r="G918" s="3257">
        <f t="shared" si="157"/>
        <v>1</v>
      </c>
      <c r="H918" s="675"/>
      <c r="I918" s="3257">
        <f t="shared" si="158"/>
        <v>1</v>
      </c>
      <c r="J918" s="675"/>
      <c r="K918" s="3257">
        <f t="shared" si="159"/>
        <v>1</v>
      </c>
      <c r="L918" s="675"/>
      <c r="M918" s="3257">
        <f t="shared" si="160"/>
        <v>1</v>
      </c>
      <c r="N918" s="675"/>
      <c r="O918" s="3257">
        <f t="shared" si="161"/>
        <v>1</v>
      </c>
      <c r="P918" s="675"/>
      <c r="Q918" s="3257">
        <f t="shared" si="162"/>
        <v>1</v>
      </c>
      <c r="R918" s="3258">
        <f t="shared" ca="1" si="163"/>
        <v>5702</v>
      </c>
      <c r="S918" s="1070">
        <f t="shared" ca="1" si="164"/>
        <v>21</v>
      </c>
    </row>
    <row r="919" spans="1:19">
      <c r="A919" s="673" t="str">
        <f>Sheet1!E897</f>
        <v>M1-061</v>
      </c>
      <c r="B919" s="673">
        <f>Sheet1!F897</f>
        <v>36.74</v>
      </c>
      <c r="C919" s="3257">
        <f t="shared" si="155"/>
        <v>0.99</v>
      </c>
      <c r="D919" s="675"/>
      <c r="E919" s="3257">
        <f t="shared" si="156"/>
        <v>1</v>
      </c>
      <c r="F919" s="675"/>
      <c r="G919" s="3257">
        <f t="shared" si="157"/>
        <v>1</v>
      </c>
      <c r="H919" s="675"/>
      <c r="I919" s="3257">
        <f t="shared" si="158"/>
        <v>1</v>
      </c>
      <c r="J919" s="675"/>
      <c r="K919" s="3257">
        <f t="shared" si="159"/>
        <v>1</v>
      </c>
      <c r="L919" s="675"/>
      <c r="M919" s="3257">
        <f t="shared" si="160"/>
        <v>1</v>
      </c>
      <c r="N919" s="675"/>
      <c r="O919" s="3257">
        <f t="shared" si="161"/>
        <v>1</v>
      </c>
      <c r="P919" s="675"/>
      <c r="Q919" s="3257">
        <f t="shared" si="162"/>
        <v>1</v>
      </c>
      <c r="R919" s="3258">
        <f t="shared" ca="1" si="163"/>
        <v>5702</v>
      </c>
      <c r="S919" s="1070">
        <f t="shared" ca="1" si="164"/>
        <v>21</v>
      </c>
    </row>
    <row r="920" spans="1:19">
      <c r="A920" s="673" t="str">
        <f>Sheet1!E898</f>
        <v>M1-062</v>
      </c>
      <c r="B920" s="673">
        <f>Sheet1!F898</f>
        <v>36.74</v>
      </c>
      <c r="C920" s="3257">
        <f t="shared" si="155"/>
        <v>0.99</v>
      </c>
      <c r="D920" s="675"/>
      <c r="E920" s="3257">
        <f t="shared" si="156"/>
        <v>1</v>
      </c>
      <c r="F920" s="675"/>
      <c r="G920" s="3257">
        <f t="shared" si="157"/>
        <v>1</v>
      </c>
      <c r="H920" s="675"/>
      <c r="I920" s="3257">
        <f t="shared" si="158"/>
        <v>1</v>
      </c>
      <c r="J920" s="675"/>
      <c r="K920" s="3257">
        <f t="shared" si="159"/>
        <v>1</v>
      </c>
      <c r="L920" s="675"/>
      <c r="M920" s="3257">
        <f t="shared" si="160"/>
        <v>1</v>
      </c>
      <c r="N920" s="675"/>
      <c r="O920" s="3257">
        <f t="shared" si="161"/>
        <v>1</v>
      </c>
      <c r="P920" s="675"/>
      <c r="Q920" s="3257">
        <f t="shared" si="162"/>
        <v>1</v>
      </c>
      <c r="R920" s="3258">
        <f t="shared" ca="1" si="163"/>
        <v>5702</v>
      </c>
      <c r="S920" s="1070">
        <f t="shared" ca="1" si="164"/>
        <v>21</v>
      </c>
    </row>
    <row r="921" spans="1:19">
      <c r="A921" s="673" t="str">
        <f>Sheet1!E899</f>
        <v>M1-063</v>
      </c>
      <c r="B921" s="673">
        <f>Sheet1!F899</f>
        <v>37.520000000000003</v>
      </c>
      <c r="C921" s="3257">
        <f t="shared" si="155"/>
        <v>0.99</v>
      </c>
      <c r="D921" s="675"/>
      <c r="E921" s="3257">
        <f t="shared" si="156"/>
        <v>1</v>
      </c>
      <c r="F921" s="675"/>
      <c r="G921" s="3257">
        <f t="shared" si="157"/>
        <v>1</v>
      </c>
      <c r="H921" s="675"/>
      <c r="I921" s="3257">
        <f t="shared" si="158"/>
        <v>1</v>
      </c>
      <c r="J921" s="675"/>
      <c r="K921" s="3257">
        <f t="shared" si="159"/>
        <v>1</v>
      </c>
      <c r="L921" s="675"/>
      <c r="M921" s="3257">
        <f t="shared" si="160"/>
        <v>1</v>
      </c>
      <c r="N921" s="675"/>
      <c r="O921" s="3257">
        <f t="shared" si="161"/>
        <v>1</v>
      </c>
      <c r="P921" s="675"/>
      <c r="Q921" s="3257">
        <f t="shared" si="162"/>
        <v>1</v>
      </c>
      <c r="R921" s="3258">
        <f t="shared" ca="1" si="163"/>
        <v>5702</v>
      </c>
      <c r="S921" s="1070">
        <f t="shared" ca="1" si="164"/>
        <v>21</v>
      </c>
    </row>
    <row r="922" spans="1:19">
      <c r="A922" s="673" t="str">
        <f>Sheet1!E900</f>
        <v>M1-064</v>
      </c>
      <c r="B922" s="673">
        <f>Sheet1!F900</f>
        <v>37.520000000000003</v>
      </c>
      <c r="C922" s="3257">
        <f t="shared" si="155"/>
        <v>0.99</v>
      </c>
      <c r="D922" s="675"/>
      <c r="E922" s="3257">
        <f t="shared" si="156"/>
        <v>1</v>
      </c>
      <c r="F922" s="675"/>
      <c r="G922" s="3257">
        <f t="shared" si="157"/>
        <v>1</v>
      </c>
      <c r="H922" s="675"/>
      <c r="I922" s="3257">
        <f t="shared" si="158"/>
        <v>1</v>
      </c>
      <c r="J922" s="675"/>
      <c r="K922" s="3257">
        <f t="shared" si="159"/>
        <v>1</v>
      </c>
      <c r="L922" s="675"/>
      <c r="M922" s="3257">
        <f t="shared" si="160"/>
        <v>1</v>
      </c>
      <c r="N922" s="675"/>
      <c r="O922" s="3257">
        <f t="shared" si="161"/>
        <v>1</v>
      </c>
      <c r="P922" s="675"/>
      <c r="Q922" s="3257">
        <f t="shared" si="162"/>
        <v>1</v>
      </c>
      <c r="R922" s="3258">
        <f t="shared" ca="1" si="163"/>
        <v>5702</v>
      </c>
      <c r="S922" s="1070">
        <f t="shared" ca="1" si="164"/>
        <v>21</v>
      </c>
    </row>
    <row r="923" spans="1:19">
      <c r="A923" s="673" t="str">
        <f>Sheet1!E901</f>
        <v>M1-065</v>
      </c>
      <c r="B923" s="673">
        <f>Sheet1!F901</f>
        <v>39.090000000000003</v>
      </c>
      <c r="C923" s="3257">
        <f t="shared" si="155"/>
        <v>0.99</v>
      </c>
      <c r="D923" s="675"/>
      <c r="E923" s="3257">
        <f t="shared" si="156"/>
        <v>1</v>
      </c>
      <c r="F923" s="675"/>
      <c r="G923" s="3257">
        <f t="shared" si="157"/>
        <v>1</v>
      </c>
      <c r="H923" s="675"/>
      <c r="I923" s="3257">
        <f t="shared" si="158"/>
        <v>1</v>
      </c>
      <c r="J923" s="675"/>
      <c r="K923" s="3257">
        <f t="shared" si="159"/>
        <v>1</v>
      </c>
      <c r="L923" s="675"/>
      <c r="M923" s="3257">
        <f t="shared" si="160"/>
        <v>1</v>
      </c>
      <c r="N923" s="675"/>
      <c r="O923" s="3257">
        <f t="shared" si="161"/>
        <v>1</v>
      </c>
      <c r="P923" s="675"/>
      <c r="Q923" s="3257">
        <f t="shared" si="162"/>
        <v>1</v>
      </c>
      <c r="R923" s="3258">
        <f t="shared" ca="1" si="163"/>
        <v>5702</v>
      </c>
      <c r="S923" s="1070">
        <f t="shared" ca="1" si="164"/>
        <v>22</v>
      </c>
    </row>
    <row r="924" spans="1:19">
      <c r="A924" s="673" t="str">
        <f>Sheet1!E902</f>
        <v>M1-066</v>
      </c>
      <c r="B924" s="673">
        <f>Sheet1!F902</f>
        <v>39.090000000000003</v>
      </c>
      <c r="C924" s="3257">
        <f t="shared" si="155"/>
        <v>0.99</v>
      </c>
      <c r="D924" s="675"/>
      <c r="E924" s="3257">
        <f t="shared" si="156"/>
        <v>1</v>
      </c>
      <c r="F924" s="675"/>
      <c r="G924" s="3257">
        <f t="shared" si="157"/>
        <v>1</v>
      </c>
      <c r="H924" s="675"/>
      <c r="I924" s="3257">
        <f t="shared" si="158"/>
        <v>1</v>
      </c>
      <c r="J924" s="675"/>
      <c r="K924" s="3257">
        <f t="shared" si="159"/>
        <v>1</v>
      </c>
      <c r="L924" s="675"/>
      <c r="M924" s="3257">
        <f t="shared" si="160"/>
        <v>1</v>
      </c>
      <c r="N924" s="675"/>
      <c r="O924" s="3257">
        <f t="shared" si="161"/>
        <v>1</v>
      </c>
      <c r="P924" s="675"/>
      <c r="Q924" s="3257">
        <f t="shared" si="162"/>
        <v>1</v>
      </c>
      <c r="R924" s="3258">
        <f t="shared" ca="1" si="163"/>
        <v>5702</v>
      </c>
      <c r="S924" s="1070">
        <f t="shared" ca="1" si="164"/>
        <v>22</v>
      </c>
    </row>
    <row r="925" spans="1:19">
      <c r="A925" s="673"/>
      <c r="B925" s="673"/>
      <c r="C925" s="3257">
        <f t="shared" si="155"/>
        <v>1</v>
      </c>
      <c r="D925" s="675"/>
      <c r="E925" s="3257">
        <f t="shared" si="156"/>
        <v>1</v>
      </c>
      <c r="F925" s="675"/>
      <c r="G925" s="3257">
        <f t="shared" si="157"/>
        <v>1</v>
      </c>
      <c r="H925" s="675"/>
      <c r="I925" s="3257">
        <f t="shared" si="158"/>
        <v>1</v>
      </c>
      <c r="J925" s="675"/>
      <c r="K925" s="3257">
        <f t="shared" si="159"/>
        <v>1</v>
      </c>
      <c r="L925" s="675"/>
      <c r="M925" s="3257">
        <f t="shared" si="160"/>
        <v>1</v>
      </c>
      <c r="N925" s="675"/>
      <c r="O925" s="3257">
        <f t="shared" si="161"/>
        <v>1</v>
      </c>
      <c r="P925" s="675"/>
      <c r="Q925" s="3257">
        <f t="shared" si="162"/>
        <v>1</v>
      </c>
      <c r="R925" s="3258">
        <f t="shared" si="163"/>
        <v>0</v>
      </c>
      <c r="S925" s="1070">
        <f t="shared" si="164"/>
        <v>0</v>
      </c>
    </row>
    <row r="926" spans="1:19">
      <c r="A926" s="673"/>
      <c r="C926" s="3257">
        <f t="shared" si="155"/>
        <v>1</v>
      </c>
      <c r="D926" s="675"/>
      <c r="E926" s="3257">
        <f t="shared" si="156"/>
        <v>1</v>
      </c>
      <c r="F926" s="675"/>
      <c r="G926" s="3257">
        <f t="shared" si="157"/>
        <v>1</v>
      </c>
      <c r="H926" s="675"/>
      <c r="I926" s="3257">
        <f t="shared" si="158"/>
        <v>1</v>
      </c>
      <c r="J926" s="675"/>
      <c r="K926" s="3257">
        <f t="shared" si="159"/>
        <v>1</v>
      </c>
      <c r="L926" s="675"/>
      <c r="M926" s="3257">
        <f t="shared" si="160"/>
        <v>1</v>
      </c>
      <c r="N926" s="675"/>
      <c r="O926" s="3257">
        <f t="shared" si="161"/>
        <v>1</v>
      </c>
      <c r="P926" s="675"/>
      <c r="Q926" s="3257">
        <f t="shared" si="162"/>
        <v>1</v>
      </c>
      <c r="R926" s="3258">
        <f t="shared" si="163"/>
        <v>0</v>
      </c>
      <c r="S926" s="1070">
        <f t="shared" si="164"/>
        <v>0</v>
      </c>
    </row>
    <row r="927" spans="1:19">
      <c r="A927" s="673"/>
      <c r="C927" s="3257">
        <f t="shared" si="155"/>
        <v>1</v>
      </c>
      <c r="D927" s="675"/>
      <c r="E927" s="3257">
        <f t="shared" si="156"/>
        <v>1</v>
      </c>
      <c r="F927" s="675"/>
      <c r="G927" s="3257">
        <f t="shared" si="157"/>
        <v>1</v>
      </c>
      <c r="H927" s="675"/>
      <c r="I927" s="3257">
        <f t="shared" si="158"/>
        <v>1</v>
      </c>
      <c r="J927" s="675"/>
      <c r="K927" s="3257">
        <f t="shared" si="159"/>
        <v>1</v>
      </c>
      <c r="L927" s="675"/>
      <c r="M927" s="3257">
        <f t="shared" si="160"/>
        <v>1</v>
      </c>
      <c r="N927" s="675"/>
      <c r="O927" s="3257">
        <f t="shared" si="161"/>
        <v>1</v>
      </c>
      <c r="P927" s="675"/>
      <c r="Q927" s="3257">
        <f t="shared" si="162"/>
        <v>1</v>
      </c>
      <c r="R927" s="3258">
        <f t="shared" si="163"/>
        <v>0</v>
      </c>
      <c r="S927" s="1070">
        <f t="shared" si="164"/>
        <v>0</v>
      </c>
    </row>
    <row r="928" spans="1:19">
      <c r="A928" s="673"/>
      <c r="C928" s="3257">
        <f t="shared" si="155"/>
        <v>1</v>
      </c>
      <c r="D928" s="675"/>
      <c r="E928" s="3257">
        <f t="shared" si="156"/>
        <v>1</v>
      </c>
      <c r="F928" s="675"/>
      <c r="G928" s="3257">
        <f t="shared" si="157"/>
        <v>1</v>
      </c>
      <c r="H928" s="675"/>
      <c r="I928" s="3257">
        <f t="shared" si="158"/>
        <v>1</v>
      </c>
      <c r="J928" s="675"/>
      <c r="K928" s="3257">
        <f t="shared" si="159"/>
        <v>1</v>
      </c>
      <c r="L928" s="675"/>
      <c r="M928" s="3257">
        <f t="shared" si="160"/>
        <v>1</v>
      </c>
      <c r="N928" s="675"/>
      <c r="O928" s="3257">
        <f t="shared" si="161"/>
        <v>1</v>
      </c>
      <c r="P928" s="675"/>
      <c r="Q928" s="3257">
        <f t="shared" si="162"/>
        <v>1</v>
      </c>
      <c r="R928" s="3258">
        <f t="shared" si="163"/>
        <v>0</v>
      </c>
      <c r="S928" s="1070">
        <f t="shared" si="164"/>
        <v>0</v>
      </c>
    </row>
    <row r="929" spans="1:19">
      <c r="A929" s="673"/>
      <c r="C929" s="3257">
        <f t="shared" si="155"/>
        <v>1</v>
      </c>
      <c r="D929" s="675"/>
      <c r="E929" s="3257">
        <f t="shared" si="156"/>
        <v>1</v>
      </c>
      <c r="F929" s="675"/>
      <c r="G929" s="3257">
        <f t="shared" si="157"/>
        <v>1</v>
      </c>
      <c r="H929" s="675"/>
      <c r="I929" s="3257">
        <f t="shared" si="158"/>
        <v>1</v>
      </c>
      <c r="J929" s="675"/>
      <c r="K929" s="3257">
        <f t="shared" si="159"/>
        <v>1</v>
      </c>
      <c r="L929" s="675"/>
      <c r="M929" s="3257">
        <f t="shared" si="160"/>
        <v>1</v>
      </c>
      <c r="N929" s="675"/>
      <c r="O929" s="3257">
        <f t="shared" si="161"/>
        <v>1</v>
      </c>
      <c r="P929" s="675"/>
      <c r="Q929" s="3257">
        <f t="shared" si="162"/>
        <v>1</v>
      </c>
      <c r="R929" s="3258">
        <f t="shared" si="163"/>
        <v>0</v>
      </c>
      <c r="S929" s="1070">
        <f t="shared" si="164"/>
        <v>0</v>
      </c>
    </row>
    <row r="930" spans="1:19">
      <c r="A930" s="673"/>
      <c r="C930" s="3257">
        <f t="shared" si="155"/>
        <v>1</v>
      </c>
      <c r="D930" s="675"/>
      <c r="E930" s="3257">
        <f t="shared" si="156"/>
        <v>1</v>
      </c>
      <c r="F930" s="675"/>
      <c r="G930" s="3257">
        <f t="shared" si="157"/>
        <v>1</v>
      </c>
      <c r="H930" s="675"/>
      <c r="I930" s="3257">
        <f t="shared" si="158"/>
        <v>1</v>
      </c>
      <c r="J930" s="675"/>
      <c r="K930" s="3257">
        <f t="shared" si="159"/>
        <v>1</v>
      </c>
      <c r="L930" s="675"/>
      <c r="M930" s="3257">
        <f t="shared" si="160"/>
        <v>1</v>
      </c>
      <c r="N930" s="675"/>
      <c r="O930" s="3257">
        <f t="shared" si="161"/>
        <v>1</v>
      </c>
      <c r="P930" s="675"/>
      <c r="Q930" s="3257">
        <f t="shared" si="162"/>
        <v>1</v>
      </c>
      <c r="R930" s="3258">
        <f t="shared" si="163"/>
        <v>0</v>
      </c>
      <c r="S930" s="1070">
        <f t="shared" si="164"/>
        <v>0</v>
      </c>
    </row>
    <row r="931" spans="1:19">
      <c r="A931" s="673"/>
      <c r="C931" s="3257">
        <f t="shared" si="155"/>
        <v>1</v>
      </c>
      <c r="D931" s="675"/>
      <c r="E931" s="3257">
        <f t="shared" si="156"/>
        <v>1</v>
      </c>
      <c r="F931" s="675"/>
      <c r="G931" s="3257">
        <f t="shared" si="157"/>
        <v>1</v>
      </c>
      <c r="H931" s="675"/>
      <c r="I931" s="3257">
        <f t="shared" si="158"/>
        <v>1</v>
      </c>
      <c r="J931" s="675"/>
      <c r="K931" s="3257">
        <f t="shared" si="159"/>
        <v>1</v>
      </c>
      <c r="L931" s="675"/>
      <c r="M931" s="3257">
        <f t="shared" si="160"/>
        <v>1</v>
      </c>
      <c r="N931" s="675"/>
      <c r="O931" s="3257">
        <f t="shared" si="161"/>
        <v>1</v>
      </c>
      <c r="P931" s="675"/>
      <c r="Q931" s="3257">
        <f t="shared" si="162"/>
        <v>1</v>
      </c>
      <c r="R931" s="3258">
        <f t="shared" si="163"/>
        <v>0</v>
      </c>
      <c r="S931" s="1070">
        <f t="shared" si="164"/>
        <v>0</v>
      </c>
    </row>
    <row r="932" spans="1:19">
      <c r="A932" s="673"/>
      <c r="C932" s="3257">
        <f t="shared" si="155"/>
        <v>1</v>
      </c>
      <c r="D932" s="675"/>
      <c r="E932" s="3257">
        <f t="shared" si="156"/>
        <v>1</v>
      </c>
      <c r="F932" s="675"/>
      <c r="G932" s="3257">
        <f t="shared" si="157"/>
        <v>1</v>
      </c>
      <c r="H932" s="675"/>
      <c r="I932" s="3257">
        <f t="shared" si="158"/>
        <v>1</v>
      </c>
      <c r="J932" s="675"/>
      <c r="K932" s="3257">
        <f t="shared" si="159"/>
        <v>1</v>
      </c>
      <c r="L932" s="675"/>
      <c r="M932" s="3257">
        <f t="shared" si="160"/>
        <v>1</v>
      </c>
      <c r="N932" s="675"/>
      <c r="O932" s="3257">
        <f t="shared" si="161"/>
        <v>1</v>
      </c>
      <c r="P932" s="675"/>
      <c r="Q932" s="3257">
        <f t="shared" si="162"/>
        <v>1</v>
      </c>
      <c r="R932" s="3258">
        <f t="shared" si="163"/>
        <v>0</v>
      </c>
      <c r="S932" s="1070">
        <f t="shared" si="164"/>
        <v>0</v>
      </c>
    </row>
    <row r="933" spans="1:19">
      <c r="A933" s="673"/>
      <c r="C933" s="3257">
        <f t="shared" si="155"/>
        <v>1</v>
      </c>
      <c r="D933" s="675"/>
      <c r="E933" s="3257">
        <f t="shared" si="156"/>
        <v>1</v>
      </c>
      <c r="F933" s="675"/>
      <c r="G933" s="3257">
        <f t="shared" si="157"/>
        <v>1</v>
      </c>
      <c r="H933" s="675"/>
      <c r="I933" s="3257">
        <f t="shared" si="158"/>
        <v>1</v>
      </c>
      <c r="J933" s="675"/>
      <c r="K933" s="3257">
        <f t="shared" si="159"/>
        <v>1</v>
      </c>
      <c r="L933" s="675"/>
      <c r="M933" s="3257">
        <f t="shared" si="160"/>
        <v>1</v>
      </c>
      <c r="N933" s="675"/>
      <c r="O933" s="3257">
        <f t="shared" si="161"/>
        <v>1</v>
      </c>
      <c r="P933" s="675"/>
      <c r="Q933" s="3257">
        <f t="shared" si="162"/>
        <v>1</v>
      </c>
      <c r="R933" s="3258">
        <f t="shared" si="163"/>
        <v>0</v>
      </c>
      <c r="S933" s="1070">
        <f t="shared" si="164"/>
        <v>0</v>
      </c>
    </row>
    <row r="934" spans="1:19">
      <c r="A934" s="673"/>
      <c r="C934" s="3257">
        <f t="shared" si="155"/>
        <v>1</v>
      </c>
      <c r="D934" s="675"/>
      <c r="E934" s="3257">
        <f t="shared" si="156"/>
        <v>1</v>
      </c>
      <c r="F934" s="675"/>
      <c r="G934" s="3257">
        <f t="shared" si="157"/>
        <v>1</v>
      </c>
      <c r="H934" s="675"/>
      <c r="I934" s="3257">
        <f t="shared" si="158"/>
        <v>1</v>
      </c>
      <c r="J934" s="675"/>
      <c r="K934" s="3257">
        <f t="shared" si="159"/>
        <v>1</v>
      </c>
      <c r="L934" s="675"/>
      <c r="M934" s="3257">
        <f t="shared" si="160"/>
        <v>1</v>
      </c>
      <c r="N934" s="675"/>
      <c r="O934" s="3257">
        <f t="shared" si="161"/>
        <v>1</v>
      </c>
      <c r="P934" s="675"/>
      <c r="Q934" s="3257">
        <f t="shared" si="162"/>
        <v>1</v>
      </c>
      <c r="R934" s="3258">
        <f t="shared" si="163"/>
        <v>0</v>
      </c>
      <c r="S934" s="1070">
        <f t="shared" si="164"/>
        <v>0</v>
      </c>
    </row>
    <row r="935" spans="1:19">
      <c r="A935" s="673"/>
      <c r="C935" s="3257">
        <f t="shared" si="155"/>
        <v>1</v>
      </c>
      <c r="D935" s="675"/>
      <c r="E935" s="3257">
        <f t="shared" si="156"/>
        <v>1</v>
      </c>
      <c r="F935" s="675"/>
      <c r="G935" s="3257">
        <f t="shared" si="157"/>
        <v>1</v>
      </c>
      <c r="H935" s="675"/>
      <c r="I935" s="3257">
        <f t="shared" si="158"/>
        <v>1</v>
      </c>
      <c r="J935" s="675"/>
      <c r="K935" s="3257">
        <f t="shared" si="159"/>
        <v>1</v>
      </c>
      <c r="L935" s="675"/>
      <c r="M935" s="3257">
        <f t="shared" si="160"/>
        <v>1</v>
      </c>
      <c r="N935" s="675"/>
      <c r="O935" s="3257">
        <f t="shared" si="161"/>
        <v>1</v>
      </c>
      <c r="P935" s="675"/>
      <c r="Q935" s="3257">
        <f t="shared" si="162"/>
        <v>1</v>
      </c>
      <c r="R935" s="3258">
        <f t="shared" si="163"/>
        <v>0</v>
      </c>
      <c r="S935" s="1070">
        <f t="shared" si="164"/>
        <v>0</v>
      </c>
    </row>
    <row r="936" spans="1:19">
      <c r="A936" s="673"/>
      <c r="C936" s="3257">
        <f t="shared" si="155"/>
        <v>1</v>
      </c>
      <c r="D936" s="675"/>
      <c r="E936" s="3257">
        <f t="shared" si="156"/>
        <v>1</v>
      </c>
      <c r="F936" s="675"/>
      <c r="G936" s="3257">
        <f t="shared" si="157"/>
        <v>1</v>
      </c>
      <c r="H936" s="675"/>
      <c r="I936" s="3257">
        <f t="shared" si="158"/>
        <v>1</v>
      </c>
      <c r="J936" s="675"/>
      <c r="K936" s="3257">
        <f t="shared" si="159"/>
        <v>1</v>
      </c>
      <c r="L936" s="675"/>
      <c r="M936" s="3257">
        <f t="shared" si="160"/>
        <v>1</v>
      </c>
      <c r="N936" s="675"/>
      <c r="O936" s="3257">
        <f t="shared" si="161"/>
        <v>1</v>
      </c>
      <c r="P936" s="675"/>
      <c r="Q936" s="3257">
        <f t="shared" si="162"/>
        <v>1</v>
      </c>
      <c r="R936" s="3258">
        <f t="shared" si="163"/>
        <v>0</v>
      </c>
      <c r="S936" s="1070">
        <f t="shared" si="164"/>
        <v>0</v>
      </c>
    </row>
    <row r="937" spans="1:19">
      <c r="A937" s="673"/>
      <c r="C937" s="3257">
        <f t="shared" si="155"/>
        <v>1</v>
      </c>
      <c r="D937" s="675"/>
      <c r="E937" s="3257">
        <f t="shared" si="156"/>
        <v>1</v>
      </c>
      <c r="F937" s="675"/>
      <c r="G937" s="3257">
        <f t="shared" si="157"/>
        <v>1</v>
      </c>
      <c r="H937" s="675"/>
      <c r="I937" s="3257">
        <f t="shared" si="158"/>
        <v>1</v>
      </c>
      <c r="J937" s="675"/>
      <c r="K937" s="3257">
        <f t="shared" si="159"/>
        <v>1</v>
      </c>
      <c r="L937" s="675"/>
      <c r="M937" s="3257">
        <f t="shared" si="160"/>
        <v>1</v>
      </c>
      <c r="N937" s="675"/>
      <c r="O937" s="3257">
        <f t="shared" si="161"/>
        <v>1</v>
      </c>
      <c r="P937" s="675"/>
      <c r="Q937" s="3257">
        <f t="shared" si="162"/>
        <v>1</v>
      </c>
      <c r="R937" s="3258">
        <f t="shared" si="163"/>
        <v>0</v>
      </c>
      <c r="S937" s="1070">
        <f t="shared" si="164"/>
        <v>0</v>
      </c>
    </row>
    <row r="938" spans="1:19">
      <c r="A938" s="673"/>
      <c r="C938" s="3257">
        <f t="shared" si="155"/>
        <v>1</v>
      </c>
      <c r="D938" s="675"/>
      <c r="E938" s="3257">
        <f t="shared" si="156"/>
        <v>1</v>
      </c>
      <c r="F938" s="675"/>
      <c r="G938" s="3257">
        <f t="shared" si="157"/>
        <v>1</v>
      </c>
      <c r="H938" s="675"/>
      <c r="I938" s="3257">
        <f t="shared" si="158"/>
        <v>1</v>
      </c>
      <c r="J938" s="675"/>
      <c r="K938" s="3257">
        <f t="shared" si="159"/>
        <v>1</v>
      </c>
      <c r="L938" s="675"/>
      <c r="M938" s="3257">
        <f t="shared" si="160"/>
        <v>1</v>
      </c>
      <c r="N938" s="675"/>
      <c r="O938" s="3257">
        <f t="shared" si="161"/>
        <v>1</v>
      </c>
      <c r="P938" s="675"/>
      <c r="Q938" s="3257">
        <f t="shared" si="162"/>
        <v>1</v>
      </c>
      <c r="R938" s="3258">
        <f t="shared" si="163"/>
        <v>0</v>
      </c>
      <c r="S938" s="1070">
        <f t="shared" si="164"/>
        <v>0</v>
      </c>
    </row>
    <row r="939" spans="1:19">
      <c r="A939" s="673"/>
      <c r="C939" s="3257">
        <f t="shared" si="155"/>
        <v>1</v>
      </c>
      <c r="D939" s="675"/>
      <c r="E939" s="3257">
        <f t="shared" si="156"/>
        <v>1</v>
      </c>
      <c r="F939" s="675"/>
      <c r="G939" s="3257">
        <f t="shared" si="157"/>
        <v>1</v>
      </c>
      <c r="H939" s="675"/>
      <c r="I939" s="3257">
        <f t="shared" si="158"/>
        <v>1</v>
      </c>
      <c r="J939" s="675"/>
      <c r="K939" s="3257">
        <f t="shared" si="159"/>
        <v>1</v>
      </c>
      <c r="L939" s="675"/>
      <c r="M939" s="3257">
        <f t="shared" si="160"/>
        <v>1</v>
      </c>
      <c r="N939" s="675"/>
      <c r="O939" s="3257">
        <f t="shared" si="161"/>
        <v>1</v>
      </c>
      <c r="P939" s="675"/>
      <c r="Q939" s="3257">
        <f t="shared" si="162"/>
        <v>1</v>
      </c>
      <c r="R939" s="3258">
        <f t="shared" si="163"/>
        <v>0</v>
      </c>
      <c r="S939" s="1070">
        <f t="shared" si="164"/>
        <v>0</v>
      </c>
    </row>
    <row r="940" spans="1:19">
      <c r="A940" s="673"/>
      <c r="C940" s="3257">
        <f t="shared" si="155"/>
        <v>1</v>
      </c>
      <c r="D940" s="675"/>
      <c r="E940" s="3257">
        <f t="shared" si="156"/>
        <v>1</v>
      </c>
      <c r="F940" s="675"/>
      <c r="G940" s="3257">
        <f t="shared" si="157"/>
        <v>1</v>
      </c>
      <c r="H940" s="675"/>
      <c r="I940" s="3257">
        <f t="shared" si="158"/>
        <v>1</v>
      </c>
      <c r="J940" s="675"/>
      <c r="K940" s="3257">
        <f t="shared" si="159"/>
        <v>1</v>
      </c>
      <c r="L940" s="675"/>
      <c r="M940" s="3257">
        <f t="shared" si="160"/>
        <v>1</v>
      </c>
      <c r="N940" s="675"/>
      <c r="O940" s="3257">
        <f t="shared" si="161"/>
        <v>1</v>
      </c>
      <c r="P940" s="675"/>
      <c r="Q940" s="3257">
        <f t="shared" si="162"/>
        <v>1</v>
      </c>
      <c r="R940" s="3258">
        <f t="shared" si="163"/>
        <v>0</v>
      </c>
      <c r="S940" s="1070">
        <f t="shared" si="164"/>
        <v>0</v>
      </c>
    </row>
    <row r="941" spans="1:19">
      <c r="A941" s="673"/>
      <c r="C941" s="3257">
        <f t="shared" si="155"/>
        <v>1</v>
      </c>
      <c r="D941" s="675"/>
      <c r="E941" s="3257">
        <f t="shared" si="156"/>
        <v>1</v>
      </c>
      <c r="F941" s="675"/>
      <c r="G941" s="3257">
        <f t="shared" si="157"/>
        <v>1</v>
      </c>
      <c r="H941" s="675"/>
      <c r="I941" s="3257">
        <f t="shared" si="158"/>
        <v>1</v>
      </c>
      <c r="J941" s="675"/>
      <c r="K941" s="3257">
        <f t="shared" si="159"/>
        <v>1</v>
      </c>
      <c r="L941" s="675"/>
      <c r="M941" s="3257">
        <f t="shared" si="160"/>
        <v>1</v>
      </c>
      <c r="N941" s="675"/>
      <c r="O941" s="3257">
        <f t="shared" si="161"/>
        <v>1</v>
      </c>
      <c r="P941" s="675"/>
      <c r="Q941" s="3257">
        <f t="shared" si="162"/>
        <v>1</v>
      </c>
      <c r="R941" s="3258">
        <f t="shared" si="163"/>
        <v>0</v>
      </c>
      <c r="S941" s="1070">
        <f t="shared" si="164"/>
        <v>0</v>
      </c>
    </row>
    <row r="942" spans="1:19">
      <c r="A942" s="673"/>
      <c r="C942" s="3257">
        <f t="shared" si="155"/>
        <v>1</v>
      </c>
      <c r="D942" s="675"/>
      <c r="E942" s="3257">
        <f t="shared" si="156"/>
        <v>1</v>
      </c>
      <c r="F942" s="675"/>
      <c r="G942" s="3257">
        <f t="shared" si="157"/>
        <v>1</v>
      </c>
      <c r="H942" s="675"/>
      <c r="I942" s="3257">
        <f t="shared" si="158"/>
        <v>1</v>
      </c>
      <c r="J942" s="675"/>
      <c r="K942" s="3257">
        <f t="shared" si="159"/>
        <v>1</v>
      </c>
      <c r="L942" s="675"/>
      <c r="M942" s="3257">
        <f t="shared" si="160"/>
        <v>1</v>
      </c>
      <c r="N942" s="675"/>
      <c r="O942" s="3257">
        <f t="shared" si="161"/>
        <v>1</v>
      </c>
      <c r="P942" s="675"/>
      <c r="Q942" s="3257">
        <f t="shared" si="162"/>
        <v>1</v>
      </c>
      <c r="R942" s="3258">
        <f t="shared" si="163"/>
        <v>0</v>
      </c>
      <c r="S942" s="1070">
        <f t="shared" si="164"/>
        <v>0</v>
      </c>
    </row>
    <row r="943" spans="1:19">
      <c r="A943" s="673"/>
      <c r="C943" s="3257">
        <f t="shared" si="155"/>
        <v>1</v>
      </c>
      <c r="D943" s="675"/>
      <c r="E943" s="3257">
        <f t="shared" si="156"/>
        <v>1</v>
      </c>
      <c r="F943" s="675"/>
      <c r="G943" s="3257">
        <f t="shared" si="157"/>
        <v>1</v>
      </c>
      <c r="H943" s="675"/>
      <c r="I943" s="3257">
        <f t="shared" si="158"/>
        <v>1</v>
      </c>
      <c r="J943" s="675"/>
      <c r="K943" s="3257">
        <f t="shared" si="159"/>
        <v>1</v>
      </c>
      <c r="L943" s="675"/>
      <c r="M943" s="3257">
        <f t="shared" si="160"/>
        <v>1</v>
      </c>
      <c r="N943" s="675"/>
      <c r="O943" s="3257">
        <f t="shared" si="161"/>
        <v>1</v>
      </c>
      <c r="P943" s="675"/>
      <c r="Q943" s="3257">
        <f t="shared" si="162"/>
        <v>1</v>
      </c>
      <c r="R943" s="3258">
        <f t="shared" si="163"/>
        <v>0</v>
      </c>
      <c r="S943" s="1070">
        <f t="shared" si="164"/>
        <v>0</v>
      </c>
    </row>
    <row r="944" spans="1:19">
      <c r="A944" s="673"/>
      <c r="C944" s="3257">
        <f t="shared" si="155"/>
        <v>1</v>
      </c>
      <c r="D944" s="675"/>
      <c r="E944" s="3257">
        <f t="shared" si="156"/>
        <v>1</v>
      </c>
      <c r="F944" s="675"/>
      <c r="G944" s="3257">
        <f t="shared" si="157"/>
        <v>1</v>
      </c>
      <c r="H944" s="675"/>
      <c r="I944" s="3257">
        <f t="shared" si="158"/>
        <v>1</v>
      </c>
      <c r="J944" s="675"/>
      <c r="K944" s="3257">
        <f t="shared" si="159"/>
        <v>1</v>
      </c>
      <c r="L944" s="675"/>
      <c r="M944" s="3257">
        <f t="shared" si="160"/>
        <v>1</v>
      </c>
      <c r="N944" s="675"/>
      <c r="O944" s="3257">
        <f t="shared" si="161"/>
        <v>1</v>
      </c>
      <c r="P944" s="675"/>
      <c r="Q944" s="3257">
        <f t="shared" si="162"/>
        <v>1</v>
      </c>
      <c r="R944" s="3258">
        <f t="shared" si="163"/>
        <v>0</v>
      </c>
      <c r="S944" s="1070">
        <f t="shared" si="164"/>
        <v>0</v>
      </c>
    </row>
    <row r="945" spans="1:19">
      <c r="A945" s="673"/>
      <c r="C945" s="3257">
        <f t="shared" si="155"/>
        <v>1</v>
      </c>
      <c r="D945" s="675"/>
      <c r="E945" s="3257">
        <f t="shared" si="156"/>
        <v>1</v>
      </c>
      <c r="F945" s="675"/>
      <c r="G945" s="3257">
        <f t="shared" si="157"/>
        <v>1</v>
      </c>
      <c r="H945" s="675"/>
      <c r="I945" s="3257">
        <f t="shared" si="158"/>
        <v>1</v>
      </c>
      <c r="J945" s="675"/>
      <c r="K945" s="3257">
        <f t="shared" si="159"/>
        <v>1</v>
      </c>
      <c r="L945" s="675"/>
      <c r="M945" s="3257">
        <f t="shared" si="160"/>
        <v>1</v>
      </c>
      <c r="N945" s="675"/>
      <c r="O945" s="3257">
        <f t="shared" si="161"/>
        <v>1</v>
      </c>
      <c r="P945" s="675"/>
      <c r="Q945" s="3257">
        <f t="shared" si="162"/>
        <v>1</v>
      </c>
      <c r="R945" s="3258">
        <f t="shared" si="163"/>
        <v>0</v>
      </c>
      <c r="S945" s="1070">
        <f t="shared" si="164"/>
        <v>0</v>
      </c>
    </row>
    <row r="946" spans="1:19">
      <c r="A946" s="673"/>
      <c r="C946" s="3257">
        <f t="shared" si="155"/>
        <v>1</v>
      </c>
      <c r="D946" s="675"/>
      <c r="E946" s="3257">
        <f t="shared" si="156"/>
        <v>1</v>
      </c>
      <c r="F946" s="675"/>
      <c r="G946" s="3257">
        <f t="shared" si="157"/>
        <v>1</v>
      </c>
      <c r="H946" s="675"/>
      <c r="I946" s="3257">
        <f t="shared" si="158"/>
        <v>1</v>
      </c>
      <c r="J946" s="675"/>
      <c r="K946" s="3257">
        <f t="shared" si="159"/>
        <v>1</v>
      </c>
      <c r="L946" s="675"/>
      <c r="M946" s="3257">
        <f t="shared" si="160"/>
        <v>1</v>
      </c>
      <c r="N946" s="675"/>
      <c r="O946" s="3257">
        <f t="shared" si="161"/>
        <v>1</v>
      </c>
      <c r="P946" s="675"/>
      <c r="Q946" s="3257">
        <f t="shared" si="162"/>
        <v>1</v>
      </c>
      <c r="R946" s="3258">
        <f t="shared" si="163"/>
        <v>0</v>
      </c>
      <c r="S946" s="1070">
        <f t="shared" si="164"/>
        <v>0</v>
      </c>
    </row>
    <row r="947" spans="1:19">
      <c r="A947" s="673"/>
      <c r="C947" s="3257">
        <f t="shared" si="155"/>
        <v>1</v>
      </c>
      <c r="D947" s="675"/>
      <c r="E947" s="3257">
        <f t="shared" si="156"/>
        <v>1</v>
      </c>
      <c r="F947" s="675"/>
      <c r="G947" s="3257">
        <f t="shared" si="157"/>
        <v>1</v>
      </c>
      <c r="H947" s="675"/>
      <c r="I947" s="3257">
        <f t="shared" si="158"/>
        <v>1</v>
      </c>
      <c r="J947" s="675"/>
      <c r="K947" s="3257">
        <f t="shared" si="159"/>
        <v>1</v>
      </c>
      <c r="L947" s="675"/>
      <c r="M947" s="3257">
        <f t="shared" si="160"/>
        <v>1</v>
      </c>
      <c r="N947" s="675"/>
      <c r="O947" s="3257">
        <f t="shared" si="161"/>
        <v>1</v>
      </c>
      <c r="P947" s="675"/>
      <c r="Q947" s="3257">
        <f t="shared" si="162"/>
        <v>1</v>
      </c>
      <c r="R947" s="3258">
        <f t="shared" si="163"/>
        <v>0</v>
      </c>
      <c r="S947" s="1070">
        <f t="shared" si="164"/>
        <v>0</v>
      </c>
    </row>
    <row r="948" spans="1:19">
      <c r="A948" s="673"/>
      <c r="C948" s="3257">
        <f t="shared" si="155"/>
        <v>1</v>
      </c>
      <c r="D948" s="675"/>
      <c r="E948" s="3257">
        <f t="shared" si="156"/>
        <v>1</v>
      </c>
      <c r="F948" s="675"/>
      <c r="G948" s="3257">
        <f t="shared" si="157"/>
        <v>1</v>
      </c>
      <c r="H948" s="675"/>
      <c r="I948" s="3257">
        <f t="shared" si="158"/>
        <v>1</v>
      </c>
      <c r="J948" s="675"/>
      <c r="K948" s="3257">
        <f t="shared" si="159"/>
        <v>1</v>
      </c>
      <c r="L948" s="675"/>
      <c r="M948" s="3257">
        <f t="shared" si="160"/>
        <v>1</v>
      </c>
      <c r="N948" s="675"/>
      <c r="O948" s="3257">
        <f t="shared" si="161"/>
        <v>1</v>
      </c>
      <c r="P948" s="675"/>
      <c r="Q948" s="3257">
        <f t="shared" si="162"/>
        <v>1</v>
      </c>
      <c r="R948" s="3258">
        <f t="shared" si="163"/>
        <v>0</v>
      </c>
      <c r="S948" s="1070">
        <f t="shared" si="164"/>
        <v>0</v>
      </c>
    </row>
    <row r="949" spans="1:19">
      <c r="A949" s="673"/>
      <c r="C949" s="3257">
        <f t="shared" si="155"/>
        <v>1</v>
      </c>
      <c r="D949" s="675"/>
      <c r="E949" s="3257">
        <f t="shared" si="156"/>
        <v>1</v>
      </c>
      <c r="F949" s="675"/>
      <c r="G949" s="3257">
        <f t="shared" si="157"/>
        <v>1</v>
      </c>
      <c r="H949" s="675"/>
      <c r="I949" s="3257">
        <f t="shared" si="158"/>
        <v>1</v>
      </c>
      <c r="J949" s="675"/>
      <c r="K949" s="3257">
        <f t="shared" si="159"/>
        <v>1</v>
      </c>
      <c r="L949" s="675"/>
      <c r="M949" s="3257">
        <f t="shared" si="160"/>
        <v>1</v>
      </c>
      <c r="N949" s="675"/>
      <c r="O949" s="3257">
        <f t="shared" si="161"/>
        <v>1</v>
      </c>
      <c r="P949" s="675"/>
      <c r="Q949" s="3257">
        <f t="shared" si="162"/>
        <v>1</v>
      </c>
      <c r="R949" s="3258">
        <f t="shared" si="163"/>
        <v>0</v>
      </c>
      <c r="S949" s="1070">
        <f t="shared" si="164"/>
        <v>0</v>
      </c>
    </row>
    <row r="950" spans="1:19">
      <c r="A950" s="673"/>
      <c r="C950" s="3257">
        <f t="shared" si="155"/>
        <v>1</v>
      </c>
      <c r="D950" s="675"/>
      <c r="E950" s="3257">
        <f t="shared" si="156"/>
        <v>1</v>
      </c>
      <c r="F950" s="675"/>
      <c r="G950" s="3257">
        <f t="shared" si="157"/>
        <v>1</v>
      </c>
      <c r="H950" s="675"/>
      <c r="I950" s="3257">
        <f t="shared" si="158"/>
        <v>1</v>
      </c>
      <c r="J950" s="675"/>
      <c r="K950" s="3257">
        <f t="shared" si="159"/>
        <v>1</v>
      </c>
      <c r="L950" s="675"/>
      <c r="M950" s="3257">
        <f t="shared" si="160"/>
        <v>1</v>
      </c>
      <c r="N950" s="675"/>
      <c r="O950" s="3257">
        <f t="shared" si="161"/>
        <v>1</v>
      </c>
      <c r="P950" s="675"/>
      <c r="Q950" s="3257">
        <f t="shared" si="162"/>
        <v>1</v>
      </c>
      <c r="R950" s="3258">
        <f t="shared" si="163"/>
        <v>0</v>
      </c>
      <c r="S950" s="1070">
        <f t="shared" si="164"/>
        <v>0</v>
      </c>
    </row>
    <row r="951" spans="1:19">
      <c r="A951" s="673"/>
      <c r="C951" s="3257">
        <f t="shared" si="155"/>
        <v>1</v>
      </c>
      <c r="D951" s="675"/>
      <c r="E951" s="3257">
        <f t="shared" si="156"/>
        <v>1</v>
      </c>
      <c r="F951" s="675"/>
      <c r="G951" s="3257">
        <f t="shared" si="157"/>
        <v>1</v>
      </c>
      <c r="H951" s="675"/>
      <c r="I951" s="3257">
        <f t="shared" si="158"/>
        <v>1</v>
      </c>
      <c r="J951" s="675"/>
      <c r="K951" s="3257">
        <f t="shared" si="159"/>
        <v>1</v>
      </c>
      <c r="L951" s="675"/>
      <c r="M951" s="3257">
        <f t="shared" si="160"/>
        <v>1</v>
      </c>
      <c r="N951" s="675"/>
      <c r="O951" s="3257">
        <f t="shared" si="161"/>
        <v>1</v>
      </c>
      <c r="P951" s="675"/>
      <c r="Q951" s="3257">
        <f t="shared" si="162"/>
        <v>1</v>
      </c>
      <c r="R951" s="3258">
        <f t="shared" si="163"/>
        <v>0</v>
      </c>
      <c r="S951" s="1070">
        <f t="shared" si="164"/>
        <v>0</v>
      </c>
    </row>
    <row r="952" spans="1:19">
      <c r="A952" s="673"/>
    </row>
    <row r="953" spans="1:19">
      <c r="A953" s="673"/>
    </row>
  </sheetData>
  <sheetProtection password="CEE9" sheet="1" objects="1" scenarios="1" formatCells="0" formatColumns="0" formatRows="0"/>
  <mergeCells count="2">
    <mergeCell ref="C22:Q22"/>
    <mergeCell ref="C1:S1"/>
  </mergeCells>
  <phoneticPr fontId="26" type="noConversion"/>
  <conditionalFormatting sqref="C24:C951 E24:E951 G24:G951 I24:I951 K24:K951 M24:M951 O24:O951 Q24:Q951">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37525</v>
      </c>
      <c r="C2" s="2" t="s">
        <v>133</v>
      </c>
      <c r="D2" s="204"/>
      <c r="E2" s="204"/>
      <c r="F2" s="204"/>
      <c r="G2" s="204"/>
    </row>
    <row r="3" spans="1:7" s="205" customFormat="1" ht="18" customHeight="1" thickBot="1">
      <c r="A3" s="208" t="s">
        <v>85</v>
      </c>
      <c r="B3" s="209">
        <f ca="1">ROUND(B2*10000/'数据-汇总表'!E3,0)</f>
        <v>11651</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0</v>
      </c>
      <c r="F9" s="226"/>
      <c r="G9" s="231"/>
    </row>
    <row r="10" spans="1:7" s="219" customFormat="1" ht="13.5" customHeight="1">
      <c r="A10" s="867" t="s">
        <v>620</v>
      </c>
      <c r="B10" s="229" t="s">
        <v>94</v>
      </c>
      <c r="C10" s="230">
        <f>ROUND(D10*E10/10000,0)</f>
        <v>644</v>
      </c>
      <c r="D10" s="934">
        <f>'数据-汇总表'!E6</f>
        <v>32206.890000000196</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644</v>
      </c>
      <c r="D19" s="938">
        <f>'数据-汇总表'!E3</f>
        <v>32206.890000000196</v>
      </c>
      <c r="E19" s="216">
        <f>'数据-取费表'!B31</f>
        <v>200</v>
      </c>
      <c r="F19" s="236"/>
      <c r="G19" s="1" t="s">
        <v>861</v>
      </c>
    </row>
    <row r="20" spans="1:7" s="219" customFormat="1" ht="13.5" customHeight="1">
      <c r="A20" s="865" t="s">
        <v>844</v>
      </c>
      <c r="B20" s="215" t="s">
        <v>104</v>
      </c>
      <c r="C20" s="237">
        <f>ROUND((C5+C19)*F20,0)</f>
        <v>425</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1841</v>
      </c>
      <c r="D22" s="240">
        <f ca="1">C26</f>
        <v>8.0000000000000004E-4</v>
      </c>
      <c r="E22" s="241" t="s">
        <v>126</v>
      </c>
      <c r="F22" s="242">
        <f ca="1">'数据-取费表'!B40</f>
        <v>4.2000000000000003E-2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1768</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55</v>
      </c>
      <c r="D24" s="243"/>
      <c r="E24" s="243"/>
      <c r="F24" s="244"/>
      <c r="G24" s="245" t="s">
        <v>109</v>
      </c>
    </row>
    <row r="25" spans="1:7" s="219" customFormat="1" ht="24">
      <c r="A25" s="868" t="s">
        <v>612</v>
      </c>
      <c r="B25" s="220" t="s">
        <v>845</v>
      </c>
      <c r="C25" s="1217">
        <f ca="1">ROUND(IF('数据-取费表'!B22&lt;=1,C20*F22*'数据-取费表'!B23/2,C20*(POWER((1+F22),'数据-取费表'!B23/2)-1)),0)</f>
        <v>18</v>
      </c>
      <c r="D25" s="243"/>
      <c r="E25" s="246"/>
      <c r="F25" s="244"/>
      <c r="G25" s="247" t="s">
        <v>110</v>
      </c>
    </row>
    <row r="26" spans="1:7" s="219" customFormat="1">
      <c r="A26" s="868" t="s">
        <v>614</v>
      </c>
      <c r="B26" s="220" t="s">
        <v>847</v>
      </c>
      <c r="C26" s="243">
        <f ca="1">ROUND(IF('数据-取费表'!B22&lt;=1,F21*F22*'数据-取费表'!B23/2,F21*(POWER((1+F22),'数据-取费表'!B23/2)-1)),4)</f>
        <v>8.0000000000000004E-4</v>
      </c>
      <c r="D26" s="243"/>
      <c r="E26" s="246"/>
      <c r="F26" s="244"/>
      <c r="G26" s="248"/>
    </row>
    <row r="27" spans="1:7" s="219" customFormat="1" ht="24.75">
      <c r="A27" s="865" t="s">
        <v>606</v>
      </c>
      <c r="B27" s="249" t="s">
        <v>112</v>
      </c>
      <c r="C27" s="250">
        <f>C28</f>
        <v>1084</v>
      </c>
      <c r="D27" s="240">
        <f>C29</f>
        <v>1E-3</v>
      </c>
      <c r="E27" s="241" t="s">
        <v>126</v>
      </c>
      <c r="F27" s="251">
        <f>'数据-取费表'!Q16</f>
        <v>0.05</v>
      </c>
      <c r="G27" s="252" t="s">
        <v>856</v>
      </c>
    </row>
    <row r="28" spans="1:7" s="219" customFormat="1" ht="13.5" customHeight="1">
      <c r="A28" s="868" t="s">
        <v>613</v>
      </c>
      <c r="B28" s="253" t="s">
        <v>849</v>
      </c>
      <c r="C28" s="254">
        <f>ROUND((C5+C19+C20)*F27*'数据-取费表'!B21/'数据-取费表'!B20,0)</f>
        <v>1084</v>
      </c>
      <c r="D28" s="240"/>
      <c r="E28" s="241"/>
      <c r="F28" s="251"/>
      <c r="G28" s="252"/>
    </row>
    <row r="29" spans="1:7" s="219" customFormat="1" ht="13.5" customHeight="1">
      <c r="A29" s="868" t="s">
        <v>611</v>
      </c>
      <c r="B29" s="253" t="s">
        <v>850</v>
      </c>
      <c r="C29" s="243">
        <f>ROUND(C21*F27*'数据-取费表'!B21/'数据-取费表'!B20,4)</f>
        <v>1E-3</v>
      </c>
      <c r="D29" s="240"/>
      <c r="E29" s="241"/>
      <c r="F29" s="251"/>
      <c r="G29" s="252"/>
    </row>
    <row r="30" spans="1:7" s="219" customFormat="1" ht="13.5" customHeight="1">
      <c r="A30" s="865"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26603</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12424</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11273</v>
      </c>
      <c r="D34" s="222"/>
      <c r="E34" s="225"/>
      <c r="F34" s="262">
        <f>IF('数据-取费表'!B24=0,1,'数据-取费表'!N16)</f>
        <v>1</v>
      </c>
      <c r="G34" s="224" t="s">
        <v>116</v>
      </c>
    </row>
    <row r="35" spans="1:7" ht="13.5" customHeight="1">
      <c r="A35" s="868" t="s">
        <v>615</v>
      </c>
      <c r="B35" s="220" t="s">
        <v>60</v>
      </c>
      <c r="C35" s="225">
        <f>ROUND(C34*F35,0)</f>
        <v>338</v>
      </c>
      <c r="D35" s="225"/>
      <c r="E35" s="225"/>
      <c r="F35" s="264">
        <f>'数据-取费表'!B33</f>
        <v>0.03</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68" t="s">
        <v>617</v>
      </c>
      <c r="B37" s="220" t="s">
        <v>118</v>
      </c>
      <c r="C37" s="254">
        <f>ROUND(E37*D37*F34/10000,0)</f>
        <v>644</v>
      </c>
      <c r="D37" s="222">
        <f>'数据-汇总表'!E3</f>
        <v>32206.890000000196</v>
      </c>
      <c r="E37" s="254">
        <f>'数据-取费表'!B35</f>
        <v>200</v>
      </c>
      <c r="F37" s="264"/>
      <c r="G37" s="266" t="s">
        <v>119</v>
      </c>
    </row>
    <row r="38" spans="1:7" ht="13.5" customHeight="1">
      <c r="A38" s="868" t="s">
        <v>618</v>
      </c>
      <c r="B38" s="220" t="s">
        <v>63</v>
      </c>
      <c r="C38" s="225">
        <f>ROUND(C34*F38,0)</f>
        <v>169</v>
      </c>
      <c r="D38" s="225"/>
      <c r="E38" s="225"/>
      <c r="F38" s="264">
        <f>'数据-取费表'!B36</f>
        <v>1.4999999999999999E-2</v>
      </c>
      <c r="G38" s="224" t="s">
        <v>117</v>
      </c>
    </row>
    <row r="39" spans="1:7" s="219" customFormat="1" ht="13.5" customHeight="1">
      <c r="A39" s="865" t="s">
        <v>602</v>
      </c>
      <c r="B39" s="215" t="s">
        <v>104</v>
      </c>
      <c r="C39" s="237">
        <f>ROUND(C33*F20,0)</f>
        <v>248</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532</v>
      </c>
      <c r="D41" s="240">
        <f ca="1">C44</f>
        <v>8.0000000000000004E-4</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522</v>
      </c>
      <c r="D42" s="243"/>
      <c r="E42" s="243"/>
      <c r="F42" s="244"/>
      <c r="G42" s="3448" t="s">
        <v>121</v>
      </c>
    </row>
    <row r="43" spans="1:7" ht="13.5" customHeight="1">
      <c r="A43" s="868" t="s">
        <v>611</v>
      </c>
      <c r="B43" s="220" t="s">
        <v>851</v>
      </c>
      <c r="C43" s="243">
        <f ca="1">ROUND(IF('数据-取费表'!B22&lt;=1,C39*F22*'数据-取费表'!B21/2,C39*(POWER((1+F22),'数据-取费表'!B21/2)-1)),0)</f>
        <v>10</v>
      </c>
      <c r="D43" s="243"/>
      <c r="E43" s="243"/>
      <c r="F43" s="244"/>
      <c r="G43" s="3449"/>
    </row>
    <row r="44" spans="1:7" ht="13.5" customHeight="1">
      <c r="A44" s="868" t="s">
        <v>612</v>
      </c>
      <c r="B44" s="220" t="s">
        <v>853</v>
      </c>
      <c r="C44" s="243">
        <f ca="1">ROUND(IF('数据-取费表'!B22&lt;=1,C40*F22*'数据-取费表'!B21/2,C40*(POWER((1+F22),'数据-取费表'!B21/2)-1)),4)</f>
        <v>8.0000000000000004E-4</v>
      </c>
      <c r="D44" s="243"/>
      <c r="E44" s="243"/>
      <c r="F44" s="244"/>
      <c r="G44" s="3450"/>
    </row>
    <row r="45" spans="1:7" s="219" customFormat="1" ht="13.5" customHeight="1">
      <c r="A45" s="865" t="s">
        <v>605</v>
      </c>
      <c r="B45" s="249" t="s">
        <v>112</v>
      </c>
      <c r="C45" s="250">
        <f>C46</f>
        <v>634</v>
      </c>
      <c r="D45" s="240">
        <f>C47</f>
        <v>1E-3</v>
      </c>
      <c r="E45" s="241" t="s">
        <v>129</v>
      </c>
      <c r="F45" s="251"/>
      <c r="G45" s="252" t="s">
        <v>859</v>
      </c>
    </row>
    <row r="46" spans="1:7" s="219" customFormat="1" ht="13.5" customHeight="1">
      <c r="A46" s="868" t="s">
        <v>613</v>
      </c>
      <c r="B46" s="253" t="s">
        <v>852</v>
      </c>
      <c r="C46" s="254">
        <f>ROUND((C33+C39)*F27,0)</f>
        <v>634</v>
      </c>
      <c r="D46" s="268"/>
      <c r="E46" s="241"/>
      <c r="F46" s="251"/>
      <c r="G46" s="252"/>
    </row>
    <row r="47" spans="1:7" s="219" customFormat="1" ht="13.5" customHeight="1">
      <c r="A47" s="868" t="s">
        <v>611</v>
      </c>
      <c r="B47" s="253" t="s">
        <v>854</v>
      </c>
      <c r="C47" s="243">
        <f>ROUND(C40*F27,4)</f>
        <v>1E-3</v>
      </c>
      <c r="D47" s="268"/>
      <c r="E47" s="241"/>
      <c r="F47" s="251"/>
      <c r="G47" s="252"/>
    </row>
    <row r="48" spans="1:7" s="219" customFormat="1" ht="13.5" customHeight="1">
      <c r="A48" s="865" t="s">
        <v>606</v>
      </c>
      <c r="B48" s="215" t="s">
        <v>122</v>
      </c>
      <c r="C48" s="267">
        <f>F30</f>
        <v>5.6000000000000001E-2</v>
      </c>
      <c r="D48" s="241" t="s">
        <v>130</v>
      </c>
      <c r="E48" s="237"/>
      <c r="F48" s="242"/>
      <c r="G48" s="239" t="s">
        <v>123</v>
      </c>
    </row>
    <row r="49" spans="1:7" ht="16.5" customHeight="1">
      <c r="A49" s="865" t="s">
        <v>607</v>
      </c>
      <c r="B49" s="215" t="s">
        <v>131</v>
      </c>
      <c r="C49" s="237">
        <f ca="1">ROUND((C33+C39+C41+C45)/(1-C40-D41-D45-C48/(1+'数据-取费表'!B42)),0)</f>
        <v>14962</v>
      </c>
      <c r="D49" s="237"/>
      <c r="E49" s="237"/>
      <c r="F49" s="269"/>
      <c r="G49" s="239" t="s">
        <v>860</v>
      </c>
    </row>
    <row r="50" spans="1:7" s="263" customFormat="1" ht="24">
      <c r="A50" s="865" t="s">
        <v>608</v>
      </c>
      <c r="B50" s="215" t="s">
        <v>124</v>
      </c>
      <c r="C50" s="237"/>
      <c r="D50" s="237"/>
      <c r="E50" s="237"/>
      <c r="F50" s="269">
        <f>IF('数据-取费表'!B24=0,'数据-取费表'!N16,1)</f>
        <v>0.73</v>
      </c>
      <c r="G50" s="252" t="s">
        <v>125</v>
      </c>
    </row>
    <row r="51" spans="1:7" ht="16.5" customHeight="1">
      <c r="A51" s="865" t="s">
        <v>609</v>
      </c>
      <c r="B51" s="215" t="s">
        <v>132</v>
      </c>
      <c r="C51" s="237">
        <f ca="1">ROUND(C49*F50,0)</f>
        <v>10922</v>
      </c>
      <c r="D51" s="237"/>
      <c r="E51" s="237"/>
      <c r="F51" s="269"/>
      <c r="G51" s="239" t="s">
        <v>64</v>
      </c>
    </row>
    <row r="52" spans="1:7" s="213" customFormat="1" ht="16.5" thickBot="1">
      <c r="A52" s="270" t="s">
        <v>65</v>
      </c>
      <c r="B52" s="271"/>
      <c r="C52" s="272">
        <f ca="1">C31+C51</f>
        <v>37525</v>
      </c>
      <c r="D52" s="271"/>
      <c r="E52" s="271"/>
      <c r="F52" s="271"/>
      <c r="G52" s="273"/>
    </row>
    <row r="55" spans="1:7" ht="15">
      <c r="B55" s="275" t="s">
        <v>66</v>
      </c>
      <c r="C55" s="276"/>
    </row>
    <row r="56" spans="1:7">
      <c r="B56" s="278" t="s">
        <v>67</v>
      </c>
      <c r="C56" s="279">
        <f ca="1">ROUND(C51/C52,3)</f>
        <v>0.29099999999999998</v>
      </c>
    </row>
    <row r="57" spans="1:7">
      <c r="B57" s="278" t="s">
        <v>68</v>
      </c>
      <c r="C57" s="280">
        <f ca="1">1-C56</f>
        <v>0.70900000000000007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02" t="s">
        <v>156</v>
      </c>
      <c r="B1" s="3602"/>
      <c r="C1" s="3602"/>
      <c r="D1" s="3602"/>
      <c r="E1" s="3602"/>
      <c r="F1" s="360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03" t="s">
        <v>169</v>
      </c>
      <c r="B2" s="3603"/>
      <c r="C2" s="3603"/>
      <c r="D2" s="3603"/>
      <c r="E2" s="3603"/>
      <c r="F2" s="360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04"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05"/>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02" t="s">
        <v>658</v>
      </c>
      <c r="B1" s="3602"/>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44698</v>
      </c>
      <c r="D1" s="1422" t="s">
        <v>1028</v>
      </c>
      <c r="E1" s="1417">
        <f>'数据-取费表'!B22</f>
        <v>2</v>
      </c>
      <c r="F1" s="1422" t="s">
        <v>1029</v>
      </c>
      <c r="G1" s="1418">
        <f ca="1">INDIRECT("d"&amp;$K$1)/100</f>
        <v>3.7000000000000005E-2</v>
      </c>
      <c r="H1" s="1422" t="s">
        <v>1059</v>
      </c>
      <c r="I1" s="1418">
        <f ca="1">F4/100</f>
        <v>1.4999999999999999E-2</v>
      </c>
      <c r="J1" s="1423">
        <f>IF(C1&gt;C13,0,MATCH(C1,C$13:C$107,-1))+IF(SUMIF(C13:C107,C1,D13:D107)=0,13,12)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44581</v>
      </c>
      <c r="D13" s="3002">
        <v>3.7</v>
      </c>
      <c r="E13" s="3002">
        <f>D13</f>
        <v>3.7</v>
      </c>
      <c r="F13" s="3002">
        <f>D13</f>
        <v>3.7</v>
      </c>
      <c r="G13" s="3002">
        <f>D13</f>
        <v>3.7</v>
      </c>
      <c r="H13" s="3002">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7"/>
      <c r="C14" s="2998">
        <v>44550</v>
      </c>
      <c r="D14" s="2997">
        <v>3.8</v>
      </c>
      <c r="E14" s="2997">
        <f>D14</f>
        <v>3.8</v>
      </c>
      <c r="F14" s="2997">
        <f>D14</f>
        <v>3.8</v>
      </c>
      <c r="G14" s="2997">
        <f>D14</f>
        <v>3.8</v>
      </c>
      <c r="H14" s="2997">
        <v>4.6500000000000004</v>
      </c>
      <c r="I14" s="2997"/>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7"/>
      <c r="C15" s="2998">
        <v>43941</v>
      </c>
      <c r="D15" s="2997">
        <v>3.85</v>
      </c>
      <c r="E15" s="2997">
        <v>3.85</v>
      </c>
      <c r="F15" s="2997">
        <v>3.85</v>
      </c>
      <c r="G15" s="2997">
        <v>3.85</v>
      </c>
      <c r="H15" s="2997">
        <v>4.6500000000000004</v>
      </c>
      <c r="I15" s="2997"/>
      <c r="J15" s="2997"/>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43881</v>
      </c>
      <c r="D16" s="2997">
        <v>4.05</v>
      </c>
      <c r="E16" s="2997">
        <v>4.05</v>
      </c>
      <c r="F16" s="2997">
        <v>4.05</v>
      </c>
      <c r="G16" s="2997">
        <v>4.05</v>
      </c>
      <c r="H16" s="2997">
        <v>4.75</v>
      </c>
      <c r="I16" s="2997"/>
      <c r="J16" s="2997"/>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43789</v>
      </c>
      <c r="D17" s="2997">
        <v>4.1500000000000004</v>
      </c>
      <c r="E17" s="2997">
        <v>4.1500000000000004</v>
      </c>
      <c r="F17" s="2997">
        <v>4.1500000000000004</v>
      </c>
      <c r="G17" s="2997">
        <v>4.1500000000000004</v>
      </c>
      <c r="H17" s="2997">
        <v>4.8</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43728</v>
      </c>
      <c r="D18" s="2997">
        <v>4.2</v>
      </c>
      <c r="E18" s="2997">
        <v>4.2</v>
      </c>
      <c r="F18" s="2997">
        <v>4.2</v>
      </c>
      <c r="G18" s="2997">
        <v>4.2</v>
      </c>
      <c r="H18" s="2997">
        <v>4.8499999999999996</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6" t="s">
        <v>2814</v>
      </c>
      <c r="C19" s="2999">
        <v>43697</v>
      </c>
      <c r="D19" s="3000">
        <v>4.25</v>
      </c>
      <c r="E19" s="3000">
        <v>4.25</v>
      </c>
      <c r="F19" s="3000">
        <v>4.25</v>
      </c>
      <c r="G19" s="3000">
        <v>4.25</v>
      </c>
      <c r="H19" s="3000">
        <v>4.8499999999999996</v>
      </c>
      <c r="I19" s="3000"/>
      <c r="J19" s="3000"/>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3003"/>
      <c r="B20" s="3004"/>
      <c r="C20" s="3005">
        <v>42301</v>
      </c>
      <c r="D20" s="3006">
        <v>4.3499999999999996</v>
      </c>
      <c r="E20" s="3006">
        <v>4.3499999999999996</v>
      </c>
      <c r="F20" s="3006">
        <v>4.75</v>
      </c>
      <c r="G20" s="3006">
        <v>4.75</v>
      </c>
      <c r="H20" s="3006">
        <v>4.9000000000000004</v>
      </c>
      <c r="I20" s="3006"/>
      <c r="J20" s="3006"/>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04"/>
  <sheetViews>
    <sheetView tabSelected="1" workbookViewId="0">
      <selection activeCell="G904" sqref="A1:G904"/>
    </sheetView>
  </sheetViews>
  <sheetFormatPr defaultRowHeight="14.25"/>
  <cols>
    <col min="1" max="9" width="9" style="3248"/>
    <col min="10" max="10" width="12.75" style="3248" bestFit="1" customWidth="1"/>
    <col min="11" max="11" width="11.625" style="3248" bestFit="1" customWidth="1"/>
    <col min="12" max="12" width="11" style="3248" customWidth="1"/>
    <col min="13" max="16384" width="9" style="3248"/>
  </cols>
  <sheetData>
    <row r="1" spans="1:12">
      <c r="A1" s="3247" t="s">
        <v>3174</v>
      </c>
      <c r="B1" s="3247" t="s">
        <v>3175</v>
      </c>
      <c r="C1" s="3607" t="s">
        <v>3176</v>
      </c>
      <c r="D1" s="3607"/>
      <c r="E1" s="3247" t="s">
        <v>3177</v>
      </c>
      <c r="F1" s="3247" t="s">
        <v>3178</v>
      </c>
      <c r="G1" s="3247" t="s">
        <v>3179</v>
      </c>
    </row>
    <row r="2" spans="1:12" ht="14.25" customHeight="1">
      <c r="A2" s="3247">
        <v>1</v>
      </c>
      <c r="B2" s="3611" t="s">
        <v>3180</v>
      </c>
      <c r="C2" s="3608" t="s">
        <v>3181</v>
      </c>
      <c r="D2" s="3609"/>
      <c r="E2" s="3249" t="s">
        <v>3182</v>
      </c>
      <c r="F2" s="3249">
        <v>33.93</v>
      </c>
      <c r="G2" s="3250" t="s">
        <v>3183</v>
      </c>
      <c r="H2" s="3253">
        <f>ROUND(F2/$J$4*$K$4,2)</f>
        <v>8.27</v>
      </c>
    </row>
    <row r="3" spans="1:12">
      <c r="A3" s="3247">
        <v>2</v>
      </c>
      <c r="B3" s="3612"/>
      <c r="C3" s="3606" t="s">
        <v>3181</v>
      </c>
      <c r="D3" s="3606"/>
      <c r="E3" s="3249" t="s">
        <v>3184</v>
      </c>
      <c r="F3" s="3249">
        <v>33.93</v>
      </c>
      <c r="G3" s="3250" t="s">
        <v>3183</v>
      </c>
      <c r="H3" s="3253">
        <f t="shared" ref="H3:H66" si="0">ROUND(F3/$J$4*$K$4,2)</f>
        <v>8.27</v>
      </c>
      <c r="I3"/>
      <c r="J3"/>
      <c r="K3" s="3251" t="s">
        <v>4092</v>
      </c>
      <c r="L3"/>
    </row>
    <row r="4" spans="1:12">
      <c r="A4" s="3247">
        <v>3</v>
      </c>
      <c r="B4" s="3612"/>
      <c r="C4" s="3606" t="s">
        <v>3181</v>
      </c>
      <c r="D4" s="3606"/>
      <c r="E4" s="3249" t="s">
        <v>3185</v>
      </c>
      <c r="F4" s="3249">
        <v>33.93</v>
      </c>
      <c r="G4" s="3250" t="s">
        <v>3183</v>
      </c>
      <c r="H4" s="3253">
        <f t="shared" si="0"/>
        <v>8.27</v>
      </c>
      <c r="I4" s="3251" t="s">
        <v>4093</v>
      </c>
      <c r="J4" s="3252">
        <f>F294</f>
        <v>9478.3100000000577</v>
      </c>
      <c r="K4" s="3252">
        <f>ROUND(J4/J7*J10,2)</f>
        <v>2311.23</v>
      </c>
      <c r="L4"/>
    </row>
    <row r="5" spans="1:12">
      <c r="A5" s="3247">
        <v>4</v>
      </c>
      <c r="B5" s="3612"/>
      <c r="C5" s="3606" t="s">
        <v>3181</v>
      </c>
      <c r="D5" s="3606"/>
      <c r="E5" s="3249" t="s">
        <v>3186</v>
      </c>
      <c r="F5" s="3249">
        <v>33.93</v>
      </c>
      <c r="G5" s="3250" t="s">
        <v>3183</v>
      </c>
      <c r="H5" s="3253">
        <f t="shared" si="0"/>
        <v>8.27</v>
      </c>
      <c r="I5" s="3251" t="s">
        <v>4094</v>
      </c>
      <c r="J5" s="3252">
        <f>F903</f>
        <v>22728.580000000136</v>
      </c>
      <c r="K5" s="3252">
        <f>ROUND(J5/J8*J11,2)</f>
        <v>4665.01</v>
      </c>
      <c r="L5" s="3252">
        <f>K4+K5</f>
        <v>6976.24</v>
      </c>
    </row>
    <row r="6" spans="1:12">
      <c r="A6" s="3247">
        <v>5</v>
      </c>
      <c r="B6" s="3612"/>
      <c r="C6" s="3606" t="s">
        <v>3181</v>
      </c>
      <c r="D6" s="3606"/>
      <c r="E6" s="3249" t="s">
        <v>3187</v>
      </c>
      <c r="F6" s="3249">
        <v>33.93</v>
      </c>
      <c r="G6" s="3250" t="s">
        <v>3183</v>
      </c>
      <c r="H6" s="3253">
        <f t="shared" si="0"/>
        <v>8.27</v>
      </c>
      <c r="I6"/>
      <c r="J6"/>
      <c r="K6"/>
      <c r="L6" s="3251"/>
    </row>
    <row r="7" spans="1:12">
      <c r="A7" s="3247">
        <v>6</v>
      </c>
      <c r="B7" s="3612"/>
      <c r="C7" s="3606" t="s">
        <v>3181</v>
      </c>
      <c r="D7" s="3606"/>
      <c r="E7" s="3249" t="s">
        <v>3188</v>
      </c>
      <c r="F7" s="3249">
        <v>33.93</v>
      </c>
      <c r="G7" s="3250" t="s">
        <v>3183</v>
      </c>
      <c r="H7" s="3253">
        <f t="shared" si="0"/>
        <v>8.27</v>
      </c>
      <c r="I7" s="3251" t="s">
        <v>4095</v>
      </c>
      <c r="J7">
        <v>499022.55</v>
      </c>
      <c r="K7"/>
      <c r="L7"/>
    </row>
    <row r="8" spans="1:12">
      <c r="A8" s="3247">
        <v>7</v>
      </c>
      <c r="B8" s="3612"/>
      <c r="C8" s="3606" t="s">
        <v>3181</v>
      </c>
      <c r="D8" s="3606"/>
      <c r="E8" s="3249" t="s">
        <v>3189</v>
      </c>
      <c r="F8" s="3249">
        <v>33.93</v>
      </c>
      <c r="G8" s="3250" t="s">
        <v>3183</v>
      </c>
      <c r="H8" s="3253">
        <f t="shared" si="0"/>
        <v>8.27</v>
      </c>
      <c r="I8" s="3251" t="s">
        <v>4096</v>
      </c>
      <c r="J8">
        <v>393117.85</v>
      </c>
      <c r="K8">
        <f>J7+J8</f>
        <v>892140.39999999991</v>
      </c>
      <c r="L8"/>
    </row>
    <row r="9" spans="1:12">
      <c r="A9" s="3247">
        <v>8</v>
      </c>
      <c r="B9" s="3612"/>
      <c r="C9" s="3606" t="s">
        <v>3181</v>
      </c>
      <c r="D9" s="3606"/>
      <c r="E9" s="3249" t="s">
        <v>3190</v>
      </c>
      <c r="F9" s="3249">
        <v>33.93</v>
      </c>
      <c r="G9" s="3250" t="s">
        <v>3183</v>
      </c>
      <c r="H9" s="3253">
        <f t="shared" si="0"/>
        <v>8.27</v>
      </c>
      <c r="I9"/>
      <c r="J9"/>
      <c r="K9"/>
      <c r="L9"/>
    </row>
    <row r="10" spans="1:12">
      <c r="A10" s="3247">
        <v>9</v>
      </c>
      <c r="B10" s="3612"/>
      <c r="C10" s="3606" t="s">
        <v>3181</v>
      </c>
      <c r="D10" s="3606"/>
      <c r="E10" s="3249" t="s">
        <v>3191</v>
      </c>
      <c r="F10" s="3249">
        <v>33.93</v>
      </c>
      <c r="G10" s="3250" t="s">
        <v>3183</v>
      </c>
      <c r="H10" s="3253">
        <f t="shared" si="0"/>
        <v>8.27</v>
      </c>
      <c r="I10" s="3251" t="s">
        <v>4097</v>
      </c>
      <c r="J10">
        <v>121683.81</v>
      </c>
      <c r="K10"/>
      <c r="L10"/>
    </row>
    <row r="11" spans="1:12">
      <c r="A11" s="3247">
        <v>10</v>
      </c>
      <c r="B11" s="3612"/>
      <c r="C11" s="3606" t="s">
        <v>3181</v>
      </c>
      <c r="D11" s="3606"/>
      <c r="E11" s="3249" t="s">
        <v>3192</v>
      </c>
      <c r="F11" s="3249">
        <v>33.93</v>
      </c>
      <c r="G11" s="3250" t="s">
        <v>3183</v>
      </c>
      <c r="H11" s="3253">
        <f t="shared" si="0"/>
        <v>8.27</v>
      </c>
      <c r="I11" s="3251" t="s">
        <v>4098</v>
      </c>
      <c r="J11">
        <v>80686.86</v>
      </c>
      <c r="K11">
        <f>J10+J11</f>
        <v>202370.66999999998</v>
      </c>
      <c r="L11"/>
    </row>
    <row r="12" spans="1:12">
      <c r="A12" s="3247">
        <v>11</v>
      </c>
      <c r="B12" s="3612"/>
      <c r="C12" s="3606" t="s">
        <v>3181</v>
      </c>
      <c r="D12" s="3606"/>
      <c r="E12" s="3249" t="s">
        <v>3193</v>
      </c>
      <c r="F12" s="3249">
        <v>33.93</v>
      </c>
      <c r="G12" s="3250" t="s">
        <v>3183</v>
      </c>
      <c r="H12" s="3253">
        <f t="shared" si="0"/>
        <v>8.27</v>
      </c>
    </row>
    <row r="13" spans="1:12">
      <c r="A13" s="3247">
        <v>12</v>
      </c>
      <c r="B13" s="3612"/>
      <c r="C13" s="3606" t="s">
        <v>3181</v>
      </c>
      <c r="D13" s="3606"/>
      <c r="E13" s="3249" t="s">
        <v>3194</v>
      </c>
      <c r="F13" s="3249">
        <v>33.93</v>
      </c>
      <c r="G13" s="3250" t="s">
        <v>3183</v>
      </c>
      <c r="H13" s="3253">
        <f t="shared" si="0"/>
        <v>8.27</v>
      </c>
    </row>
    <row r="14" spans="1:12">
      <c r="A14" s="3247">
        <v>13</v>
      </c>
      <c r="B14" s="3612"/>
      <c r="C14" s="3606" t="s">
        <v>3181</v>
      </c>
      <c r="D14" s="3606"/>
      <c r="E14" s="3249" t="s">
        <v>3195</v>
      </c>
      <c r="F14" s="3249">
        <v>33.93</v>
      </c>
      <c r="G14" s="3250" t="s">
        <v>3183</v>
      </c>
      <c r="H14" s="3253">
        <f t="shared" si="0"/>
        <v>8.27</v>
      </c>
    </row>
    <row r="15" spans="1:12">
      <c r="A15" s="3247">
        <v>14</v>
      </c>
      <c r="B15" s="3612"/>
      <c r="C15" s="3606" t="s">
        <v>3181</v>
      </c>
      <c r="D15" s="3606"/>
      <c r="E15" s="3249" t="s">
        <v>3196</v>
      </c>
      <c r="F15" s="3249">
        <v>33.93</v>
      </c>
      <c r="G15" s="3250" t="s">
        <v>3183</v>
      </c>
      <c r="H15" s="3253">
        <f t="shared" si="0"/>
        <v>8.27</v>
      </c>
    </row>
    <row r="16" spans="1:12">
      <c r="A16" s="3247">
        <v>15</v>
      </c>
      <c r="B16" s="3612"/>
      <c r="C16" s="3606" t="s">
        <v>3181</v>
      </c>
      <c r="D16" s="3606"/>
      <c r="E16" s="3249" t="s">
        <v>3197</v>
      </c>
      <c r="F16" s="3249">
        <v>32.58</v>
      </c>
      <c r="G16" s="3250" t="s">
        <v>3183</v>
      </c>
      <c r="H16" s="3253">
        <f t="shared" si="0"/>
        <v>7.94</v>
      </c>
    </row>
    <row r="17" spans="1:8">
      <c r="A17" s="3247">
        <v>16</v>
      </c>
      <c r="B17" s="3612"/>
      <c r="C17" s="3606" t="s">
        <v>3181</v>
      </c>
      <c r="D17" s="3606"/>
      <c r="E17" s="3249" t="s">
        <v>3198</v>
      </c>
      <c r="F17" s="3249">
        <v>33.93</v>
      </c>
      <c r="G17" s="3250" t="s">
        <v>3183</v>
      </c>
      <c r="H17" s="3253">
        <f t="shared" si="0"/>
        <v>8.27</v>
      </c>
    </row>
    <row r="18" spans="1:8">
      <c r="A18" s="3247">
        <v>17</v>
      </c>
      <c r="B18" s="3612"/>
      <c r="C18" s="3606" t="s">
        <v>3181</v>
      </c>
      <c r="D18" s="3606"/>
      <c r="E18" s="3249" t="s">
        <v>3199</v>
      </c>
      <c r="F18" s="3249">
        <v>33.93</v>
      </c>
      <c r="G18" s="3250" t="s">
        <v>3183</v>
      </c>
      <c r="H18" s="3253">
        <f t="shared" si="0"/>
        <v>8.27</v>
      </c>
    </row>
    <row r="19" spans="1:8">
      <c r="A19" s="3247">
        <v>18</v>
      </c>
      <c r="B19" s="3612"/>
      <c r="C19" s="3606" t="s">
        <v>3181</v>
      </c>
      <c r="D19" s="3606"/>
      <c r="E19" s="3249" t="s">
        <v>3200</v>
      </c>
      <c r="F19" s="3249">
        <v>33.93</v>
      </c>
      <c r="G19" s="3250" t="s">
        <v>3183</v>
      </c>
      <c r="H19" s="3253">
        <f t="shared" si="0"/>
        <v>8.27</v>
      </c>
    </row>
    <row r="20" spans="1:8">
      <c r="A20" s="3247">
        <v>19</v>
      </c>
      <c r="B20" s="3612"/>
      <c r="C20" s="3606" t="s">
        <v>3181</v>
      </c>
      <c r="D20" s="3606"/>
      <c r="E20" s="3249" t="s">
        <v>3201</v>
      </c>
      <c r="F20" s="3249">
        <v>33.93</v>
      </c>
      <c r="G20" s="3250" t="s">
        <v>3183</v>
      </c>
      <c r="H20" s="3253">
        <f t="shared" si="0"/>
        <v>8.27</v>
      </c>
    </row>
    <row r="21" spans="1:8">
      <c r="A21" s="3247">
        <v>20</v>
      </c>
      <c r="B21" s="3612"/>
      <c r="C21" s="3606" t="s">
        <v>3181</v>
      </c>
      <c r="D21" s="3606"/>
      <c r="E21" s="3249" t="s">
        <v>3202</v>
      </c>
      <c r="F21" s="3249">
        <v>33.93</v>
      </c>
      <c r="G21" s="3250" t="s">
        <v>3183</v>
      </c>
      <c r="H21" s="3253">
        <f t="shared" si="0"/>
        <v>8.27</v>
      </c>
    </row>
    <row r="22" spans="1:8">
      <c r="A22" s="3247">
        <v>21</v>
      </c>
      <c r="B22" s="3612"/>
      <c r="C22" s="3606" t="s">
        <v>3181</v>
      </c>
      <c r="D22" s="3606"/>
      <c r="E22" s="3249" t="s">
        <v>3203</v>
      </c>
      <c r="F22" s="3249">
        <v>32.58</v>
      </c>
      <c r="G22" s="3250" t="s">
        <v>3183</v>
      </c>
      <c r="H22" s="3253">
        <f t="shared" si="0"/>
        <v>7.94</v>
      </c>
    </row>
    <row r="23" spans="1:8">
      <c r="A23" s="3247">
        <v>22</v>
      </c>
      <c r="B23" s="3612"/>
      <c r="C23" s="3606" t="s">
        <v>3181</v>
      </c>
      <c r="D23" s="3606"/>
      <c r="E23" s="3249" t="s">
        <v>3204</v>
      </c>
      <c r="F23" s="3249">
        <v>33.93</v>
      </c>
      <c r="G23" s="3250" t="s">
        <v>3183</v>
      </c>
      <c r="H23" s="3253">
        <f t="shared" si="0"/>
        <v>8.27</v>
      </c>
    </row>
    <row r="24" spans="1:8">
      <c r="A24" s="3247">
        <v>23</v>
      </c>
      <c r="B24" s="3612"/>
      <c r="C24" s="3606" t="s">
        <v>3181</v>
      </c>
      <c r="D24" s="3606"/>
      <c r="E24" s="3249" t="s">
        <v>3205</v>
      </c>
      <c r="F24" s="3249">
        <v>33.93</v>
      </c>
      <c r="G24" s="3250" t="s">
        <v>3183</v>
      </c>
      <c r="H24" s="3253">
        <f t="shared" si="0"/>
        <v>8.27</v>
      </c>
    </row>
    <row r="25" spans="1:8">
      <c r="A25" s="3247">
        <v>24</v>
      </c>
      <c r="B25" s="3612"/>
      <c r="C25" s="3606" t="s">
        <v>3181</v>
      </c>
      <c r="D25" s="3606"/>
      <c r="E25" s="3249" t="s">
        <v>3206</v>
      </c>
      <c r="F25" s="3249">
        <v>33.93</v>
      </c>
      <c r="G25" s="3250" t="s">
        <v>3183</v>
      </c>
      <c r="H25" s="3253">
        <f t="shared" si="0"/>
        <v>8.27</v>
      </c>
    </row>
    <row r="26" spans="1:8">
      <c r="A26" s="3247">
        <v>25</v>
      </c>
      <c r="B26" s="3612"/>
      <c r="C26" s="3606" t="s">
        <v>3181</v>
      </c>
      <c r="D26" s="3606"/>
      <c r="E26" s="3249" t="s">
        <v>3207</v>
      </c>
      <c r="F26" s="3249">
        <v>32.58</v>
      </c>
      <c r="G26" s="3250" t="s">
        <v>3183</v>
      </c>
      <c r="H26" s="3253">
        <f t="shared" si="0"/>
        <v>7.94</v>
      </c>
    </row>
    <row r="27" spans="1:8">
      <c r="A27" s="3247">
        <v>26</v>
      </c>
      <c r="B27" s="3612"/>
      <c r="C27" s="3606" t="s">
        <v>3181</v>
      </c>
      <c r="D27" s="3606"/>
      <c r="E27" s="3249" t="s">
        <v>3208</v>
      </c>
      <c r="F27" s="3249">
        <v>32.58</v>
      </c>
      <c r="G27" s="3250" t="s">
        <v>3183</v>
      </c>
      <c r="H27" s="3253">
        <f t="shared" si="0"/>
        <v>7.94</v>
      </c>
    </row>
    <row r="28" spans="1:8">
      <c r="A28" s="3247">
        <v>27</v>
      </c>
      <c r="B28" s="3612"/>
      <c r="C28" s="3606" t="s">
        <v>3181</v>
      </c>
      <c r="D28" s="3606"/>
      <c r="E28" s="3249" t="s">
        <v>3209</v>
      </c>
      <c r="F28" s="3249">
        <v>32.58</v>
      </c>
      <c r="G28" s="3250" t="s">
        <v>3183</v>
      </c>
      <c r="H28" s="3253">
        <f t="shared" si="0"/>
        <v>7.94</v>
      </c>
    </row>
    <row r="29" spans="1:8">
      <c r="A29" s="3247">
        <v>28</v>
      </c>
      <c r="B29" s="3612"/>
      <c r="C29" s="3606" t="s">
        <v>3181</v>
      </c>
      <c r="D29" s="3606"/>
      <c r="E29" s="3249" t="s">
        <v>3210</v>
      </c>
      <c r="F29" s="3249">
        <v>32.58</v>
      </c>
      <c r="G29" s="3250" t="s">
        <v>3183</v>
      </c>
      <c r="H29" s="3253">
        <f t="shared" si="0"/>
        <v>7.94</v>
      </c>
    </row>
    <row r="30" spans="1:8">
      <c r="A30" s="3247">
        <v>29</v>
      </c>
      <c r="B30" s="3612"/>
      <c r="C30" s="3606" t="s">
        <v>3181</v>
      </c>
      <c r="D30" s="3606"/>
      <c r="E30" s="3249" t="s">
        <v>3211</v>
      </c>
      <c r="F30" s="3249">
        <v>32.58</v>
      </c>
      <c r="G30" s="3250" t="s">
        <v>3183</v>
      </c>
      <c r="H30" s="3253">
        <f t="shared" si="0"/>
        <v>7.94</v>
      </c>
    </row>
    <row r="31" spans="1:8">
      <c r="A31" s="3247">
        <v>30</v>
      </c>
      <c r="B31" s="3612"/>
      <c r="C31" s="3606" t="s">
        <v>3181</v>
      </c>
      <c r="D31" s="3606"/>
      <c r="E31" s="3249" t="s">
        <v>3212</v>
      </c>
      <c r="F31" s="3249">
        <v>32.58</v>
      </c>
      <c r="G31" s="3250" t="s">
        <v>3183</v>
      </c>
      <c r="H31" s="3253">
        <f t="shared" si="0"/>
        <v>7.94</v>
      </c>
    </row>
    <row r="32" spans="1:8">
      <c r="A32" s="3247">
        <v>31</v>
      </c>
      <c r="B32" s="3612"/>
      <c r="C32" s="3606" t="s">
        <v>3181</v>
      </c>
      <c r="D32" s="3606"/>
      <c r="E32" s="3249" t="s">
        <v>3213</v>
      </c>
      <c r="F32" s="3249">
        <v>32.58</v>
      </c>
      <c r="G32" s="3250" t="s">
        <v>3183</v>
      </c>
      <c r="H32" s="3253">
        <f t="shared" si="0"/>
        <v>7.94</v>
      </c>
    </row>
    <row r="33" spans="1:8">
      <c r="A33" s="3247">
        <v>32</v>
      </c>
      <c r="B33" s="3612"/>
      <c r="C33" s="3606" t="s">
        <v>3181</v>
      </c>
      <c r="D33" s="3606"/>
      <c r="E33" s="3249" t="s">
        <v>3214</v>
      </c>
      <c r="F33" s="3249">
        <v>32.58</v>
      </c>
      <c r="G33" s="3250" t="s">
        <v>3183</v>
      </c>
      <c r="H33" s="3253">
        <f t="shared" si="0"/>
        <v>7.94</v>
      </c>
    </row>
    <row r="34" spans="1:8">
      <c r="A34" s="3247">
        <v>33</v>
      </c>
      <c r="B34" s="3612"/>
      <c r="C34" s="3606" t="s">
        <v>3181</v>
      </c>
      <c r="D34" s="3606"/>
      <c r="E34" s="3249" t="s">
        <v>3215</v>
      </c>
      <c r="F34" s="3249">
        <v>32.58</v>
      </c>
      <c r="G34" s="3250" t="s">
        <v>3183</v>
      </c>
      <c r="H34" s="3253">
        <f t="shared" si="0"/>
        <v>7.94</v>
      </c>
    </row>
    <row r="35" spans="1:8">
      <c r="A35" s="3247">
        <v>34</v>
      </c>
      <c r="B35" s="3612"/>
      <c r="C35" s="3606" t="s">
        <v>3181</v>
      </c>
      <c r="D35" s="3606"/>
      <c r="E35" s="3249" t="s">
        <v>3216</v>
      </c>
      <c r="F35" s="3249">
        <v>32.58</v>
      </c>
      <c r="G35" s="3250" t="s">
        <v>3183</v>
      </c>
      <c r="H35" s="3253">
        <f t="shared" si="0"/>
        <v>7.94</v>
      </c>
    </row>
    <row r="36" spans="1:8">
      <c r="A36" s="3247">
        <v>35</v>
      </c>
      <c r="B36" s="3612"/>
      <c r="C36" s="3606" t="s">
        <v>3181</v>
      </c>
      <c r="D36" s="3606"/>
      <c r="E36" s="3249" t="s">
        <v>3217</v>
      </c>
      <c r="F36" s="3249">
        <v>32.58</v>
      </c>
      <c r="G36" s="3250" t="s">
        <v>3183</v>
      </c>
      <c r="H36" s="3253">
        <f t="shared" si="0"/>
        <v>7.94</v>
      </c>
    </row>
    <row r="37" spans="1:8">
      <c r="A37" s="3247">
        <v>36</v>
      </c>
      <c r="B37" s="3612"/>
      <c r="C37" s="3606" t="s">
        <v>3181</v>
      </c>
      <c r="D37" s="3606"/>
      <c r="E37" s="3249" t="s">
        <v>3218</v>
      </c>
      <c r="F37" s="3249">
        <v>32.58</v>
      </c>
      <c r="G37" s="3250" t="s">
        <v>3183</v>
      </c>
      <c r="H37" s="3253">
        <f t="shared" si="0"/>
        <v>7.94</v>
      </c>
    </row>
    <row r="38" spans="1:8">
      <c r="A38" s="3247">
        <v>37</v>
      </c>
      <c r="B38" s="3612"/>
      <c r="C38" s="3606" t="s">
        <v>3181</v>
      </c>
      <c r="D38" s="3606"/>
      <c r="E38" s="3249" t="s">
        <v>3219</v>
      </c>
      <c r="F38" s="3249">
        <v>32.58</v>
      </c>
      <c r="G38" s="3250" t="s">
        <v>3183</v>
      </c>
      <c r="H38" s="3253">
        <f t="shared" si="0"/>
        <v>7.94</v>
      </c>
    </row>
    <row r="39" spans="1:8">
      <c r="A39" s="3247">
        <v>38</v>
      </c>
      <c r="B39" s="3612"/>
      <c r="C39" s="3606" t="s">
        <v>3181</v>
      </c>
      <c r="D39" s="3606"/>
      <c r="E39" s="3249" t="s">
        <v>3220</v>
      </c>
      <c r="F39" s="3249">
        <v>32.58</v>
      </c>
      <c r="G39" s="3250" t="s">
        <v>3183</v>
      </c>
      <c r="H39" s="3253">
        <f t="shared" si="0"/>
        <v>7.94</v>
      </c>
    </row>
    <row r="40" spans="1:8">
      <c r="A40" s="3247">
        <v>39</v>
      </c>
      <c r="B40" s="3612"/>
      <c r="C40" s="3606" t="s">
        <v>3181</v>
      </c>
      <c r="D40" s="3606"/>
      <c r="E40" s="3249" t="s">
        <v>3221</v>
      </c>
      <c r="F40" s="3249">
        <v>32.58</v>
      </c>
      <c r="G40" s="3250" t="s">
        <v>3183</v>
      </c>
      <c r="H40" s="3253">
        <f t="shared" si="0"/>
        <v>7.94</v>
      </c>
    </row>
    <row r="41" spans="1:8">
      <c r="A41" s="3247">
        <v>40</v>
      </c>
      <c r="B41" s="3612"/>
      <c r="C41" s="3606" t="s">
        <v>3181</v>
      </c>
      <c r="D41" s="3606"/>
      <c r="E41" s="3249" t="s">
        <v>3222</v>
      </c>
      <c r="F41" s="3249">
        <v>32.58</v>
      </c>
      <c r="G41" s="3250" t="s">
        <v>3183</v>
      </c>
      <c r="H41" s="3253">
        <f t="shared" si="0"/>
        <v>7.94</v>
      </c>
    </row>
    <row r="42" spans="1:8">
      <c r="A42" s="3247">
        <v>41</v>
      </c>
      <c r="B42" s="3612"/>
      <c r="C42" s="3606" t="s">
        <v>3181</v>
      </c>
      <c r="D42" s="3606"/>
      <c r="E42" s="3249" t="s">
        <v>3223</v>
      </c>
      <c r="F42" s="3249">
        <v>32.58</v>
      </c>
      <c r="G42" s="3250" t="s">
        <v>3183</v>
      </c>
      <c r="H42" s="3253">
        <f t="shared" si="0"/>
        <v>7.94</v>
      </c>
    </row>
    <row r="43" spans="1:8">
      <c r="A43" s="3247">
        <v>42</v>
      </c>
      <c r="B43" s="3612"/>
      <c r="C43" s="3606" t="s">
        <v>3181</v>
      </c>
      <c r="D43" s="3606"/>
      <c r="E43" s="3249" t="s">
        <v>3224</v>
      </c>
      <c r="F43" s="3249">
        <v>32.58</v>
      </c>
      <c r="G43" s="3250" t="s">
        <v>3183</v>
      </c>
      <c r="H43" s="3253">
        <f t="shared" si="0"/>
        <v>7.94</v>
      </c>
    </row>
    <row r="44" spans="1:8">
      <c r="A44" s="3247">
        <v>43</v>
      </c>
      <c r="B44" s="3612"/>
      <c r="C44" s="3606" t="s">
        <v>3181</v>
      </c>
      <c r="D44" s="3606"/>
      <c r="E44" s="3249" t="s">
        <v>3225</v>
      </c>
      <c r="F44" s="3249">
        <v>32.58</v>
      </c>
      <c r="G44" s="3250" t="s">
        <v>3183</v>
      </c>
      <c r="H44" s="3253">
        <f t="shared" si="0"/>
        <v>7.94</v>
      </c>
    </row>
    <row r="45" spans="1:8">
      <c r="A45" s="3247">
        <v>44</v>
      </c>
      <c r="B45" s="3612"/>
      <c r="C45" s="3606" t="s">
        <v>3181</v>
      </c>
      <c r="D45" s="3606"/>
      <c r="E45" s="3249" t="s">
        <v>3226</v>
      </c>
      <c r="F45" s="3249">
        <v>32.58</v>
      </c>
      <c r="G45" s="3250" t="s">
        <v>3183</v>
      </c>
      <c r="H45" s="3253">
        <f t="shared" si="0"/>
        <v>7.94</v>
      </c>
    </row>
    <row r="46" spans="1:8">
      <c r="A46" s="3247">
        <v>45</v>
      </c>
      <c r="B46" s="3612"/>
      <c r="C46" s="3606" t="s">
        <v>3181</v>
      </c>
      <c r="D46" s="3606"/>
      <c r="E46" s="3249" t="s">
        <v>3227</v>
      </c>
      <c r="F46" s="3249">
        <v>32.58</v>
      </c>
      <c r="G46" s="3250" t="s">
        <v>3183</v>
      </c>
      <c r="H46" s="3253">
        <f t="shared" si="0"/>
        <v>7.94</v>
      </c>
    </row>
    <row r="47" spans="1:8">
      <c r="A47" s="3247">
        <v>46</v>
      </c>
      <c r="B47" s="3612"/>
      <c r="C47" s="3606" t="s">
        <v>3181</v>
      </c>
      <c r="D47" s="3606"/>
      <c r="E47" s="3249" t="s">
        <v>3228</v>
      </c>
      <c r="F47" s="3249">
        <v>32.58</v>
      </c>
      <c r="G47" s="3250" t="s">
        <v>3183</v>
      </c>
      <c r="H47" s="3253">
        <f t="shared" si="0"/>
        <v>7.94</v>
      </c>
    </row>
    <row r="48" spans="1:8">
      <c r="A48" s="3247">
        <v>47</v>
      </c>
      <c r="B48" s="3612"/>
      <c r="C48" s="3606" t="s">
        <v>3181</v>
      </c>
      <c r="D48" s="3606"/>
      <c r="E48" s="3249" t="s">
        <v>3229</v>
      </c>
      <c r="F48" s="3249">
        <v>32.58</v>
      </c>
      <c r="G48" s="3250" t="s">
        <v>3183</v>
      </c>
      <c r="H48" s="3253">
        <f t="shared" si="0"/>
        <v>7.94</v>
      </c>
    </row>
    <row r="49" spans="1:8">
      <c r="A49" s="3247">
        <v>48</v>
      </c>
      <c r="B49" s="3612"/>
      <c r="C49" s="3606" t="s">
        <v>3181</v>
      </c>
      <c r="D49" s="3606"/>
      <c r="E49" s="3249" t="s">
        <v>3230</v>
      </c>
      <c r="F49" s="3249">
        <v>32.58</v>
      </c>
      <c r="G49" s="3250" t="s">
        <v>3183</v>
      </c>
      <c r="H49" s="3253">
        <f t="shared" si="0"/>
        <v>7.94</v>
      </c>
    </row>
    <row r="50" spans="1:8">
      <c r="A50" s="3247">
        <v>49</v>
      </c>
      <c r="B50" s="3612"/>
      <c r="C50" s="3606" t="s">
        <v>3181</v>
      </c>
      <c r="D50" s="3606"/>
      <c r="E50" s="3249" t="s">
        <v>3231</v>
      </c>
      <c r="F50" s="3249">
        <v>32.58</v>
      </c>
      <c r="G50" s="3250" t="s">
        <v>3183</v>
      </c>
      <c r="H50" s="3253">
        <f t="shared" si="0"/>
        <v>7.94</v>
      </c>
    </row>
    <row r="51" spans="1:8">
      <c r="A51" s="3247">
        <v>50</v>
      </c>
      <c r="B51" s="3612"/>
      <c r="C51" s="3606" t="s">
        <v>3181</v>
      </c>
      <c r="D51" s="3606"/>
      <c r="E51" s="3249" t="s">
        <v>3232</v>
      </c>
      <c r="F51" s="3249">
        <v>32.58</v>
      </c>
      <c r="G51" s="3250" t="s">
        <v>3183</v>
      </c>
      <c r="H51" s="3253">
        <f t="shared" si="0"/>
        <v>7.94</v>
      </c>
    </row>
    <row r="52" spans="1:8">
      <c r="A52" s="3247">
        <v>51</v>
      </c>
      <c r="B52" s="3612"/>
      <c r="C52" s="3606" t="s">
        <v>3181</v>
      </c>
      <c r="D52" s="3606"/>
      <c r="E52" s="3249" t="s">
        <v>3233</v>
      </c>
      <c r="F52" s="3249">
        <v>32.58</v>
      </c>
      <c r="G52" s="3250" t="s">
        <v>3183</v>
      </c>
      <c r="H52" s="3253">
        <f t="shared" si="0"/>
        <v>7.94</v>
      </c>
    </row>
    <row r="53" spans="1:8">
      <c r="A53" s="3247">
        <v>52</v>
      </c>
      <c r="B53" s="3612"/>
      <c r="C53" s="3606" t="s">
        <v>3181</v>
      </c>
      <c r="D53" s="3606"/>
      <c r="E53" s="3249" t="s">
        <v>3234</v>
      </c>
      <c r="F53" s="3249">
        <v>32.58</v>
      </c>
      <c r="G53" s="3250" t="s">
        <v>3183</v>
      </c>
      <c r="H53" s="3253">
        <f t="shared" si="0"/>
        <v>7.94</v>
      </c>
    </row>
    <row r="54" spans="1:8">
      <c r="A54" s="3247">
        <v>53</v>
      </c>
      <c r="B54" s="3612"/>
      <c r="C54" s="3606" t="s">
        <v>3181</v>
      </c>
      <c r="D54" s="3606"/>
      <c r="E54" s="3249" t="s">
        <v>3235</v>
      </c>
      <c r="F54" s="3249">
        <v>32.58</v>
      </c>
      <c r="G54" s="3250" t="s">
        <v>3183</v>
      </c>
      <c r="H54" s="3253">
        <f t="shared" si="0"/>
        <v>7.94</v>
      </c>
    </row>
    <row r="55" spans="1:8">
      <c r="A55" s="3247">
        <v>54</v>
      </c>
      <c r="B55" s="3612"/>
      <c r="C55" s="3606" t="s">
        <v>3181</v>
      </c>
      <c r="D55" s="3606"/>
      <c r="E55" s="3249" t="s">
        <v>3236</v>
      </c>
      <c r="F55" s="3249">
        <v>32.58</v>
      </c>
      <c r="G55" s="3250" t="s">
        <v>3183</v>
      </c>
      <c r="H55" s="3253">
        <f t="shared" si="0"/>
        <v>7.94</v>
      </c>
    </row>
    <row r="56" spans="1:8">
      <c r="A56" s="3247">
        <v>55</v>
      </c>
      <c r="B56" s="3612"/>
      <c r="C56" s="3606" t="s">
        <v>3181</v>
      </c>
      <c r="D56" s="3606"/>
      <c r="E56" s="3249" t="s">
        <v>3237</v>
      </c>
      <c r="F56" s="3249">
        <v>32.58</v>
      </c>
      <c r="G56" s="3250" t="s">
        <v>3183</v>
      </c>
      <c r="H56" s="3253">
        <f t="shared" si="0"/>
        <v>7.94</v>
      </c>
    </row>
    <row r="57" spans="1:8">
      <c r="A57" s="3247">
        <v>56</v>
      </c>
      <c r="B57" s="3612"/>
      <c r="C57" s="3606" t="s">
        <v>3181</v>
      </c>
      <c r="D57" s="3606"/>
      <c r="E57" s="3249" t="s">
        <v>3238</v>
      </c>
      <c r="F57" s="3249">
        <v>32.58</v>
      </c>
      <c r="G57" s="3250" t="s">
        <v>3183</v>
      </c>
      <c r="H57" s="3253">
        <f t="shared" si="0"/>
        <v>7.94</v>
      </c>
    </row>
    <row r="58" spans="1:8">
      <c r="A58" s="3247">
        <v>57</v>
      </c>
      <c r="B58" s="3612"/>
      <c r="C58" s="3606" t="s">
        <v>3181</v>
      </c>
      <c r="D58" s="3606"/>
      <c r="E58" s="3249" t="s">
        <v>3239</v>
      </c>
      <c r="F58" s="3249">
        <v>32.58</v>
      </c>
      <c r="G58" s="3250" t="s">
        <v>3183</v>
      </c>
      <c r="H58" s="3253">
        <f t="shared" si="0"/>
        <v>7.94</v>
      </c>
    </row>
    <row r="59" spans="1:8">
      <c r="A59" s="3247">
        <v>58</v>
      </c>
      <c r="B59" s="3612"/>
      <c r="C59" s="3606" t="s">
        <v>3181</v>
      </c>
      <c r="D59" s="3606"/>
      <c r="E59" s="3249" t="s">
        <v>3240</v>
      </c>
      <c r="F59" s="3249">
        <v>32.58</v>
      </c>
      <c r="G59" s="3250" t="s">
        <v>3183</v>
      </c>
      <c r="H59" s="3253">
        <f t="shared" si="0"/>
        <v>7.94</v>
      </c>
    </row>
    <row r="60" spans="1:8">
      <c r="A60" s="3247">
        <v>59</v>
      </c>
      <c r="B60" s="3612"/>
      <c r="C60" s="3606" t="s">
        <v>3181</v>
      </c>
      <c r="D60" s="3606"/>
      <c r="E60" s="3249" t="s">
        <v>3241</v>
      </c>
      <c r="F60" s="3249">
        <v>32.58</v>
      </c>
      <c r="G60" s="3250" t="s">
        <v>3183</v>
      </c>
      <c r="H60" s="3253">
        <f t="shared" si="0"/>
        <v>7.94</v>
      </c>
    </row>
    <row r="61" spans="1:8">
      <c r="A61" s="3247">
        <v>60</v>
      </c>
      <c r="B61" s="3612"/>
      <c r="C61" s="3606" t="s">
        <v>3181</v>
      </c>
      <c r="D61" s="3606"/>
      <c r="E61" s="3249" t="s">
        <v>3242</v>
      </c>
      <c r="F61" s="3249">
        <v>32.58</v>
      </c>
      <c r="G61" s="3250" t="s">
        <v>3183</v>
      </c>
      <c r="H61" s="3253">
        <f t="shared" si="0"/>
        <v>7.94</v>
      </c>
    </row>
    <row r="62" spans="1:8">
      <c r="A62" s="3247">
        <v>61</v>
      </c>
      <c r="B62" s="3612"/>
      <c r="C62" s="3606" t="s">
        <v>3181</v>
      </c>
      <c r="D62" s="3606"/>
      <c r="E62" s="3249" t="s">
        <v>3243</v>
      </c>
      <c r="F62" s="3249">
        <v>32.58</v>
      </c>
      <c r="G62" s="3250" t="s">
        <v>3183</v>
      </c>
      <c r="H62" s="3253">
        <f t="shared" si="0"/>
        <v>7.94</v>
      </c>
    </row>
    <row r="63" spans="1:8">
      <c r="A63" s="3247">
        <v>62</v>
      </c>
      <c r="B63" s="3612"/>
      <c r="C63" s="3606" t="s">
        <v>3181</v>
      </c>
      <c r="D63" s="3606"/>
      <c r="E63" s="3249" t="s">
        <v>3244</v>
      </c>
      <c r="F63" s="3249">
        <v>32.58</v>
      </c>
      <c r="G63" s="3250" t="s">
        <v>3183</v>
      </c>
      <c r="H63" s="3253">
        <f t="shared" si="0"/>
        <v>7.94</v>
      </c>
    </row>
    <row r="64" spans="1:8">
      <c r="A64" s="3247">
        <v>63</v>
      </c>
      <c r="B64" s="3612"/>
      <c r="C64" s="3606" t="s">
        <v>3181</v>
      </c>
      <c r="D64" s="3606"/>
      <c r="E64" s="3249" t="s">
        <v>3245</v>
      </c>
      <c r="F64" s="3249">
        <v>32.58</v>
      </c>
      <c r="G64" s="3250" t="s">
        <v>3183</v>
      </c>
      <c r="H64" s="3253">
        <f t="shared" si="0"/>
        <v>7.94</v>
      </c>
    </row>
    <row r="65" spans="1:8">
      <c r="A65" s="3247">
        <v>64</v>
      </c>
      <c r="B65" s="3612"/>
      <c r="C65" s="3606" t="s">
        <v>3181</v>
      </c>
      <c r="D65" s="3606"/>
      <c r="E65" s="3249" t="s">
        <v>3246</v>
      </c>
      <c r="F65" s="3249">
        <v>32.58</v>
      </c>
      <c r="G65" s="3250" t="s">
        <v>3183</v>
      </c>
      <c r="H65" s="3253">
        <f t="shared" si="0"/>
        <v>7.94</v>
      </c>
    </row>
    <row r="66" spans="1:8">
      <c r="A66" s="3247">
        <v>65</v>
      </c>
      <c r="B66" s="3612"/>
      <c r="C66" s="3606" t="s">
        <v>3181</v>
      </c>
      <c r="D66" s="3606"/>
      <c r="E66" s="3249" t="s">
        <v>3247</v>
      </c>
      <c r="F66" s="3249">
        <v>32.58</v>
      </c>
      <c r="G66" s="3250" t="s">
        <v>3183</v>
      </c>
      <c r="H66" s="3253">
        <f t="shared" si="0"/>
        <v>7.94</v>
      </c>
    </row>
    <row r="67" spans="1:8">
      <c r="A67" s="3247">
        <v>66</v>
      </c>
      <c r="B67" s="3612"/>
      <c r="C67" s="3606" t="s">
        <v>3181</v>
      </c>
      <c r="D67" s="3606"/>
      <c r="E67" s="3249" t="s">
        <v>3248</v>
      </c>
      <c r="F67" s="3249">
        <v>32.58</v>
      </c>
      <c r="G67" s="3250" t="s">
        <v>3183</v>
      </c>
      <c r="H67" s="3253">
        <f t="shared" ref="H67:H130" si="1">ROUND(F67/$J$4*$K$4,2)</f>
        <v>7.94</v>
      </c>
    </row>
    <row r="68" spans="1:8">
      <c r="A68" s="3247">
        <v>67</v>
      </c>
      <c r="B68" s="3612"/>
      <c r="C68" s="3606" t="s">
        <v>3181</v>
      </c>
      <c r="D68" s="3606"/>
      <c r="E68" s="3249" t="s">
        <v>3249</v>
      </c>
      <c r="F68" s="3249">
        <v>32.58</v>
      </c>
      <c r="G68" s="3250" t="s">
        <v>3183</v>
      </c>
      <c r="H68" s="3253">
        <f t="shared" si="1"/>
        <v>7.94</v>
      </c>
    </row>
    <row r="69" spans="1:8">
      <c r="A69" s="3247">
        <v>68</v>
      </c>
      <c r="B69" s="3612"/>
      <c r="C69" s="3606" t="s">
        <v>3181</v>
      </c>
      <c r="D69" s="3606"/>
      <c r="E69" s="3249" t="s">
        <v>3250</v>
      </c>
      <c r="F69" s="3249">
        <v>32.58</v>
      </c>
      <c r="G69" s="3250" t="s">
        <v>3183</v>
      </c>
      <c r="H69" s="3253">
        <f t="shared" si="1"/>
        <v>7.94</v>
      </c>
    </row>
    <row r="70" spans="1:8">
      <c r="A70" s="3247">
        <v>69</v>
      </c>
      <c r="B70" s="3612"/>
      <c r="C70" s="3606" t="s">
        <v>3181</v>
      </c>
      <c r="D70" s="3606"/>
      <c r="E70" s="3249" t="s">
        <v>3251</v>
      </c>
      <c r="F70" s="3249">
        <v>32.58</v>
      </c>
      <c r="G70" s="3250" t="s">
        <v>3183</v>
      </c>
      <c r="H70" s="3253">
        <f t="shared" si="1"/>
        <v>7.94</v>
      </c>
    </row>
    <row r="71" spans="1:8">
      <c r="A71" s="3247">
        <v>70</v>
      </c>
      <c r="B71" s="3612"/>
      <c r="C71" s="3606" t="s">
        <v>3181</v>
      </c>
      <c r="D71" s="3606"/>
      <c r="E71" s="3249" t="s">
        <v>3252</v>
      </c>
      <c r="F71" s="3249">
        <v>32.58</v>
      </c>
      <c r="G71" s="3250" t="s">
        <v>3183</v>
      </c>
      <c r="H71" s="3253">
        <f t="shared" si="1"/>
        <v>7.94</v>
      </c>
    </row>
    <row r="72" spans="1:8">
      <c r="A72" s="3247">
        <v>71</v>
      </c>
      <c r="B72" s="3612"/>
      <c r="C72" s="3606" t="s">
        <v>3181</v>
      </c>
      <c r="D72" s="3606"/>
      <c r="E72" s="3249" t="s">
        <v>3253</v>
      </c>
      <c r="F72" s="3249">
        <v>32.58</v>
      </c>
      <c r="G72" s="3250" t="s">
        <v>3183</v>
      </c>
      <c r="H72" s="3253">
        <f t="shared" si="1"/>
        <v>7.94</v>
      </c>
    </row>
    <row r="73" spans="1:8">
      <c r="A73" s="3247">
        <v>72</v>
      </c>
      <c r="B73" s="3612"/>
      <c r="C73" s="3606" t="s">
        <v>3181</v>
      </c>
      <c r="D73" s="3606"/>
      <c r="E73" s="3249" t="s">
        <v>3254</v>
      </c>
      <c r="F73" s="3249">
        <v>32.58</v>
      </c>
      <c r="G73" s="3250" t="s">
        <v>3183</v>
      </c>
      <c r="H73" s="3253">
        <f t="shared" si="1"/>
        <v>7.94</v>
      </c>
    </row>
    <row r="74" spans="1:8">
      <c r="A74" s="3247">
        <v>73</v>
      </c>
      <c r="B74" s="3612"/>
      <c r="C74" s="3606" t="s">
        <v>3181</v>
      </c>
      <c r="D74" s="3606"/>
      <c r="E74" s="3249" t="s">
        <v>3255</v>
      </c>
      <c r="F74" s="3249">
        <v>32.58</v>
      </c>
      <c r="G74" s="3250" t="s">
        <v>3183</v>
      </c>
      <c r="H74" s="3253">
        <f t="shared" si="1"/>
        <v>7.94</v>
      </c>
    </row>
    <row r="75" spans="1:8">
      <c r="A75" s="3247">
        <v>74</v>
      </c>
      <c r="B75" s="3612"/>
      <c r="C75" s="3606" t="s">
        <v>3181</v>
      </c>
      <c r="D75" s="3606"/>
      <c r="E75" s="3249" t="s">
        <v>3256</v>
      </c>
      <c r="F75" s="3249">
        <v>32.58</v>
      </c>
      <c r="G75" s="3250" t="s">
        <v>3183</v>
      </c>
      <c r="H75" s="3253">
        <f t="shared" si="1"/>
        <v>7.94</v>
      </c>
    </row>
    <row r="76" spans="1:8">
      <c r="A76" s="3247">
        <v>75</v>
      </c>
      <c r="B76" s="3612"/>
      <c r="C76" s="3606" t="s">
        <v>3181</v>
      </c>
      <c r="D76" s="3606"/>
      <c r="E76" s="3249" t="s">
        <v>3257</v>
      </c>
      <c r="F76" s="3249">
        <v>33.93</v>
      </c>
      <c r="G76" s="3250" t="s">
        <v>3183</v>
      </c>
      <c r="H76" s="3253">
        <f t="shared" si="1"/>
        <v>8.27</v>
      </c>
    </row>
    <row r="77" spans="1:8">
      <c r="A77" s="3247">
        <v>76</v>
      </c>
      <c r="B77" s="3612"/>
      <c r="C77" s="3606" t="s">
        <v>3181</v>
      </c>
      <c r="D77" s="3606"/>
      <c r="E77" s="3249" t="s">
        <v>3258</v>
      </c>
      <c r="F77" s="3249">
        <v>33.93</v>
      </c>
      <c r="G77" s="3250" t="s">
        <v>3183</v>
      </c>
      <c r="H77" s="3253">
        <f t="shared" si="1"/>
        <v>8.27</v>
      </c>
    </row>
    <row r="78" spans="1:8">
      <c r="A78" s="3247">
        <v>77</v>
      </c>
      <c r="B78" s="3612"/>
      <c r="C78" s="3606" t="s">
        <v>3181</v>
      </c>
      <c r="D78" s="3606"/>
      <c r="E78" s="3249" t="s">
        <v>3259</v>
      </c>
      <c r="F78" s="3249">
        <v>33.93</v>
      </c>
      <c r="G78" s="3250" t="s">
        <v>3183</v>
      </c>
      <c r="H78" s="3253">
        <f t="shared" si="1"/>
        <v>8.27</v>
      </c>
    </row>
    <row r="79" spans="1:8">
      <c r="A79" s="3247">
        <v>78</v>
      </c>
      <c r="B79" s="3612"/>
      <c r="C79" s="3606" t="s">
        <v>3181</v>
      </c>
      <c r="D79" s="3606"/>
      <c r="E79" s="3249" t="s">
        <v>3260</v>
      </c>
      <c r="F79" s="3249">
        <v>33.93</v>
      </c>
      <c r="G79" s="3250" t="s">
        <v>3183</v>
      </c>
      <c r="H79" s="3253">
        <f t="shared" si="1"/>
        <v>8.27</v>
      </c>
    </row>
    <row r="80" spans="1:8">
      <c r="A80" s="3247">
        <v>79</v>
      </c>
      <c r="B80" s="3612"/>
      <c r="C80" s="3606" t="s">
        <v>3181</v>
      </c>
      <c r="D80" s="3606"/>
      <c r="E80" s="3249" t="s">
        <v>3261</v>
      </c>
      <c r="F80" s="3249">
        <v>33.93</v>
      </c>
      <c r="G80" s="3250" t="s">
        <v>3183</v>
      </c>
      <c r="H80" s="3253">
        <f t="shared" si="1"/>
        <v>8.27</v>
      </c>
    </row>
    <row r="81" spans="1:8">
      <c r="A81" s="3247">
        <v>80</v>
      </c>
      <c r="B81" s="3612"/>
      <c r="C81" s="3606" t="s">
        <v>3181</v>
      </c>
      <c r="D81" s="3606"/>
      <c r="E81" s="3249" t="s">
        <v>3262</v>
      </c>
      <c r="F81" s="3249">
        <v>33.93</v>
      </c>
      <c r="G81" s="3250" t="s">
        <v>3183</v>
      </c>
      <c r="H81" s="3253">
        <f t="shared" si="1"/>
        <v>8.27</v>
      </c>
    </row>
    <row r="82" spans="1:8">
      <c r="A82" s="3247">
        <v>81</v>
      </c>
      <c r="B82" s="3612"/>
      <c r="C82" s="3606" t="s">
        <v>3181</v>
      </c>
      <c r="D82" s="3606"/>
      <c r="E82" s="3249" t="s">
        <v>3263</v>
      </c>
      <c r="F82" s="3249">
        <v>33.93</v>
      </c>
      <c r="G82" s="3250" t="s">
        <v>3183</v>
      </c>
      <c r="H82" s="3253">
        <f t="shared" si="1"/>
        <v>8.27</v>
      </c>
    </row>
    <row r="83" spans="1:8">
      <c r="A83" s="3247">
        <v>82</v>
      </c>
      <c r="B83" s="3612"/>
      <c r="C83" s="3606" t="s">
        <v>3181</v>
      </c>
      <c r="D83" s="3606"/>
      <c r="E83" s="3249" t="s">
        <v>3264</v>
      </c>
      <c r="F83" s="3249">
        <v>33.93</v>
      </c>
      <c r="G83" s="3250" t="s">
        <v>3183</v>
      </c>
      <c r="H83" s="3253">
        <f t="shared" si="1"/>
        <v>8.27</v>
      </c>
    </row>
    <row r="84" spans="1:8">
      <c r="A84" s="3247">
        <v>83</v>
      </c>
      <c r="B84" s="3612"/>
      <c r="C84" s="3606" t="s">
        <v>3181</v>
      </c>
      <c r="D84" s="3606"/>
      <c r="E84" s="3249" t="s">
        <v>3265</v>
      </c>
      <c r="F84" s="3249">
        <v>33.93</v>
      </c>
      <c r="G84" s="3250" t="s">
        <v>3183</v>
      </c>
      <c r="H84" s="3253">
        <f t="shared" si="1"/>
        <v>8.27</v>
      </c>
    </row>
    <row r="85" spans="1:8">
      <c r="A85" s="3247">
        <v>84</v>
      </c>
      <c r="B85" s="3612"/>
      <c r="C85" s="3606" t="s">
        <v>3181</v>
      </c>
      <c r="D85" s="3606"/>
      <c r="E85" s="3249" t="s">
        <v>3266</v>
      </c>
      <c r="F85" s="3249">
        <v>33.93</v>
      </c>
      <c r="G85" s="3250" t="s">
        <v>3183</v>
      </c>
      <c r="H85" s="3253">
        <f t="shared" si="1"/>
        <v>8.27</v>
      </c>
    </row>
    <row r="86" spans="1:8">
      <c r="A86" s="3247">
        <v>85</v>
      </c>
      <c r="B86" s="3612"/>
      <c r="C86" s="3606" t="s">
        <v>3181</v>
      </c>
      <c r="D86" s="3606"/>
      <c r="E86" s="3249" t="s">
        <v>3267</v>
      </c>
      <c r="F86" s="3249">
        <v>33.93</v>
      </c>
      <c r="G86" s="3250" t="s">
        <v>3183</v>
      </c>
      <c r="H86" s="3253">
        <f t="shared" si="1"/>
        <v>8.27</v>
      </c>
    </row>
    <row r="87" spans="1:8">
      <c r="A87" s="3247">
        <v>86</v>
      </c>
      <c r="B87" s="3612"/>
      <c r="C87" s="3606" t="s">
        <v>3181</v>
      </c>
      <c r="D87" s="3606"/>
      <c r="E87" s="3249" t="s">
        <v>3268</v>
      </c>
      <c r="F87" s="3249">
        <v>33.93</v>
      </c>
      <c r="G87" s="3250" t="s">
        <v>3183</v>
      </c>
      <c r="H87" s="3253">
        <f t="shared" si="1"/>
        <v>8.27</v>
      </c>
    </row>
    <row r="88" spans="1:8">
      <c r="A88" s="3247">
        <v>87</v>
      </c>
      <c r="B88" s="3612"/>
      <c r="C88" s="3606" t="s">
        <v>3181</v>
      </c>
      <c r="D88" s="3606"/>
      <c r="E88" s="3249" t="s">
        <v>3269</v>
      </c>
      <c r="F88" s="3249">
        <v>33.36</v>
      </c>
      <c r="G88" s="3250" t="s">
        <v>3183</v>
      </c>
      <c r="H88" s="3253">
        <f t="shared" si="1"/>
        <v>8.1300000000000008</v>
      </c>
    </row>
    <row r="89" spans="1:8">
      <c r="A89" s="3247">
        <v>88</v>
      </c>
      <c r="B89" s="3612"/>
      <c r="C89" s="3606" t="s">
        <v>3181</v>
      </c>
      <c r="D89" s="3606"/>
      <c r="E89" s="3249" t="s">
        <v>3270</v>
      </c>
      <c r="F89" s="3249">
        <v>33.36</v>
      </c>
      <c r="G89" s="3250" t="s">
        <v>3183</v>
      </c>
      <c r="H89" s="3253">
        <f t="shared" si="1"/>
        <v>8.1300000000000008</v>
      </c>
    </row>
    <row r="90" spans="1:8">
      <c r="A90" s="3247">
        <v>89</v>
      </c>
      <c r="B90" s="3612"/>
      <c r="C90" s="3606" t="s">
        <v>3181</v>
      </c>
      <c r="D90" s="3606"/>
      <c r="E90" s="3249" t="s">
        <v>3271</v>
      </c>
      <c r="F90" s="3249">
        <v>32.020000000000003</v>
      </c>
      <c r="G90" s="3250" t="s">
        <v>3183</v>
      </c>
      <c r="H90" s="3253">
        <f t="shared" si="1"/>
        <v>7.81</v>
      </c>
    </row>
    <row r="91" spans="1:8">
      <c r="A91" s="3247">
        <v>90</v>
      </c>
      <c r="B91" s="3612"/>
      <c r="C91" s="3606" t="s">
        <v>3181</v>
      </c>
      <c r="D91" s="3606"/>
      <c r="E91" s="3249" t="s">
        <v>3272</v>
      </c>
      <c r="F91" s="3249">
        <v>32.020000000000003</v>
      </c>
      <c r="G91" s="3250" t="s">
        <v>3183</v>
      </c>
      <c r="H91" s="3253">
        <f t="shared" si="1"/>
        <v>7.81</v>
      </c>
    </row>
    <row r="92" spans="1:8">
      <c r="A92" s="3247">
        <v>91</v>
      </c>
      <c r="B92" s="3612"/>
      <c r="C92" s="3606" t="s">
        <v>3181</v>
      </c>
      <c r="D92" s="3606"/>
      <c r="E92" s="3249" t="s">
        <v>3273</v>
      </c>
      <c r="F92" s="3249">
        <v>32.020000000000003</v>
      </c>
      <c r="G92" s="3250" t="s">
        <v>3183</v>
      </c>
      <c r="H92" s="3253">
        <f t="shared" si="1"/>
        <v>7.81</v>
      </c>
    </row>
    <row r="93" spans="1:8">
      <c r="A93" s="3247">
        <v>92</v>
      </c>
      <c r="B93" s="3612"/>
      <c r="C93" s="3606" t="s">
        <v>3181</v>
      </c>
      <c r="D93" s="3606"/>
      <c r="E93" s="3249" t="s">
        <v>3274</v>
      </c>
      <c r="F93" s="3249">
        <v>32.020000000000003</v>
      </c>
      <c r="G93" s="3250" t="s">
        <v>3183</v>
      </c>
      <c r="H93" s="3253">
        <f t="shared" si="1"/>
        <v>7.81</v>
      </c>
    </row>
    <row r="94" spans="1:8">
      <c r="A94" s="3247">
        <v>93</v>
      </c>
      <c r="B94" s="3612"/>
      <c r="C94" s="3606" t="s">
        <v>3181</v>
      </c>
      <c r="D94" s="3606"/>
      <c r="E94" s="3249" t="s">
        <v>3275</v>
      </c>
      <c r="F94" s="3249">
        <v>32.020000000000003</v>
      </c>
      <c r="G94" s="3250" t="s">
        <v>3183</v>
      </c>
      <c r="H94" s="3253">
        <f t="shared" si="1"/>
        <v>7.81</v>
      </c>
    </row>
    <row r="95" spans="1:8">
      <c r="A95" s="3247">
        <v>94</v>
      </c>
      <c r="B95" s="3612"/>
      <c r="C95" s="3606" t="s">
        <v>3181</v>
      </c>
      <c r="D95" s="3606"/>
      <c r="E95" s="3249" t="s">
        <v>3276</v>
      </c>
      <c r="F95" s="3249">
        <v>32.020000000000003</v>
      </c>
      <c r="G95" s="3250" t="s">
        <v>3183</v>
      </c>
      <c r="H95" s="3253">
        <f t="shared" si="1"/>
        <v>7.81</v>
      </c>
    </row>
    <row r="96" spans="1:8">
      <c r="A96" s="3247">
        <v>95</v>
      </c>
      <c r="B96" s="3612"/>
      <c r="C96" s="3606" t="s">
        <v>3181</v>
      </c>
      <c r="D96" s="3606"/>
      <c r="E96" s="3249" t="s">
        <v>3277</v>
      </c>
      <c r="F96" s="3249">
        <v>32.020000000000003</v>
      </c>
      <c r="G96" s="3250" t="s">
        <v>3183</v>
      </c>
      <c r="H96" s="3253">
        <f t="shared" si="1"/>
        <v>7.81</v>
      </c>
    </row>
    <row r="97" spans="1:8">
      <c r="A97" s="3247">
        <v>96</v>
      </c>
      <c r="B97" s="3612"/>
      <c r="C97" s="3606" t="s">
        <v>3181</v>
      </c>
      <c r="D97" s="3606"/>
      <c r="E97" s="3249" t="s">
        <v>3278</v>
      </c>
      <c r="F97" s="3249">
        <v>32.020000000000003</v>
      </c>
      <c r="G97" s="3250" t="s">
        <v>3183</v>
      </c>
      <c r="H97" s="3253">
        <f t="shared" si="1"/>
        <v>7.81</v>
      </c>
    </row>
    <row r="98" spans="1:8">
      <c r="A98" s="3247">
        <v>97</v>
      </c>
      <c r="B98" s="3612"/>
      <c r="C98" s="3606" t="s">
        <v>3181</v>
      </c>
      <c r="D98" s="3606"/>
      <c r="E98" s="3249" t="s">
        <v>3279</v>
      </c>
      <c r="F98" s="3249">
        <v>32.020000000000003</v>
      </c>
      <c r="G98" s="3250" t="s">
        <v>3183</v>
      </c>
      <c r="H98" s="3253">
        <f t="shared" si="1"/>
        <v>7.81</v>
      </c>
    </row>
    <row r="99" spans="1:8">
      <c r="A99" s="3247">
        <v>98</v>
      </c>
      <c r="B99" s="3612"/>
      <c r="C99" s="3606" t="s">
        <v>3181</v>
      </c>
      <c r="D99" s="3606"/>
      <c r="E99" s="3249" t="s">
        <v>3280</v>
      </c>
      <c r="F99" s="3249">
        <v>33.36</v>
      </c>
      <c r="G99" s="3250" t="s">
        <v>3183</v>
      </c>
      <c r="H99" s="3253">
        <f t="shared" si="1"/>
        <v>8.1300000000000008</v>
      </c>
    </row>
    <row r="100" spans="1:8">
      <c r="A100" s="3247">
        <v>99</v>
      </c>
      <c r="B100" s="3612"/>
      <c r="C100" s="3606" t="s">
        <v>3181</v>
      </c>
      <c r="D100" s="3606"/>
      <c r="E100" s="3249" t="s">
        <v>3281</v>
      </c>
      <c r="F100" s="3249">
        <v>33.36</v>
      </c>
      <c r="G100" s="3250" t="s">
        <v>3183</v>
      </c>
      <c r="H100" s="3253">
        <f t="shared" si="1"/>
        <v>8.1300000000000008</v>
      </c>
    </row>
    <row r="101" spans="1:8">
      <c r="A101" s="3247">
        <v>100</v>
      </c>
      <c r="B101" s="3612"/>
      <c r="C101" s="3606" t="s">
        <v>3181</v>
      </c>
      <c r="D101" s="3606"/>
      <c r="E101" s="3249" t="s">
        <v>3282</v>
      </c>
      <c r="F101" s="3249">
        <v>33.36</v>
      </c>
      <c r="G101" s="3250" t="s">
        <v>3183</v>
      </c>
      <c r="H101" s="3253">
        <f t="shared" si="1"/>
        <v>8.1300000000000008</v>
      </c>
    </row>
    <row r="102" spans="1:8">
      <c r="A102" s="3247">
        <v>101</v>
      </c>
      <c r="B102" s="3612"/>
      <c r="C102" s="3606" t="s">
        <v>3181</v>
      </c>
      <c r="D102" s="3606"/>
      <c r="E102" s="3249" t="s">
        <v>3283</v>
      </c>
      <c r="F102" s="3249">
        <v>32.020000000000003</v>
      </c>
      <c r="G102" s="3250" t="s">
        <v>3183</v>
      </c>
      <c r="H102" s="3253">
        <f t="shared" si="1"/>
        <v>7.81</v>
      </c>
    </row>
    <row r="103" spans="1:8">
      <c r="A103" s="3247">
        <v>102</v>
      </c>
      <c r="B103" s="3612"/>
      <c r="C103" s="3606" t="s">
        <v>3181</v>
      </c>
      <c r="D103" s="3606"/>
      <c r="E103" s="3249" t="s">
        <v>3284</v>
      </c>
      <c r="F103" s="3249">
        <v>32.020000000000003</v>
      </c>
      <c r="G103" s="3250" t="s">
        <v>3183</v>
      </c>
      <c r="H103" s="3253">
        <f t="shared" si="1"/>
        <v>7.81</v>
      </c>
    </row>
    <row r="104" spans="1:8">
      <c r="A104" s="3247">
        <v>103</v>
      </c>
      <c r="B104" s="3612"/>
      <c r="C104" s="3606" t="s">
        <v>3181</v>
      </c>
      <c r="D104" s="3606"/>
      <c r="E104" s="3249" t="s">
        <v>3285</v>
      </c>
      <c r="F104" s="3249">
        <v>32.020000000000003</v>
      </c>
      <c r="G104" s="3250" t="s">
        <v>3183</v>
      </c>
      <c r="H104" s="3253">
        <f t="shared" si="1"/>
        <v>7.81</v>
      </c>
    </row>
    <row r="105" spans="1:8">
      <c r="A105" s="3247">
        <v>104</v>
      </c>
      <c r="B105" s="3612"/>
      <c r="C105" s="3606" t="s">
        <v>3181</v>
      </c>
      <c r="D105" s="3606"/>
      <c r="E105" s="3249" t="s">
        <v>3286</v>
      </c>
      <c r="F105" s="3249">
        <v>32.020000000000003</v>
      </c>
      <c r="G105" s="3250" t="s">
        <v>3183</v>
      </c>
      <c r="H105" s="3253">
        <f t="shared" si="1"/>
        <v>7.81</v>
      </c>
    </row>
    <row r="106" spans="1:8">
      <c r="A106" s="3247">
        <v>105</v>
      </c>
      <c r="B106" s="3612"/>
      <c r="C106" s="3606" t="s">
        <v>3181</v>
      </c>
      <c r="D106" s="3606"/>
      <c r="E106" s="3249" t="s">
        <v>3287</v>
      </c>
      <c r="F106" s="3249">
        <v>32.020000000000003</v>
      </c>
      <c r="G106" s="3250" t="s">
        <v>3183</v>
      </c>
      <c r="H106" s="3253">
        <f t="shared" si="1"/>
        <v>7.81</v>
      </c>
    </row>
    <row r="107" spans="1:8">
      <c r="A107" s="3247">
        <v>106</v>
      </c>
      <c r="B107" s="3612"/>
      <c r="C107" s="3606" t="s">
        <v>3181</v>
      </c>
      <c r="D107" s="3606"/>
      <c r="E107" s="3249" t="s">
        <v>3288</v>
      </c>
      <c r="F107" s="3249">
        <v>32.020000000000003</v>
      </c>
      <c r="G107" s="3250" t="s">
        <v>3183</v>
      </c>
      <c r="H107" s="3253">
        <f t="shared" si="1"/>
        <v>7.81</v>
      </c>
    </row>
    <row r="108" spans="1:8">
      <c r="A108" s="3247">
        <v>107</v>
      </c>
      <c r="B108" s="3612"/>
      <c r="C108" s="3606" t="s">
        <v>3181</v>
      </c>
      <c r="D108" s="3606"/>
      <c r="E108" s="3249" t="s">
        <v>3289</v>
      </c>
      <c r="F108" s="3249">
        <v>32.020000000000003</v>
      </c>
      <c r="G108" s="3250" t="s">
        <v>3183</v>
      </c>
      <c r="H108" s="3253">
        <f t="shared" si="1"/>
        <v>7.81</v>
      </c>
    </row>
    <row r="109" spans="1:8">
      <c r="A109" s="3247">
        <v>108</v>
      </c>
      <c r="B109" s="3612"/>
      <c r="C109" s="3606" t="s">
        <v>3181</v>
      </c>
      <c r="D109" s="3606"/>
      <c r="E109" s="3249" t="s">
        <v>3290</v>
      </c>
      <c r="F109" s="3249">
        <v>32.020000000000003</v>
      </c>
      <c r="G109" s="3250" t="s">
        <v>3183</v>
      </c>
      <c r="H109" s="3253">
        <f t="shared" si="1"/>
        <v>7.81</v>
      </c>
    </row>
    <row r="110" spans="1:8">
      <c r="A110" s="3247">
        <v>109</v>
      </c>
      <c r="B110" s="3612"/>
      <c r="C110" s="3606" t="s">
        <v>3181</v>
      </c>
      <c r="D110" s="3606"/>
      <c r="E110" s="3249" t="s">
        <v>3291</v>
      </c>
      <c r="F110" s="3249">
        <v>32.020000000000003</v>
      </c>
      <c r="G110" s="3250" t="s">
        <v>3183</v>
      </c>
      <c r="H110" s="3253">
        <f t="shared" si="1"/>
        <v>7.81</v>
      </c>
    </row>
    <row r="111" spans="1:8">
      <c r="A111" s="3247">
        <v>110</v>
      </c>
      <c r="B111" s="3612"/>
      <c r="C111" s="3606" t="s">
        <v>3181</v>
      </c>
      <c r="D111" s="3606"/>
      <c r="E111" s="3249" t="s">
        <v>3292</v>
      </c>
      <c r="F111" s="3249">
        <v>32.020000000000003</v>
      </c>
      <c r="G111" s="3250" t="s">
        <v>3183</v>
      </c>
      <c r="H111" s="3253">
        <f t="shared" si="1"/>
        <v>7.81</v>
      </c>
    </row>
    <row r="112" spans="1:8">
      <c r="A112" s="3247">
        <v>111</v>
      </c>
      <c r="B112" s="3612"/>
      <c r="C112" s="3606" t="s">
        <v>3181</v>
      </c>
      <c r="D112" s="3606"/>
      <c r="E112" s="3249" t="s">
        <v>3293</v>
      </c>
      <c r="F112" s="3249">
        <v>32.020000000000003</v>
      </c>
      <c r="G112" s="3250" t="s">
        <v>3183</v>
      </c>
      <c r="H112" s="3253">
        <f t="shared" si="1"/>
        <v>7.81</v>
      </c>
    </row>
    <row r="113" spans="1:8">
      <c r="A113" s="3247">
        <v>112</v>
      </c>
      <c r="B113" s="3612"/>
      <c r="C113" s="3606" t="s">
        <v>3181</v>
      </c>
      <c r="D113" s="3606"/>
      <c r="E113" s="3249" t="s">
        <v>3294</v>
      </c>
      <c r="F113" s="3249">
        <v>32.020000000000003</v>
      </c>
      <c r="G113" s="3250" t="s">
        <v>3183</v>
      </c>
      <c r="H113" s="3253">
        <f t="shared" si="1"/>
        <v>7.81</v>
      </c>
    </row>
    <row r="114" spans="1:8">
      <c r="A114" s="3247">
        <v>113</v>
      </c>
      <c r="B114" s="3612"/>
      <c r="C114" s="3606" t="s">
        <v>3181</v>
      </c>
      <c r="D114" s="3606"/>
      <c r="E114" s="3249" t="s">
        <v>3295</v>
      </c>
      <c r="F114" s="3249">
        <v>32.020000000000003</v>
      </c>
      <c r="G114" s="3250" t="s">
        <v>3183</v>
      </c>
      <c r="H114" s="3253">
        <f t="shared" si="1"/>
        <v>7.81</v>
      </c>
    </row>
    <row r="115" spans="1:8">
      <c r="A115" s="3247">
        <v>114</v>
      </c>
      <c r="B115" s="3612"/>
      <c r="C115" s="3606" t="s">
        <v>3181</v>
      </c>
      <c r="D115" s="3606"/>
      <c r="E115" s="3249" t="s">
        <v>3296</v>
      </c>
      <c r="F115" s="3249">
        <v>32.020000000000003</v>
      </c>
      <c r="G115" s="3250" t="s">
        <v>3183</v>
      </c>
      <c r="H115" s="3253">
        <f t="shared" si="1"/>
        <v>7.81</v>
      </c>
    </row>
    <row r="116" spans="1:8">
      <c r="A116" s="3247">
        <v>115</v>
      </c>
      <c r="B116" s="3612"/>
      <c r="C116" s="3606" t="s">
        <v>3181</v>
      </c>
      <c r="D116" s="3606"/>
      <c r="E116" s="3249" t="s">
        <v>3297</v>
      </c>
      <c r="F116" s="3249">
        <v>32.020000000000003</v>
      </c>
      <c r="G116" s="3250" t="s">
        <v>3183</v>
      </c>
      <c r="H116" s="3253">
        <f t="shared" si="1"/>
        <v>7.81</v>
      </c>
    </row>
    <row r="117" spans="1:8">
      <c r="A117" s="3247">
        <v>116</v>
      </c>
      <c r="B117" s="3612"/>
      <c r="C117" s="3606" t="s">
        <v>3181</v>
      </c>
      <c r="D117" s="3606"/>
      <c r="E117" s="3249" t="s">
        <v>3298</v>
      </c>
      <c r="F117" s="3249">
        <v>32.020000000000003</v>
      </c>
      <c r="G117" s="3250" t="s">
        <v>3183</v>
      </c>
      <c r="H117" s="3253">
        <f t="shared" si="1"/>
        <v>7.81</v>
      </c>
    </row>
    <row r="118" spans="1:8">
      <c r="A118" s="3247">
        <v>117</v>
      </c>
      <c r="B118" s="3612"/>
      <c r="C118" s="3606" t="s">
        <v>3181</v>
      </c>
      <c r="D118" s="3606"/>
      <c r="E118" s="3249" t="s">
        <v>3299</v>
      </c>
      <c r="F118" s="3249">
        <v>32.020000000000003</v>
      </c>
      <c r="G118" s="3250" t="s">
        <v>3183</v>
      </c>
      <c r="H118" s="3253">
        <f t="shared" si="1"/>
        <v>7.81</v>
      </c>
    </row>
    <row r="119" spans="1:8">
      <c r="A119" s="3247">
        <v>118</v>
      </c>
      <c r="B119" s="3612"/>
      <c r="C119" s="3606" t="s">
        <v>3181</v>
      </c>
      <c r="D119" s="3606"/>
      <c r="E119" s="3249" t="s">
        <v>3300</v>
      </c>
      <c r="F119" s="3249">
        <v>32.020000000000003</v>
      </c>
      <c r="G119" s="3250" t="s">
        <v>3183</v>
      </c>
      <c r="H119" s="3253">
        <f t="shared" si="1"/>
        <v>7.81</v>
      </c>
    </row>
    <row r="120" spans="1:8">
      <c r="A120" s="3247">
        <v>119</v>
      </c>
      <c r="B120" s="3612"/>
      <c r="C120" s="3606" t="s">
        <v>3181</v>
      </c>
      <c r="D120" s="3606"/>
      <c r="E120" s="3249" t="s">
        <v>3301</v>
      </c>
      <c r="F120" s="3249">
        <v>32.020000000000003</v>
      </c>
      <c r="G120" s="3250" t="s">
        <v>3183</v>
      </c>
      <c r="H120" s="3253">
        <f t="shared" si="1"/>
        <v>7.81</v>
      </c>
    </row>
    <row r="121" spans="1:8">
      <c r="A121" s="3247">
        <v>120</v>
      </c>
      <c r="B121" s="3612"/>
      <c r="C121" s="3606" t="s">
        <v>3181</v>
      </c>
      <c r="D121" s="3606"/>
      <c r="E121" s="3249" t="s">
        <v>3302</v>
      </c>
      <c r="F121" s="3249">
        <v>32.020000000000003</v>
      </c>
      <c r="G121" s="3250" t="s">
        <v>3183</v>
      </c>
      <c r="H121" s="3253">
        <f t="shared" si="1"/>
        <v>7.81</v>
      </c>
    </row>
    <row r="122" spans="1:8">
      <c r="A122" s="3247">
        <v>121</v>
      </c>
      <c r="B122" s="3612"/>
      <c r="C122" s="3606" t="s">
        <v>3181</v>
      </c>
      <c r="D122" s="3606"/>
      <c r="E122" s="3249" t="s">
        <v>3303</v>
      </c>
      <c r="F122" s="3249">
        <v>32.020000000000003</v>
      </c>
      <c r="G122" s="3250" t="s">
        <v>3183</v>
      </c>
      <c r="H122" s="3253">
        <f t="shared" si="1"/>
        <v>7.81</v>
      </c>
    </row>
    <row r="123" spans="1:8">
      <c r="A123" s="3247">
        <v>122</v>
      </c>
      <c r="B123" s="3612"/>
      <c r="C123" s="3606" t="s">
        <v>3181</v>
      </c>
      <c r="D123" s="3606"/>
      <c r="E123" s="3249" t="s">
        <v>3304</v>
      </c>
      <c r="F123" s="3249">
        <v>32.020000000000003</v>
      </c>
      <c r="G123" s="3250" t="s">
        <v>3183</v>
      </c>
      <c r="H123" s="3253">
        <f t="shared" si="1"/>
        <v>7.81</v>
      </c>
    </row>
    <row r="124" spans="1:8">
      <c r="A124" s="3247">
        <v>123</v>
      </c>
      <c r="B124" s="3612"/>
      <c r="C124" s="3606" t="s">
        <v>3181</v>
      </c>
      <c r="D124" s="3606"/>
      <c r="E124" s="3249" t="s">
        <v>3305</v>
      </c>
      <c r="F124" s="3249">
        <v>32.020000000000003</v>
      </c>
      <c r="G124" s="3250" t="s">
        <v>3183</v>
      </c>
      <c r="H124" s="3253">
        <f t="shared" si="1"/>
        <v>7.81</v>
      </c>
    </row>
    <row r="125" spans="1:8">
      <c r="A125" s="3247">
        <v>124</v>
      </c>
      <c r="B125" s="3612"/>
      <c r="C125" s="3606" t="s">
        <v>3181</v>
      </c>
      <c r="D125" s="3606"/>
      <c r="E125" s="3249" t="s">
        <v>3306</v>
      </c>
      <c r="F125" s="3249">
        <v>32.020000000000003</v>
      </c>
      <c r="G125" s="3250" t="s">
        <v>3183</v>
      </c>
      <c r="H125" s="3253">
        <f t="shared" si="1"/>
        <v>7.81</v>
      </c>
    </row>
    <row r="126" spans="1:8">
      <c r="A126" s="3247">
        <v>125</v>
      </c>
      <c r="B126" s="3612"/>
      <c r="C126" s="3606" t="s">
        <v>3181</v>
      </c>
      <c r="D126" s="3606"/>
      <c r="E126" s="3249" t="s">
        <v>3307</v>
      </c>
      <c r="F126" s="3249">
        <v>32.020000000000003</v>
      </c>
      <c r="G126" s="3250" t="s">
        <v>3183</v>
      </c>
      <c r="H126" s="3253">
        <f t="shared" si="1"/>
        <v>7.81</v>
      </c>
    </row>
    <row r="127" spans="1:8">
      <c r="A127" s="3247">
        <v>126</v>
      </c>
      <c r="B127" s="3612"/>
      <c r="C127" s="3606" t="s">
        <v>3181</v>
      </c>
      <c r="D127" s="3606"/>
      <c r="E127" s="3249" t="s">
        <v>3308</v>
      </c>
      <c r="F127" s="3249">
        <v>32.020000000000003</v>
      </c>
      <c r="G127" s="3250" t="s">
        <v>3183</v>
      </c>
      <c r="H127" s="3253">
        <f t="shared" si="1"/>
        <v>7.81</v>
      </c>
    </row>
    <row r="128" spans="1:8">
      <c r="A128" s="3247">
        <v>127</v>
      </c>
      <c r="B128" s="3612"/>
      <c r="C128" s="3606" t="s">
        <v>3181</v>
      </c>
      <c r="D128" s="3606"/>
      <c r="E128" s="3249" t="s">
        <v>3309</v>
      </c>
      <c r="F128" s="3249">
        <v>32.020000000000003</v>
      </c>
      <c r="G128" s="3250" t="s">
        <v>3183</v>
      </c>
      <c r="H128" s="3253">
        <f t="shared" si="1"/>
        <v>7.81</v>
      </c>
    </row>
    <row r="129" spans="1:8">
      <c r="A129" s="3247">
        <v>128</v>
      </c>
      <c r="B129" s="3612"/>
      <c r="C129" s="3606" t="s">
        <v>3181</v>
      </c>
      <c r="D129" s="3606"/>
      <c r="E129" s="3249" t="s">
        <v>3310</v>
      </c>
      <c r="F129" s="3249">
        <v>32.020000000000003</v>
      </c>
      <c r="G129" s="3250" t="s">
        <v>3183</v>
      </c>
      <c r="H129" s="3253">
        <f t="shared" si="1"/>
        <v>7.81</v>
      </c>
    </row>
    <row r="130" spans="1:8">
      <c r="A130" s="3247">
        <v>129</v>
      </c>
      <c r="B130" s="3612"/>
      <c r="C130" s="3606" t="s">
        <v>3181</v>
      </c>
      <c r="D130" s="3606"/>
      <c r="E130" s="3249" t="s">
        <v>3311</v>
      </c>
      <c r="F130" s="3249">
        <v>32.020000000000003</v>
      </c>
      <c r="G130" s="3250" t="s">
        <v>3183</v>
      </c>
      <c r="H130" s="3253">
        <f t="shared" si="1"/>
        <v>7.81</v>
      </c>
    </row>
    <row r="131" spans="1:8">
      <c r="A131" s="3247">
        <v>130</v>
      </c>
      <c r="B131" s="3612"/>
      <c r="C131" s="3606" t="s">
        <v>3181</v>
      </c>
      <c r="D131" s="3606"/>
      <c r="E131" s="3249" t="s">
        <v>3312</v>
      </c>
      <c r="F131" s="3249">
        <v>32.020000000000003</v>
      </c>
      <c r="G131" s="3250" t="s">
        <v>3183</v>
      </c>
      <c r="H131" s="3253">
        <f t="shared" ref="H131:H194" si="2">ROUND(F131/$J$4*$K$4,2)</f>
        <v>7.81</v>
      </c>
    </row>
    <row r="132" spans="1:8">
      <c r="A132" s="3247">
        <v>131</v>
      </c>
      <c r="B132" s="3612"/>
      <c r="C132" s="3606" t="s">
        <v>3181</v>
      </c>
      <c r="D132" s="3606"/>
      <c r="E132" s="3249" t="s">
        <v>3313</v>
      </c>
      <c r="F132" s="3249">
        <v>32.020000000000003</v>
      </c>
      <c r="G132" s="3250" t="s">
        <v>3183</v>
      </c>
      <c r="H132" s="3253">
        <f t="shared" si="2"/>
        <v>7.81</v>
      </c>
    </row>
    <row r="133" spans="1:8">
      <c r="A133" s="3247">
        <v>132</v>
      </c>
      <c r="B133" s="3612"/>
      <c r="C133" s="3606" t="s">
        <v>3181</v>
      </c>
      <c r="D133" s="3606"/>
      <c r="E133" s="3249" t="s">
        <v>3314</v>
      </c>
      <c r="F133" s="3249">
        <v>32.020000000000003</v>
      </c>
      <c r="G133" s="3250" t="s">
        <v>3183</v>
      </c>
      <c r="H133" s="3253">
        <f t="shared" si="2"/>
        <v>7.81</v>
      </c>
    </row>
    <row r="134" spans="1:8">
      <c r="A134" s="3247">
        <v>133</v>
      </c>
      <c r="B134" s="3612"/>
      <c r="C134" s="3606" t="s">
        <v>3181</v>
      </c>
      <c r="D134" s="3606"/>
      <c r="E134" s="3249" t="s">
        <v>3315</v>
      </c>
      <c r="F134" s="3249">
        <v>32.020000000000003</v>
      </c>
      <c r="G134" s="3250" t="s">
        <v>3183</v>
      </c>
      <c r="H134" s="3253">
        <f t="shared" si="2"/>
        <v>7.81</v>
      </c>
    </row>
    <row r="135" spans="1:8">
      <c r="A135" s="3247">
        <v>134</v>
      </c>
      <c r="B135" s="3612"/>
      <c r="C135" s="3606" t="s">
        <v>3181</v>
      </c>
      <c r="D135" s="3606"/>
      <c r="E135" s="3249" t="s">
        <v>3316</v>
      </c>
      <c r="F135" s="3249">
        <v>32.020000000000003</v>
      </c>
      <c r="G135" s="3250" t="s">
        <v>3183</v>
      </c>
      <c r="H135" s="3253">
        <f t="shared" si="2"/>
        <v>7.81</v>
      </c>
    </row>
    <row r="136" spans="1:8">
      <c r="A136" s="3247">
        <v>135</v>
      </c>
      <c r="B136" s="3612"/>
      <c r="C136" s="3606" t="s">
        <v>3181</v>
      </c>
      <c r="D136" s="3606"/>
      <c r="E136" s="3249" t="s">
        <v>3317</v>
      </c>
      <c r="F136" s="3249">
        <v>32.020000000000003</v>
      </c>
      <c r="G136" s="3250" t="s">
        <v>3183</v>
      </c>
      <c r="H136" s="3253">
        <f t="shared" si="2"/>
        <v>7.81</v>
      </c>
    </row>
    <row r="137" spans="1:8">
      <c r="A137" s="3247">
        <v>136</v>
      </c>
      <c r="B137" s="3612"/>
      <c r="C137" s="3606" t="s">
        <v>3181</v>
      </c>
      <c r="D137" s="3606"/>
      <c r="E137" s="3249" t="s">
        <v>3318</v>
      </c>
      <c r="F137" s="3249">
        <v>32.020000000000003</v>
      </c>
      <c r="G137" s="3250" t="s">
        <v>3183</v>
      </c>
      <c r="H137" s="3253">
        <f t="shared" si="2"/>
        <v>7.81</v>
      </c>
    </row>
    <row r="138" spans="1:8">
      <c r="A138" s="3247">
        <v>137</v>
      </c>
      <c r="B138" s="3612"/>
      <c r="C138" s="3606" t="s">
        <v>3181</v>
      </c>
      <c r="D138" s="3606"/>
      <c r="E138" s="3249" t="s">
        <v>3319</v>
      </c>
      <c r="F138" s="3249">
        <v>32.020000000000003</v>
      </c>
      <c r="G138" s="3250" t="s">
        <v>3183</v>
      </c>
      <c r="H138" s="3253">
        <f t="shared" si="2"/>
        <v>7.81</v>
      </c>
    </row>
    <row r="139" spans="1:8">
      <c r="A139" s="3247">
        <v>138</v>
      </c>
      <c r="B139" s="3612"/>
      <c r="C139" s="3606" t="s">
        <v>3181</v>
      </c>
      <c r="D139" s="3606"/>
      <c r="E139" s="3249" t="s">
        <v>3320</v>
      </c>
      <c r="F139" s="3249">
        <v>32.020000000000003</v>
      </c>
      <c r="G139" s="3250" t="s">
        <v>3183</v>
      </c>
      <c r="H139" s="3253">
        <f t="shared" si="2"/>
        <v>7.81</v>
      </c>
    </row>
    <row r="140" spans="1:8">
      <c r="A140" s="3247">
        <v>139</v>
      </c>
      <c r="B140" s="3612"/>
      <c r="C140" s="3606" t="s">
        <v>3181</v>
      </c>
      <c r="D140" s="3606"/>
      <c r="E140" s="3249" t="s">
        <v>3321</v>
      </c>
      <c r="F140" s="3249">
        <v>32.020000000000003</v>
      </c>
      <c r="G140" s="3250" t="s">
        <v>3183</v>
      </c>
      <c r="H140" s="3253">
        <f t="shared" si="2"/>
        <v>7.81</v>
      </c>
    </row>
    <row r="141" spans="1:8">
      <c r="A141" s="3247">
        <v>140</v>
      </c>
      <c r="B141" s="3612"/>
      <c r="C141" s="3606" t="s">
        <v>3181</v>
      </c>
      <c r="D141" s="3606"/>
      <c r="E141" s="3249" t="s">
        <v>3322</v>
      </c>
      <c r="F141" s="3249">
        <v>32.020000000000003</v>
      </c>
      <c r="G141" s="3250" t="s">
        <v>3183</v>
      </c>
      <c r="H141" s="3253">
        <f t="shared" si="2"/>
        <v>7.81</v>
      </c>
    </row>
    <row r="142" spans="1:8">
      <c r="A142" s="3247">
        <v>141</v>
      </c>
      <c r="B142" s="3612"/>
      <c r="C142" s="3606" t="s">
        <v>3181</v>
      </c>
      <c r="D142" s="3606"/>
      <c r="E142" s="3249" t="s">
        <v>3323</v>
      </c>
      <c r="F142" s="3249">
        <v>32.020000000000003</v>
      </c>
      <c r="G142" s="3250" t="s">
        <v>3183</v>
      </c>
      <c r="H142" s="3253">
        <f t="shared" si="2"/>
        <v>7.81</v>
      </c>
    </row>
    <row r="143" spans="1:8">
      <c r="A143" s="3247">
        <v>142</v>
      </c>
      <c r="B143" s="3612"/>
      <c r="C143" s="3606" t="s">
        <v>3181</v>
      </c>
      <c r="D143" s="3606"/>
      <c r="E143" s="3249" t="s">
        <v>3324</v>
      </c>
      <c r="F143" s="3249">
        <v>32.020000000000003</v>
      </c>
      <c r="G143" s="3250" t="s">
        <v>3183</v>
      </c>
      <c r="H143" s="3253">
        <f t="shared" si="2"/>
        <v>7.81</v>
      </c>
    </row>
    <row r="144" spans="1:8">
      <c r="A144" s="3247">
        <v>143</v>
      </c>
      <c r="B144" s="3612"/>
      <c r="C144" s="3606" t="s">
        <v>3181</v>
      </c>
      <c r="D144" s="3606"/>
      <c r="E144" s="3249" t="s">
        <v>3325</v>
      </c>
      <c r="F144" s="3249">
        <v>32.020000000000003</v>
      </c>
      <c r="G144" s="3250" t="s">
        <v>3183</v>
      </c>
      <c r="H144" s="3253">
        <f t="shared" si="2"/>
        <v>7.81</v>
      </c>
    </row>
    <row r="145" spans="1:8">
      <c r="A145" s="3247">
        <v>144</v>
      </c>
      <c r="B145" s="3612"/>
      <c r="C145" s="3606" t="s">
        <v>3181</v>
      </c>
      <c r="D145" s="3606"/>
      <c r="E145" s="3249" t="s">
        <v>3326</v>
      </c>
      <c r="F145" s="3249">
        <v>32.020000000000003</v>
      </c>
      <c r="G145" s="3250" t="s">
        <v>3183</v>
      </c>
      <c r="H145" s="3253">
        <f t="shared" si="2"/>
        <v>7.81</v>
      </c>
    </row>
    <row r="146" spans="1:8">
      <c r="A146" s="3247">
        <v>145</v>
      </c>
      <c r="B146" s="3612"/>
      <c r="C146" s="3606" t="s">
        <v>3181</v>
      </c>
      <c r="D146" s="3606"/>
      <c r="E146" s="3249" t="s">
        <v>3327</v>
      </c>
      <c r="F146" s="3249">
        <v>32.020000000000003</v>
      </c>
      <c r="G146" s="3250" t="s">
        <v>3183</v>
      </c>
      <c r="H146" s="3253">
        <f t="shared" si="2"/>
        <v>7.81</v>
      </c>
    </row>
    <row r="147" spans="1:8">
      <c r="A147" s="3247">
        <v>146</v>
      </c>
      <c r="B147" s="3612"/>
      <c r="C147" s="3606" t="s">
        <v>3181</v>
      </c>
      <c r="D147" s="3606"/>
      <c r="E147" s="3249" t="s">
        <v>3328</v>
      </c>
      <c r="F147" s="3249">
        <v>32.020000000000003</v>
      </c>
      <c r="G147" s="3250" t="s">
        <v>3183</v>
      </c>
      <c r="H147" s="3253">
        <f t="shared" si="2"/>
        <v>7.81</v>
      </c>
    </row>
    <row r="148" spans="1:8">
      <c r="A148" s="3247">
        <v>147</v>
      </c>
      <c r="B148" s="3612"/>
      <c r="C148" s="3606" t="s">
        <v>3181</v>
      </c>
      <c r="D148" s="3606"/>
      <c r="E148" s="3249" t="s">
        <v>3329</v>
      </c>
      <c r="F148" s="3249">
        <v>32.020000000000003</v>
      </c>
      <c r="G148" s="3250" t="s">
        <v>3183</v>
      </c>
      <c r="H148" s="3253">
        <f t="shared" si="2"/>
        <v>7.81</v>
      </c>
    </row>
    <row r="149" spans="1:8">
      <c r="A149" s="3247">
        <v>148</v>
      </c>
      <c r="B149" s="3612"/>
      <c r="C149" s="3606" t="s">
        <v>3181</v>
      </c>
      <c r="D149" s="3606"/>
      <c r="E149" s="3249" t="s">
        <v>3330</v>
      </c>
      <c r="F149" s="3249">
        <v>32.020000000000003</v>
      </c>
      <c r="G149" s="3250" t="s">
        <v>3183</v>
      </c>
      <c r="H149" s="3253">
        <f t="shared" si="2"/>
        <v>7.81</v>
      </c>
    </row>
    <row r="150" spans="1:8">
      <c r="A150" s="3247">
        <v>149</v>
      </c>
      <c r="B150" s="3612"/>
      <c r="C150" s="3606" t="s">
        <v>3181</v>
      </c>
      <c r="D150" s="3606"/>
      <c r="E150" s="3249" t="s">
        <v>3331</v>
      </c>
      <c r="F150" s="3249">
        <v>32.020000000000003</v>
      </c>
      <c r="G150" s="3250" t="s">
        <v>3183</v>
      </c>
      <c r="H150" s="3253">
        <f t="shared" si="2"/>
        <v>7.81</v>
      </c>
    </row>
    <row r="151" spans="1:8">
      <c r="A151" s="3247">
        <v>150</v>
      </c>
      <c r="B151" s="3612"/>
      <c r="C151" s="3606" t="s">
        <v>3181</v>
      </c>
      <c r="D151" s="3606"/>
      <c r="E151" s="3249" t="s">
        <v>3332</v>
      </c>
      <c r="F151" s="3249">
        <v>33.36</v>
      </c>
      <c r="G151" s="3250" t="s">
        <v>3183</v>
      </c>
      <c r="H151" s="3253">
        <f t="shared" si="2"/>
        <v>8.1300000000000008</v>
      </c>
    </row>
    <row r="152" spans="1:8">
      <c r="A152" s="3247">
        <v>151</v>
      </c>
      <c r="B152" s="3612"/>
      <c r="C152" s="3606" t="s">
        <v>3181</v>
      </c>
      <c r="D152" s="3606"/>
      <c r="E152" s="3249" t="s">
        <v>3333</v>
      </c>
      <c r="F152" s="3249">
        <v>33.36</v>
      </c>
      <c r="G152" s="3250" t="s">
        <v>3183</v>
      </c>
      <c r="H152" s="3253">
        <f t="shared" si="2"/>
        <v>8.1300000000000008</v>
      </c>
    </row>
    <row r="153" spans="1:8">
      <c r="A153" s="3247">
        <v>152</v>
      </c>
      <c r="B153" s="3612"/>
      <c r="C153" s="3606" t="s">
        <v>3181</v>
      </c>
      <c r="D153" s="3606"/>
      <c r="E153" s="3249" t="s">
        <v>3334</v>
      </c>
      <c r="F153" s="3249">
        <v>33.36</v>
      </c>
      <c r="G153" s="3250" t="s">
        <v>3183</v>
      </c>
      <c r="H153" s="3253">
        <f t="shared" si="2"/>
        <v>8.1300000000000008</v>
      </c>
    </row>
    <row r="154" spans="1:8">
      <c r="A154" s="3247">
        <v>153</v>
      </c>
      <c r="B154" s="3612"/>
      <c r="C154" s="3606" t="s">
        <v>3181</v>
      </c>
      <c r="D154" s="3606"/>
      <c r="E154" s="3249" t="s">
        <v>3335</v>
      </c>
      <c r="F154" s="3249">
        <v>32.020000000000003</v>
      </c>
      <c r="G154" s="3250" t="s">
        <v>3183</v>
      </c>
      <c r="H154" s="3253">
        <f t="shared" si="2"/>
        <v>7.81</v>
      </c>
    </row>
    <row r="155" spans="1:8">
      <c r="A155" s="3247">
        <v>154</v>
      </c>
      <c r="B155" s="3612"/>
      <c r="C155" s="3606" t="s">
        <v>3181</v>
      </c>
      <c r="D155" s="3606"/>
      <c r="E155" s="3249" t="s">
        <v>3336</v>
      </c>
      <c r="F155" s="3249">
        <v>32.020000000000003</v>
      </c>
      <c r="G155" s="3250" t="s">
        <v>3183</v>
      </c>
      <c r="H155" s="3253">
        <f t="shared" si="2"/>
        <v>7.81</v>
      </c>
    </row>
    <row r="156" spans="1:8">
      <c r="A156" s="3247">
        <v>155</v>
      </c>
      <c r="B156" s="3612"/>
      <c r="C156" s="3606" t="s">
        <v>3181</v>
      </c>
      <c r="D156" s="3606"/>
      <c r="E156" s="3249" t="s">
        <v>3337</v>
      </c>
      <c r="F156" s="3249">
        <v>32.020000000000003</v>
      </c>
      <c r="G156" s="3250" t="s">
        <v>3183</v>
      </c>
      <c r="H156" s="3253">
        <f t="shared" si="2"/>
        <v>7.81</v>
      </c>
    </row>
    <row r="157" spans="1:8">
      <c r="A157" s="3247">
        <v>156</v>
      </c>
      <c r="B157" s="3612"/>
      <c r="C157" s="3606" t="s">
        <v>3181</v>
      </c>
      <c r="D157" s="3606"/>
      <c r="E157" s="3249" t="s">
        <v>3338</v>
      </c>
      <c r="F157" s="3249">
        <v>32.020000000000003</v>
      </c>
      <c r="G157" s="3250" t="s">
        <v>3183</v>
      </c>
      <c r="H157" s="3253">
        <f t="shared" si="2"/>
        <v>7.81</v>
      </c>
    </row>
    <row r="158" spans="1:8">
      <c r="A158" s="3247">
        <v>157</v>
      </c>
      <c r="B158" s="3612"/>
      <c r="C158" s="3606" t="s">
        <v>3181</v>
      </c>
      <c r="D158" s="3606"/>
      <c r="E158" s="3249" t="s">
        <v>3339</v>
      </c>
      <c r="F158" s="3249">
        <v>32.020000000000003</v>
      </c>
      <c r="G158" s="3250" t="s">
        <v>3183</v>
      </c>
      <c r="H158" s="3253">
        <f t="shared" si="2"/>
        <v>7.81</v>
      </c>
    </row>
    <row r="159" spans="1:8">
      <c r="A159" s="3247">
        <v>158</v>
      </c>
      <c r="B159" s="3612"/>
      <c r="C159" s="3606" t="s">
        <v>3181</v>
      </c>
      <c r="D159" s="3606"/>
      <c r="E159" s="3249" t="s">
        <v>3340</v>
      </c>
      <c r="F159" s="3249">
        <v>32.020000000000003</v>
      </c>
      <c r="G159" s="3250" t="s">
        <v>3183</v>
      </c>
      <c r="H159" s="3253">
        <f t="shared" si="2"/>
        <v>7.81</v>
      </c>
    </row>
    <row r="160" spans="1:8">
      <c r="A160" s="3247">
        <v>159</v>
      </c>
      <c r="B160" s="3612"/>
      <c r="C160" s="3606" t="s">
        <v>3181</v>
      </c>
      <c r="D160" s="3606"/>
      <c r="E160" s="3249" t="s">
        <v>3341</v>
      </c>
      <c r="F160" s="3249">
        <v>32.020000000000003</v>
      </c>
      <c r="G160" s="3250" t="s">
        <v>3183</v>
      </c>
      <c r="H160" s="3253">
        <f t="shared" si="2"/>
        <v>7.81</v>
      </c>
    </row>
    <row r="161" spans="1:8">
      <c r="A161" s="3247">
        <v>160</v>
      </c>
      <c r="B161" s="3612"/>
      <c r="C161" s="3606" t="s">
        <v>3181</v>
      </c>
      <c r="D161" s="3606"/>
      <c r="E161" s="3249" t="s">
        <v>3342</v>
      </c>
      <c r="F161" s="3249">
        <v>32.020000000000003</v>
      </c>
      <c r="G161" s="3250" t="s">
        <v>3183</v>
      </c>
      <c r="H161" s="3253">
        <f t="shared" si="2"/>
        <v>7.81</v>
      </c>
    </row>
    <row r="162" spans="1:8">
      <c r="A162" s="3247">
        <v>161</v>
      </c>
      <c r="B162" s="3612"/>
      <c r="C162" s="3606" t="s">
        <v>3181</v>
      </c>
      <c r="D162" s="3606"/>
      <c r="E162" s="3249" t="s">
        <v>3343</v>
      </c>
      <c r="F162" s="3249">
        <v>32.020000000000003</v>
      </c>
      <c r="G162" s="3250" t="s">
        <v>3183</v>
      </c>
      <c r="H162" s="3253">
        <f t="shared" si="2"/>
        <v>7.81</v>
      </c>
    </row>
    <row r="163" spans="1:8">
      <c r="A163" s="3247">
        <v>162</v>
      </c>
      <c r="B163" s="3612"/>
      <c r="C163" s="3606" t="s">
        <v>3181</v>
      </c>
      <c r="D163" s="3606"/>
      <c r="E163" s="3249" t="s">
        <v>3344</v>
      </c>
      <c r="F163" s="3249">
        <v>32.020000000000003</v>
      </c>
      <c r="G163" s="3250" t="s">
        <v>3183</v>
      </c>
      <c r="H163" s="3253">
        <f t="shared" si="2"/>
        <v>7.81</v>
      </c>
    </row>
    <row r="164" spans="1:8">
      <c r="A164" s="3247">
        <v>163</v>
      </c>
      <c r="B164" s="3612"/>
      <c r="C164" s="3606" t="s">
        <v>3181</v>
      </c>
      <c r="D164" s="3606"/>
      <c r="E164" s="3249" t="s">
        <v>3345</v>
      </c>
      <c r="F164" s="3249">
        <v>32.020000000000003</v>
      </c>
      <c r="G164" s="3250" t="s">
        <v>3183</v>
      </c>
      <c r="H164" s="3253">
        <f t="shared" si="2"/>
        <v>7.81</v>
      </c>
    </row>
    <row r="165" spans="1:8">
      <c r="A165" s="3247">
        <v>164</v>
      </c>
      <c r="B165" s="3612"/>
      <c r="C165" s="3606" t="s">
        <v>3181</v>
      </c>
      <c r="D165" s="3606"/>
      <c r="E165" s="3249" t="s">
        <v>3346</v>
      </c>
      <c r="F165" s="3249">
        <v>32.020000000000003</v>
      </c>
      <c r="G165" s="3250" t="s">
        <v>3183</v>
      </c>
      <c r="H165" s="3253">
        <f t="shared" si="2"/>
        <v>7.81</v>
      </c>
    </row>
    <row r="166" spans="1:8">
      <c r="A166" s="3247">
        <v>165</v>
      </c>
      <c r="B166" s="3612"/>
      <c r="C166" s="3606" t="s">
        <v>3181</v>
      </c>
      <c r="D166" s="3606"/>
      <c r="E166" s="3249" t="s">
        <v>3347</v>
      </c>
      <c r="F166" s="3249">
        <v>32.020000000000003</v>
      </c>
      <c r="G166" s="3250" t="s">
        <v>3183</v>
      </c>
      <c r="H166" s="3253">
        <f t="shared" si="2"/>
        <v>7.81</v>
      </c>
    </row>
    <row r="167" spans="1:8">
      <c r="A167" s="3247">
        <v>166</v>
      </c>
      <c r="B167" s="3612"/>
      <c r="C167" s="3606" t="s">
        <v>3181</v>
      </c>
      <c r="D167" s="3606"/>
      <c r="E167" s="3249" t="s">
        <v>3348</v>
      </c>
      <c r="F167" s="3249">
        <v>32.020000000000003</v>
      </c>
      <c r="G167" s="3250" t="s">
        <v>3183</v>
      </c>
      <c r="H167" s="3253">
        <f t="shared" si="2"/>
        <v>7.81</v>
      </c>
    </row>
    <row r="168" spans="1:8">
      <c r="A168" s="3247">
        <v>167</v>
      </c>
      <c r="B168" s="3612"/>
      <c r="C168" s="3606" t="s">
        <v>3181</v>
      </c>
      <c r="D168" s="3606"/>
      <c r="E168" s="3249" t="s">
        <v>3349</v>
      </c>
      <c r="F168" s="3249">
        <v>32.020000000000003</v>
      </c>
      <c r="G168" s="3250" t="s">
        <v>3183</v>
      </c>
      <c r="H168" s="3253">
        <f t="shared" si="2"/>
        <v>7.81</v>
      </c>
    </row>
    <row r="169" spans="1:8">
      <c r="A169" s="3247">
        <v>168</v>
      </c>
      <c r="B169" s="3612"/>
      <c r="C169" s="3606" t="s">
        <v>3181</v>
      </c>
      <c r="D169" s="3606"/>
      <c r="E169" s="3249" t="s">
        <v>3350</v>
      </c>
      <c r="F169" s="3249">
        <v>32.020000000000003</v>
      </c>
      <c r="G169" s="3250" t="s">
        <v>3183</v>
      </c>
      <c r="H169" s="3253">
        <f t="shared" si="2"/>
        <v>7.81</v>
      </c>
    </row>
    <row r="170" spans="1:8">
      <c r="A170" s="3247">
        <v>169</v>
      </c>
      <c r="B170" s="3612"/>
      <c r="C170" s="3606" t="s">
        <v>3181</v>
      </c>
      <c r="D170" s="3606"/>
      <c r="E170" s="3249" t="s">
        <v>3351</v>
      </c>
      <c r="F170" s="3249">
        <v>32.020000000000003</v>
      </c>
      <c r="G170" s="3250" t="s">
        <v>3183</v>
      </c>
      <c r="H170" s="3253">
        <f t="shared" si="2"/>
        <v>7.81</v>
      </c>
    </row>
    <row r="171" spans="1:8">
      <c r="A171" s="3247">
        <v>170</v>
      </c>
      <c r="B171" s="3612"/>
      <c r="C171" s="3606" t="s">
        <v>3181</v>
      </c>
      <c r="D171" s="3606"/>
      <c r="E171" s="3249" t="s">
        <v>3352</v>
      </c>
      <c r="F171" s="3249">
        <v>32.020000000000003</v>
      </c>
      <c r="G171" s="3250" t="s">
        <v>3183</v>
      </c>
      <c r="H171" s="3253">
        <f t="shared" si="2"/>
        <v>7.81</v>
      </c>
    </row>
    <row r="172" spans="1:8">
      <c r="A172" s="3247">
        <v>171</v>
      </c>
      <c r="B172" s="3612"/>
      <c r="C172" s="3606" t="s">
        <v>3181</v>
      </c>
      <c r="D172" s="3606"/>
      <c r="E172" s="3249" t="s">
        <v>3353</v>
      </c>
      <c r="F172" s="3249">
        <v>32.020000000000003</v>
      </c>
      <c r="G172" s="3250" t="s">
        <v>3183</v>
      </c>
      <c r="H172" s="3253">
        <f t="shared" si="2"/>
        <v>7.81</v>
      </c>
    </row>
    <row r="173" spans="1:8">
      <c r="A173" s="3247">
        <v>172</v>
      </c>
      <c r="B173" s="3612"/>
      <c r="C173" s="3606" t="s">
        <v>3181</v>
      </c>
      <c r="D173" s="3606"/>
      <c r="E173" s="3249" t="s">
        <v>3354</v>
      </c>
      <c r="F173" s="3249">
        <v>33.36</v>
      </c>
      <c r="G173" s="3250" t="s">
        <v>3183</v>
      </c>
      <c r="H173" s="3253">
        <f t="shared" si="2"/>
        <v>8.1300000000000008</v>
      </c>
    </row>
    <row r="174" spans="1:8">
      <c r="A174" s="3247">
        <v>173</v>
      </c>
      <c r="B174" s="3612"/>
      <c r="C174" s="3606" t="s">
        <v>3181</v>
      </c>
      <c r="D174" s="3606"/>
      <c r="E174" s="3249" t="s">
        <v>3355</v>
      </c>
      <c r="F174" s="3249">
        <v>33.36</v>
      </c>
      <c r="G174" s="3250" t="s">
        <v>3183</v>
      </c>
      <c r="H174" s="3253">
        <f t="shared" si="2"/>
        <v>8.1300000000000008</v>
      </c>
    </row>
    <row r="175" spans="1:8">
      <c r="A175" s="3247">
        <v>174</v>
      </c>
      <c r="B175" s="3612"/>
      <c r="C175" s="3606" t="s">
        <v>3181</v>
      </c>
      <c r="D175" s="3606"/>
      <c r="E175" s="3249" t="s">
        <v>3356</v>
      </c>
      <c r="F175" s="3249">
        <v>33.36</v>
      </c>
      <c r="G175" s="3250" t="s">
        <v>3183</v>
      </c>
      <c r="H175" s="3253">
        <f t="shared" si="2"/>
        <v>8.1300000000000008</v>
      </c>
    </row>
    <row r="176" spans="1:8">
      <c r="A176" s="3247">
        <v>175</v>
      </c>
      <c r="B176" s="3612"/>
      <c r="C176" s="3606" t="s">
        <v>3181</v>
      </c>
      <c r="D176" s="3606"/>
      <c r="E176" s="3249" t="s">
        <v>3357</v>
      </c>
      <c r="F176" s="3249">
        <v>33.36</v>
      </c>
      <c r="G176" s="3250" t="s">
        <v>3183</v>
      </c>
      <c r="H176" s="3253">
        <f t="shared" si="2"/>
        <v>8.1300000000000008</v>
      </c>
    </row>
    <row r="177" spans="1:8">
      <c r="A177" s="3247">
        <v>176</v>
      </c>
      <c r="B177" s="3612"/>
      <c r="C177" s="3606" t="s">
        <v>3181</v>
      </c>
      <c r="D177" s="3606"/>
      <c r="E177" s="3249" t="s">
        <v>3358</v>
      </c>
      <c r="F177" s="3249">
        <v>32.020000000000003</v>
      </c>
      <c r="G177" s="3250" t="s">
        <v>3183</v>
      </c>
      <c r="H177" s="3253">
        <f t="shared" si="2"/>
        <v>7.81</v>
      </c>
    </row>
    <row r="178" spans="1:8">
      <c r="A178" s="3247">
        <v>177</v>
      </c>
      <c r="B178" s="3612"/>
      <c r="C178" s="3606" t="s">
        <v>3181</v>
      </c>
      <c r="D178" s="3606"/>
      <c r="E178" s="3249" t="s">
        <v>3359</v>
      </c>
      <c r="F178" s="3249">
        <v>32.020000000000003</v>
      </c>
      <c r="G178" s="3250" t="s">
        <v>3183</v>
      </c>
      <c r="H178" s="3253">
        <f t="shared" si="2"/>
        <v>7.81</v>
      </c>
    </row>
    <row r="179" spans="1:8">
      <c r="A179" s="3247">
        <v>178</v>
      </c>
      <c r="B179" s="3612"/>
      <c r="C179" s="3606" t="s">
        <v>3181</v>
      </c>
      <c r="D179" s="3606"/>
      <c r="E179" s="3249" t="s">
        <v>3360</v>
      </c>
      <c r="F179" s="3249">
        <v>32.020000000000003</v>
      </c>
      <c r="G179" s="3250" t="s">
        <v>3183</v>
      </c>
      <c r="H179" s="3253">
        <f t="shared" si="2"/>
        <v>7.81</v>
      </c>
    </row>
    <row r="180" spans="1:8">
      <c r="A180" s="3247">
        <v>179</v>
      </c>
      <c r="B180" s="3612"/>
      <c r="C180" s="3606" t="s">
        <v>3181</v>
      </c>
      <c r="D180" s="3606"/>
      <c r="E180" s="3249" t="s">
        <v>3361</v>
      </c>
      <c r="F180" s="3249">
        <v>32.020000000000003</v>
      </c>
      <c r="G180" s="3250" t="s">
        <v>3183</v>
      </c>
      <c r="H180" s="3253">
        <f t="shared" si="2"/>
        <v>7.81</v>
      </c>
    </row>
    <row r="181" spans="1:8">
      <c r="A181" s="3247">
        <v>180</v>
      </c>
      <c r="B181" s="3612"/>
      <c r="C181" s="3606" t="s">
        <v>3181</v>
      </c>
      <c r="D181" s="3606"/>
      <c r="E181" s="3249" t="s">
        <v>3362</v>
      </c>
      <c r="F181" s="3249">
        <v>32.020000000000003</v>
      </c>
      <c r="G181" s="3250" t="s">
        <v>3183</v>
      </c>
      <c r="H181" s="3253">
        <f t="shared" si="2"/>
        <v>7.81</v>
      </c>
    </row>
    <row r="182" spans="1:8">
      <c r="A182" s="3247">
        <v>181</v>
      </c>
      <c r="B182" s="3612"/>
      <c r="C182" s="3606" t="s">
        <v>3181</v>
      </c>
      <c r="D182" s="3606"/>
      <c r="E182" s="3249" t="s">
        <v>3363</v>
      </c>
      <c r="F182" s="3249">
        <v>32.020000000000003</v>
      </c>
      <c r="G182" s="3250" t="s">
        <v>3183</v>
      </c>
      <c r="H182" s="3253">
        <f t="shared" si="2"/>
        <v>7.81</v>
      </c>
    </row>
    <row r="183" spans="1:8">
      <c r="A183" s="3247">
        <v>182</v>
      </c>
      <c r="B183" s="3612"/>
      <c r="C183" s="3606" t="s">
        <v>3181</v>
      </c>
      <c r="D183" s="3606"/>
      <c r="E183" s="3249" t="s">
        <v>3364</v>
      </c>
      <c r="F183" s="3249">
        <v>32.020000000000003</v>
      </c>
      <c r="G183" s="3250" t="s">
        <v>3183</v>
      </c>
      <c r="H183" s="3253">
        <f t="shared" si="2"/>
        <v>7.81</v>
      </c>
    </row>
    <row r="184" spans="1:8">
      <c r="A184" s="3247">
        <v>183</v>
      </c>
      <c r="B184" s="3612"/>
      <c r="C184" s="3606" t="s">
        <v>3181</v>
      </c>
      <c r="D184" s="3606"/>
      <c r="E184" s="3249" t="s">
        <v>3365</v>
      </c>
      <c r="F184" s="3249">
        <v>32.020000000000003</v>
      </c>
      <c r="G184" s="3250" t="s">
        <v>3183</v>
      </c>
      <c r="H184" s="3253">
        <f t="shared" si="2"/>
        <v>7.81</v>
      </c>
    </row>
    <row r="185" spans="1:8">
      <c r="A185" s="3247">
        <v>184</v>
      </c>
      <c r="B185" s="3612"/>
      <c r="C185" s="3606" t="s">
        <v>3181</v>
      </c>
      <c r="D185" s="3606"/>
      <c r="E185" s="3249" t="s">
        <v>3366</v>
      </c>
      <c r="F185" s="3249">
        <v>32.020000000000003</v>
      </c>
      <c r="G185" s="3250" t="s">
        <v>3183</v>
      </c>
      <c r="H185" s="3253">
        <f t="shared" si="2"/>
        <v>7.81</v>
      </c>
    </row>
    <row r="186" spans="1:8">
      <c r="A186" s="3247">
        <v>185</v>
      </c>
      <c r="B186" s="3612"/>
      <c r="C186" s="3606" t="s">
        <v>3181</v>
      </c>
      <c r="D186" s="3606"/>
      <c r="E186" s="3249" t="s">
        <v>3367</v>
      </c>
      <c r="F186" s="3249">
        <v>32.020000000000003</v>
      </c>
      <c r="G186" s="3250" t="s">
        <v>3183</v>
      </c>
      <c r="H186" s="3253">
        <f t="shared" si="2"/>
        <v>7.81</v>
      </c>
    </row>
    <row r="187" spans="1:8">
      <c r="A187" s="3247">
        <v>186</v>
      </c>
      <c r="B187" s="3612"/>
      <c r="C187" s="3606" t="s">
        <v>3181</v>
      </c>
      <c r="D187" s="3606"/>
      <c r="E187" s="3249" t="s">
        <v>3368</v>
      </c>
      <c r="F187" s="3249">
        <v>32.020000000000003</v>
      </c>
      <c r="G187" s="3250" t="s">
        <v>3183</v>
      </c>
      <c r="H187" s="3253">
        <f t="shared" si="2"/>
        <v>7.81</v>
      </c>
    </row>
    <row r="188" spans="1:8">
      <c r="A188" s="3247">
        <v>187</v>
      </c>
      <c r="B188" s="3612"/>
      <c r="C188" s="3606" t="s">
        <v>3181</v>
      </c>
      <c r="D188" s="3606"/>
      <c r="E188" s="3249" t="s">
        <v>3369</v>
      </c>
      <c r="F188" s="3249">
        <v>32.020000000000003</v>
      </c>
      <c r="G188" s="3250" t="s">
        <v>3183</v>
      </c>
      <c r="H188" s="3253">
        <f t="shared" si="2"/>
        <v>7.81</v>
      </c>
    </row>
    <row r="189" spans="1:8">
      <c r="A189" s="3247">
        <v>188</v>
      </c>
      <c r="B189" s="3612"/>
      <c r="C189" s="3606" t="s">
        <v>3181</v>
      </c>
      <c r="D189" s="3606"/>
      <c r="E189" s="3249" t="s">
        <v>3370</v>
      </c>
      <c r="F189" s="3249">
        <v>32.020000000000003</v>
      </c>
      <c r="G189" s="3250" t="s">
        <v>3183</v>
      </c>
      <c r="H189" s="3253">
        <f t="shared" si="2"/>
        <v>7.81</v>
      </c>
    </row>
    <row r="190" spans="1:8">
      <c r="A190" s="3247">
        <v>189</v>
      </c>
      <c r="B190" s="3612"/>
      <c r="C190" s="3606" t="s">
        <v>3181</v>
      </c>
      <c r="D190" s="3606"/>
      <c r="E190" s="3249" t="s">
        <v>3371</v>
      </c>
      <c r="F190" s="3249">
        <v>32.020000000000003</v>
      </c>
      <c r="G190" s="3250" t="s">
        <v>3183</v>
      </c>
      <c r="H190" s="3253">
        <f t="shared" si="2"/>
        <v>7.81</v>
      </c>
    </row>
    <row r="191" spans="1:8">
      <c r="A191" s="3247">
        <v>190</v>
      </c>
      <c r="B191" s="3612"/>
      <c r="C191" s="3606" t="s">
        <v>3181</v>
      </c>
      <c r="D191" s="3606"/>
      <c r="E191" s="3249" t="s">
        <v>3372</v>
      </c>
      <c r="F191" s="3249">
        <v>32.020000000000003</v>
      </c>
      <c r="G191" s="3250" t="s">
        <v>3183</v>
      </c>
      <c r="H191" s="3253">
        <f t="shared" si="2"/>
        <v>7.81</v>
      </c>
    </row>
    <row r="192" spans="1:8">
      <c r="A192" s="3247">
        <v>191</v>
      </c>
      <c r="B192" s="3612"/>
      <c r="C192" s="3606" t="s">
        <v>3181</v>
      </c>
      <c r="D192" s="3606"/>
      <c r="E192" s="3249" t="s">
        <v>3373</v>
      </c>
      <c r="F192" s="3249">
        <v>32.020000000000003</v>
      </c>
      <c r="G192" s="3250" t="s">
        <v>3183</v>
      </c>
      <c r="H192" s="3253">
        <f t="shared" si="2"/>
        <v>7.81</v>
      </c>
    </row>
    <row r="193" spans="1:8">
      <c r="A193" s="3247">
        <v>192</v>
      </c>
      <c r="B193" s="3612"/>
      <c r="C193" s="3606" t="s">
        <v>3181</v>
      </c>
      <c r="D193" s="3606"/>
      <c r="E193" s="3249" t="s">
        <v>3374</v>
      </c>
      <c r="F193" s="3249">
        <v>32.020000000000003</v>
      </c>
      <c r="G193" s="3250" t="s">
        <v>3183</v>
      </c>
      <c r="H193" s="3253">
        <f t="shared" si="2"/>
        <v>7.81</v>
      </c>
    </row>
    <row r="194" spans="1:8">
      <c r="A194" s="3247">
        <v>193</v>
      </c>
      <c r="B194" s="3612"/>
      <c r="C194" s="3606" t="s">
        <v>3181</v>
      </c>
      <c r="D194" s="3606"/>
      <c r="E194" s="3249" t="s">
        <v>3375</v>
      </c>
      <c r="F194" s="3249">
        <v>32.020000000000003</v>
      </c>
      <c r="G194" s="3250" t="s">
        <v>3183</v>
      </c>
      <c r="H194" s="3253">
        <f t="shared" si="2"/>
        <v>7.81</v>
      </c>
    </row>
    <row r="195" spans="1:8">
      <c r="A195" s="3247">
        <v>194</v>
      </c>
      <c r="B195" s="3612"/>
      <c r="C195" s="3606" t="s">
        <v>3181</v>
      </c>
      <c r="D195" s="3606"/>
      <c r="E195" s="3249" t="s">
        <v>3376</v>
      </c>
      <c r="F195" s="3249">
        <v>32.020000000000003</v>
      </c>
      <c r="G195" s="3250" t="s">
        <v>3183</v>
      </c>
      <c r="H195" s="3253">
        <f t="shared" ref="H195:H258" si="3">ROUND(F195/$J$4*$K$4,2)</f>
        <v>7.81</v>
      </c>
    </row>
    <row r="196" spans="1:8">
      <c r="A196" s="3247">
        <v>195</v>
      </c>
      <c r="B196" s="3612"/>
      <c r="C196" s="3606" t="s">
        <v>3181</v>
      </c>
      <c r="D196" s="3606"/>
      <c r="E196" s="3249" t="s">
        <v>3377</v>
      </c>
      <c r="F196" s="3249">
        <v>32.020000000000003</v>
      </c>
      <c r="G196" s="3250" t="s">
        <v>3183</v>
      </c>
      <c r="H196" s="3253">
        <f t="shared" si="3"/>
        <v>7.81</v>
      </c>
    </row>
    <row r="197" spans="1:8">
      <c r="A197" s="3247">
        <v>196</v>
      </c>
      <c r="B197" s="3612"/>
      <c r="C197" s="3606" t="s">
        <v>3181</v>
      </c>
      <c r="D197" s="3606"/>
      <c r="E197" s="3249" t="s">
        <v>3378</v>
      </c>
      <c r="F197" s="3249">
        <v>32.020000000000003</v>
      </c>
      <c r="G197" s="3250" t="s">
        <v>3183</v>
      </c>
      <c r="H197" s="3253">
        <f t="shared" si="3"/>
        <v>7.81</v>
      </c>
    </row>
    <row r="198" spans="1:8">
      <c r="A198" s="3247">
        <v>197</v>
      </c>
      <c r="B198" s="3612"/>
      <c r="C198" s="3606" t="s">
        <v>3181</v>
      </c>
      <c r="D198" s="3606"/>
      <c r="E198" s="3249" t="s">
        <v>3379</v>
      </c>
      <c r="F198" s="3249">
        <v>32.020000000000003</v>
      </c>
      <c r="G198" s="3250" t="s">
        <v>3183</v>
      </c>
      <c r="H198" s="3253">
        <f t="shared" si="3"/>
        <v>7.81</v>
      </c>
    </row>
    <row r="199" spans="1:8">
      <c r="A199" s="3247">
        <v>198</v>
      </c>
      <c r="B199" s="3612"/>
      <c r="C199" s="3606" t="s">
        <v>3181</v>
      </c>
      <c r="D199" s="3606"/>
      <c r="E199" s="3249" t="s">
        <v>3380</v>
      </c>
      <c r="F199" s="3249">
        <v>32.020000000000003</v>
      </c>
      <c r="G199" s="3250" t="s">
        <v>3183</v>
      </c>
      <c r="H199" s="3253">
        <f t="shared" si="3"/>
        <v>7.81</v>
      </c>
    </row>
    <row r="200" spans="1:8">
      <c r="A200" s="3247">
        <v>199</v>
      </c>
      <c r="B200" s="3612"/>
      <c r="C200" s="3606" t="s">
        <v>3181</v>
      </c>
      <c r="D200" s="3606"/>
      <c r="E200" s="3249" t="s">
        <v>3381</v>
      </c>
      <c r="F200" s="3249">
        <v>32.020000000000003</v>
      </c>
      <c r="G200" s="3250" t="s">
        <v>3183</v>
      </c>
      <c r="H200" s="3253">
        <f t="shared" si="3"/>
        <v>7.81</v>
      </c>
    </row>
    <row r="201" spans="1:8">
      <c r="A201" s="3247">
        <v>200</v>
      </c>
      <c r="B201" s="3612"/>
      <c r="C201" s="3606" t="s">
        <v>3181</v>
      </c>
      <c r="D201" s="3606"/>
      <c r="E201" s="3249" t="s">
        <v>3382</v>
      </c>
      <c r="F201" s="3249">
        <v>32.020000000000003</v>
      </c>
      <c r="G201" s="3250" t="s">
        <v>3183</v>
      </c>
      <c r="H201" s="3253">
        <f t="shared" si="3"/>
        <v>7.81</v>
      </c>
    </row>
    <row r="202" spans="1:8">
      <c r="A202" s="3247">
        <v>201</v>
      </c>
      <c r="B202" s="3612"/>
      <c r="C202" s="3606" t="s">
        <v>3181</v>
      </c>
      <c r="D202" s="3606"/>
      <c r="E202" s="3249" t="s">
        <v>3383</v>
      </c>
      <c r="F202" s="3249">
        <v>32.020000000000003</v>
      </c>
      <c r="G202" s="3250" t="s">
        <v>3183</v>
      </c>
      <c r="H202" s="3253">
        <f t="shared" si="3"/>
        <v>7.81</v>
      </c>
    </row>
    <row r="203" spans="1:8">
      <c r="A203" s="3247">
        <v>202</v>
      </c>
      <c r="B203" s="3612"/>
      <c r="C203" s="3606" t="s">
        <v>3181</v>
      </c>
      <c r="D203" s="3606"/>
      <c r="E203" s="3249" t="s">
        <v>3384</v>
      </c>
      <c r="F203" s="3249">
        <v>32.020000000000003</v>
      </c>
      <c r="G203" s="3250" t="s">
        <v>3183</v>
      </c>
      <c r="H203" s="3253">
        <f t="shared" si="3"/>
        <v>7.81</v>
      </c>
    </row>
    <row r="204" spans="1:8">
      <c r="A204" s="3247">
        <v>203</v>
      </c>
      <c r="B204" s="3612"/>
      <c r="C204" s="3606" t="s">
        <v>3181</v>
      </c>
      <c r="D204" s="3606"/>
      <c r="E204" s="3249" t="s">
        <v>3385</v>
      </c>
      <c r="F204" s="3249">
        <v>32.020000000000003</v>
      </c>
      <c r="G204" s="3250" t="s">
        <v>3183</v>
      </c>
      <c r="H204" s="3253">
        <f t="shared" si="3"/>
        <v>7.81</v>
      </c>
    </row>
    <row r="205" spans="1:8">
      <c r="A205" s="3247">
        <v>204</v>
      </c>
      <c r="B205" s="3612"/>
      <c r="C205" s="3606" t="s">
        <v>3181</v>
      </c>
      <c r="D205" s="3606"/>
      <c r="E205" s="3249" t="s">
        <v>3386</v>
      </c>
      <c r="F205" s="3249">
        <v>32.020000000000003</v>
      </c>
      <c r="G205" s="3250" t="s">
        <v>3183</v>
      </c>
      <c r="H205" s="3253">
        <f t="shared" si="3"/>
        <v>7.81</v>
      </c>
    </row>
    <row r="206" spans="1:8">
      <c r="A206" s="3247">
        <v>205</v>
      </c>
      <c r="B206" s="3612"/>
      <c r="C206" s="3606" t="s">
        <v>3181</v>
      </c>
      <c r="D206" s="3606"/>
      <c r="E206" s="3249" t="s">
        <v>3387</v>
      </c>
      <c r="F206" s="3249">
        <v>32.020000000000003</v>
      </c>
      <c r="G206" s="3250" t="s">
        <v>3183</v>
      </c>
      <c r="H206" s="3253">
        <f t="shared" si="3"/>
        <v>7.81</v>
      </c>
    </row>
    <row r="207" spans="1:8">
      <c r="A207" s="3247">
        <v>206</v>
      </c>
      <c r="B207" s="3612"/>
      <c r="C207" s="3606" t="s">
        <v>3181</v>
      </c>
      <c r="D207" s="3606"/>
      <c r="E207" s="3249" t="s">
        <v>3388</v>
      </c>
      <c r="F207" s="3249">
        <v>32.020000000000003</v>
      </c>
      <c r="G207" s="3250" t="s">
        <v>3183</v>
      </c>
      <c r="H207" s="3253">
        <f t="shared" si="3"/>
        <v>7.81</v>
      </c>
    </row>
    <row r="208" spans="1:8">
      <c r="A208" s="3247">
        <v>207</v>
      </c>
      <c r="B208" s="3612"/>
      <c r="C208" s="3606" t="s">
        <v>3181</v>
      </c>
      <c r="D208" s="3606"/>
      <c r="E208" s="3249" t="s">
        <v>3389</v>
      </c>
      <c r="F208" s="3249">
        <v>32.020000000000003</v>
      </c>
      <c r="G208" s="3250" t="s">
        <v>3183</v>
      </c>
      <c r="H208" s="3253">
        <f t="shared" si="3"/>
        <v>7.81</v>
      </c>
    </row>
    <row r="209" spans="1:8">
      <c r="A209" s="3247">
        <v>208</v>
      </c>
      <c r="B209" s="3612"/>
      <c r="C209" s="3606" t="s">
        <v>3181</v>
      </c>
      <c r="D209" s="3606"/>
      <c r="E209" s="3249" t="s">
        <v>3390</v>
      </c>
      <c r="F209" s="3249">
        <v>32.020000000000003</v>
      </c>
      <c r="G209" s="3250" t="s">
        <v>3183</v>
      </c>
      <c r="H209" s="3253">
        <f t="shared" si="3"/>
        <v>7.81</v>
      </c>
    </row>
    <row r="210" spans="1:8">
      <c r="A210" s="3247">
        <v>209</v>
      </c>
      <c r="B210" s="3612"/>
      <c r="C210" s="3606" t="s">
        <v>3181</v>
      </c>
      <c r="D210" s="3606"/>
      <c r="E210" s="3249" t="s">
        <v>3391</v>
      </c>
      <c r="F210" s="3249">
        <v>32.020000000000003</v>
      </c>
      <c r="G210" s="3250" t="s">
        <v>3183</v>
      </c>
      <c r="H210" s="3253">
        <f t="shared" si="3"/>
        <v>7.81</v>
      </c>
    </row>
    <row r="211" spans="1:8">
      <c r="A211" s="3247">
        <v>210</v>
      </c>
      <c r="B211" s="3612"/>
      <c r="C211" s="3606" t="s">
        <v>3181</v>
      </c>
      <c r="D211" s="3606"/>
      <c r="E211" s="3249" t="s">
        <v>3392</v>
      </c>
      <c r="F211" s="3249">
        <v>32.020000000000003</v>
      </c>
      <c r="G211" s="3250" t="s">
        <v>3183</v>
      </c>
      <c r="H211" s="3253">
        <f t="shared" si="3"/>
        <v>7.81</v>
      </c>
    </row>
    <row r="212" spans="1:8">
      <c r="A212" s="3247">
        <v>211</v>
      </c>
      <c r="B212" s="3612"/>
      <c r="C212" s="3606" t="s">
        <v>3181</v>
      </c>
      <c r="D212" s="3606"/>
      <c r="E212" s="3249" t="s">
        <v>3393</v>
      </c>
      <c r="F212" s="3249">
        <v>32.020000000000003</v>
      </c>
      <c r="G212" s="3250" t="s">
        <v>3183</v>
      </c>
      <c r="H212" s="3253">
        <f t="shared" si="3"/>
        <v>7.81</v>
      </c>
    </row>
    <row r="213" spans="1:8">
      <c r="A213" s="3247">
        <v>212</v>
      </c>
      <c r="B213" s="3612"/>
      <c r="C213" s="3606" t="s">
        <v>3181</v>
      </c>
      <c r="D213" s="3606"/>
      <c r="E213" s="3249" t="s">
        <v>3394</v>
      </c>
      <c r="F213" s="3249">
        <v>32.020000000000003</v>
      </c>
      <c r="G213" s="3250" t="s">
        <v>3183</v>
      </c>
      <c r="H213" s="3253">
        <f t="shared" si="3"/>
        <v>7.81</v>
      </c>
    </row>
    <row r="214" spans="1:8">
      <c r="A214" s="3247">
        <v>213</v>
      </c>
      <c r="B214" s="3612"/>
      <c r="C214" s="3606" t="s">
        <v>3181</v>
      </c>
      <c r="D214" s="3606"/>
      <c r="E214" s="3249" t="s">
        <v>3395</v>
      </c>
      <c r="F214" s="3249">
        <v>32.020000000000003</v>
      </c>
      <c r="G214" s="3250" t="s">
        <v>3183</v>
      </c>
      <c r="H214" s="3253">
        <f t="shared" si="3"/>
        <v>7.81</v>
      </c>
    </row>
    <row r="215" spans="1:8">
      <c r="A215" s="3247">
        <v>214</v>
      </c>
      <c r="B215" s="3612"/>
      <c r="C215" s="3606" t="s">
        <v>3181</v>
      </c>
      <c r="D215" s="3606"/>
      <c r="E215" s="3249" t="s">
        <v>3396</v>
      </c>
      <c r="F215" s="3249">
        <v>32.020000000000003</v>
      </c>
      <c r="G215" s="3250" t="s">
        <v>3183</v>
      </c>
      <c r="H215" s="3253">
        <f t="shared" si="3"/>
        <v>7.81</v>
      </c>
    </row>
    <row r="216" spans="1:8">
      <c r="A216" s="3247">
        <v>215</v>
      </c>
      <c r="B216" s="3612"/>
      <c r="C216" s="3606" t="s">
        <v>3181</v>
      </c>
      <c r="D216" s="3606"/>
      <c r="E216" s="3249" t="s">
        <v>3397</v>
      </c>
      <c r="F216" s="3249">
        <v>32.020000000000003</v>
      </c>
      <c r="G216" s="3250" t="s">
        <v>3183</v>
      </c>
      <c r="H216" s="3253">
        <f t="shared" si="3"/>
        <v>7.81</v>
      </c>
    </row>
    <row r="217" spans="1:8">
      <c r="A217" s="3247">
        <v>216</v>
      </c>
      <c r="B217" s="3612"/>
      <c r="C217" s="3606" t="s">
        <v>3181</v>
      </c>
      <c r="D217" s="3606"/>
      <c r="E217" s="3249" t="s">
        <v>3398</v>
      </c>
      <c r="F217" s="3249">
        <v>32.020000000000003</v>
      </c>
      <c r="G217" s="3250" t="s">
        <v>3183</v>
      </c>
      <c r="H217" s="3253">
        <f t="shared" si="3"/>
        <v>7.81</v>
      </c>
    </row>
    <row r="218" spans="1:8">
      <c r="A218" s="3247">
        <v>217</v>
      </c>
      <c r="B218" s="3612"/>
      <c r="C218" s="3606" t="s">
        <v>3181</v>
      </c>
      <c r="D218" s="3606"/>
      <c r="E218" s="3249" t="s">
        <v>3399</v>
      </c>
      <c r="F218" s="3249">
        <v>32.020000000000003</v>
      </c>
      <c r="G218" s="3250" t="s">
        <v>3183</v>
      </c>
      <c r="H218" s="3253">
        <f t="shared" si="3"/>
        <v>7.81</v>
      </c>
    </row>
    <row r="219" spans="1:8">
      <c r="A219" s="3247">
        <v>218</v>
      </c>
      <c r="B219" s="3612"/>
      <c r="C219" s="3606" t="s">
        <v>3181</v>
      </c>
      <c r="D219" s="3606"/>
      <c r="E219" s="3249" t="s">
        <v>3400</v>
      </c>
      <c r="F219" s="3249">
        <v>32.020000000000003</v>
      </c>
      <c r="G219" s="3250" t="s">
        <v>3183</v>
      </c>
      <c r="H219" s="3253">
        <f t="shared" si="3"/>
        <v>7.81</v>
      </c>
    </row>
    <row r="220" spans="1:8">
      <c r="A220" s="3247">
        <v>219</v>
      </c>
      <c r="B220" s="3612"/>
      <c r="C220" s="3606" t="s">
        <v>3181</v>
      </c>
      <c r="D220" s="3606"/>
      <c r="E220" s="3249" t="s">
        <v>3401</v>
      </c>
      <c r="F220" s="3249">
        <v>32.020000000000003</v>
      </c>
      <c r="G220" s="3250" t="s">
        <v>3183</v>
      </c>
      <c r="H220" s="3253">
        <f t="shared" si="3"/>
        <v>7.81</v>
      </c>
    </row>
    <row r="221" spans="1:8">
      <c r="A221" s="3247">
        <v>220</v>
      </c>
      <c r="B221" s="3612"/>
      <c r="C221" s="3606" t="s">
        <v>3181</v>
      </c>
      <c r="D221" s="3606"/>
      <c r="E221" s="3249" t="s">
        <v>3402</v>
      </c>
      <c r="F221" s="3249">
        <v>32.020000000000003</v>
      </c>
      <c r="G221" s="3250" t="s">
        <v>3183</v>
      </c>
      <c r="H221" s="3253">
        <f t="shared" si="3"/>
        <v>7.81</v>
      </c>
    </row>
    <row r="222" spans="1:8">
      <c r="A222" s="3247">
        <v>221</v>
      </c>
      <c r="B222" s="3612"/>
      <c r="C222" s="3606" t="s">
        <v>3181</v>
      </c>
      <c r="D222" s="3606"/>
      <c r="E222" s="3249" t="s">
        <v>3403</v>
      </c>
      <c r="F222" s="3249">
        <v>33.36</v>
      </c>
      <c r="G222" s="3250" t="s">
        <v>3183</v>
      </c>
      <c r="H222" s="3253">
        <f t="shared" si="3"/>
        <v>8.1300000000000008</v>
      </c>
    </row>
    <row r="223" spans="1:8">
      <c r="A223" s="3247">
        <v>222</v>
      </c>
      <c r="B223" s="3612"/>
      <c r="C223" s="3606" t="s">
        <v>3181</v>
      </c>
      <c r="D223" s="3606"/>
      <c r="E223" s="3249" t="s">
        <v>3404</v>
      </c>
      <c r="F223" s="3249">
        <v>32.020000000000003</v>
      </c>
      <c r="G223" s="3250" t="s">
        <v>3183</v>
      </c>
      <c r="H223" s="3253">
        <f t="shared" si="3"/>
        <v>7.81</v>
      </c>
    </row>
    <row r="224" spans="1:8">
      <c r="A224" s="3247">
        <v>223</v>
      </c>
      <c r="B224" s="3612"/>
      <c r="C224" s="3606" t="s">
        <v>3181</v>
      </c>
      <c r="D224" s="3606"/>
      <c r="E224" s="3249" t="s">
        <v>3405</v>
      </c>
      <c r="F224" s="3249">
        <v>32.020000000000003</v>
      </c>
      <c r="G224" s="3250" t="s">
        <v>3183</v>
      </c>
      <c r="H224" s="3253">
        <f t="shared" si="3"/>
        <v>7.81</v>
      </c>
    </row>
    <row r="225" spans="1:8">
      <c r="A225" s="3247">
        <v>224</v>
      </c>
      <c r="B225" s="3612"/>
      <c r="C225" s="3606" t="s">
        <v>3181</v>
      </c>
      <c r="D225" s="3606"/>
      <c r="E225" s="3249" t="s">
        <v>3406</v>
      </c>
      <c r="F225" s="3249">
        <v>32.020000000000003</v>
      </c>
      <c r="G225" s="3250" t="s">
        <v>3183</v>
      </c>
      <c r="H225" s="3253">
        <f t="shared" si="3"/>
        <v>7.81</v>
      </c>
    </row>
    <row r="226" spans="1:8">
      <c r="A226" s="3247">
        <v>225</v>
      </c>
      <c r="B226" s="3612"/>
      <c r="C226" s="3606" t="s">
        <v>3181</v>
      </c>
      <c r="D226" s="3606"/>
      <c r="E226" s="3249" t="s">
        <v>3407</v>
      </c>
      <c r="F226" s="3249">
        <v>32.020000000000003</v>
      </c>
      <c r="G226" s="3250" t="s">
        <v>3183</v>
      </c>
      <c r="H226" s="3253">
        <f t="shared" si="3"/>
        <v>7.81</v>
      </c>
    </row>
    <row r="227" spans="1:8">
      <c r="A227" s="3247">
        <v>226</v>
      </c>
      <c r="B227" s="3612"/>
      <c r="C227" s="3606" t="s">
        <v>3181</v>
      </c>
      <c r="D227" s="3606"/>
      <c r="E227" s="3249" t="s">
        <v>3408</v>
      </c>
      <c r="F227" s="3249">
        <v>32.020000000000003</v>
      </c>
      <c r="G227" s="3250" t="s">
        <v>3183</v>
      </c>
      <c r="H227" s="3253">
        <f t="shared" si="3"/>
        <v>7.81</v>
      </c>
    </row>
    <row r="228" spans="1:8">
      <c r="A228" s="3247">
        <v>227</v>
      </c>
      <c r="B228" s="3612"/>
      <c r="C228" s="3606" t="s">
        <v>3181</v>
      </c>
      <c r="D228" s="3606"/>
      <c r="E228" s="3249" t="s">
        <v>3409</v>
      </c>
      <c r="F228" s="3249">
        <v>32.020000000000003</v>
      </c>
      <c r="G228" s="3250" t="s">
        <v>3183</v>
      </c>
      <c r="H228" s="3253">
        <f t="shared" si="3"/>
        <v>7.81</v>
      </c>
    </row>
    <row r="229" spans="1:8">
      <c r="A229" s="3247">
        <v>228</v>
      </c>
      <c r="B229" s="3612"/>
      <c r="C229" s="3606" t="s">
        <v>3181</v>
      </c>
      <c r="D229" s="3606"/>
      <c r="E229" s="3249" t="s">
        <v>3410</v>
      </c>
      <c r="F229" s="3249">
        <v>32.020000000000003</v>
      </c>
      <c r="G229" s="3250" t="s">
        <v>3183</v>
      </c>
      <c r="H229" s="3253">
        <f t="shared" si="3"/>
        <v>7.81</v>
      </c>
    </row>
    <row r="230" spans="1:8">
      <c r="A230" s="3247">
        <v>229</v>
      </c>
      <c r="B230" s="3612"/>
      <c r="C230" s="3606" t="s">
        <v>3181</v>
      </c>
      <c r="D230" s="3606"/>
      <c r="E230" s="3249" t="s">
        <v>3411</v>
      </c>
      <c r="F230" s="3249">
        <v>32.020000000000003</v>
      </c>
      <c r="G230" s="3250" t="s">
        <v>3183</v>
      </c>
      <c r="H230" s="3253">
        <f t="shared" si="3"/>
        <v>7.81</v>
      </c>
    </row>
    <row r="231" spans="1:8">
      <c r="A231" s="3247">
        <v>230</v>
      </c>
      <c r="B231" s="3612"/>
      <c r="C231" s="3606" t="s">
        <v>3181</v>
      </c>
      <c r="D231" s="3606"/>
      <c r="E231" s="3249" t="s">
        <v>3412</v>
      </c>
      <c r="F231" s="3249">
        <v>32.020000000000003</v>
      </c>
      <c r="G231" s="3250" t="s">
        <v>3183</v>
      </c>
      <c r="H231" s="3253">
        <f t="shared" si="3"/>
        <v>7.81</v>
      </c>
    </row>
    <row r="232" spans="1:8">
      <c r="A232" s="3247">
        <v>231</v>
      </c>
      <c r="B232" s="3612"/>
      <c r="C232" s="3606" t="s">
        <v>3181</v>
      </c>
      <c r="D232" s="3606"/>
      <c r="E232" s="3249" t="s">
        <v>3413</v>
      </c>
      <c r="F232" s="3249">
        <v>32.020000000000003</v>
      </c>
      <c r="G232" s="3250" t="s">
        <v>3183</v>
      </c>
      <c r="H232" s="3253">
        <f t="shared" si="3"/>
        <v>7.81</v>
      </c>
    </row>
    <row r="233" spans="1:8">
      <c r="A233" s="3247">
        <v>232</v>
      </c>
      <c r="B233" s="3612"/>
      <c r="C233" s="3606" t="s">
        <v>3181</v>
      </c>
      <c r="D233" s="3606"/>
      <c r="E233" s="3249" t="s">
        <v>3414</v>
      </c>
      <c r="F233" s="3249">
        <v>32.020000000000003</v>
      </c>
      <c r="G233" s="3250" t="s">
        <v>3183</v>
      </c>
      <c r="H233" s="3253">
        <f t="shared" si="3"/>
        <v>7.81</v>
      </c>
    </row>
    <row r="234" spans="1:8">
      <c r="A234" s="3247">
        <v>233</v>
      </c>
      <c r="B234" s="3612"/>
      <c r="C234" s="3606" t="s">
        <v>3181</v>
      </c>
      <c r="D234" s="3606"/>
      <c r="E234" s="3249" t="s">
        <v>3415</v>
      </c>
      <c r="F234" s="3249">
        <v>32.020000000000003</v>
      </c>
      <c r="G234" s="3250" t="s">
        <v>3183</v>
      </c>
      <c r="H234" s="3253">
        <f t="shared" si="3"/>
        <v>7.81</v>
      </c>
    </row>
    <row r="235" spans="1:8">
      <c r="A235" s="3247">
        <v>234</v>
      </c>
      <c r="B235" s="3612"/>
      <c r="C235" s="3606" t="s">
        <v>3181</v>
      </c>
      <c r="D235" s="3606"/>
      <c r="E235" s="3249" t="s">
        <v>3416</v>
      </c>
      <c r="F235" s="3249">
        <v>32.020000000000003</v>
      </c>
      <c r="G235" s="3250" t="s">
        <v>3183</v>
      </c>
      <c r="H235" s="3253">
        <f t="shared" si="3"/>
        <v>7.81</v>
      </c>
    </row>
    <row r="236" spans="1:8">
      <c r="A236" s="3247">
        <v>235</v>
      </c>
      <c r="B236" s="3612"/>
      <c r="C236" s="3606" t="s">
        <v>3181</v>
      </c>
      <c r="D236" s="3606"/>
      <c r="E236" s="3249" t="s">
        <v>3417</v>
      </c>
      <c r="F236" s="3249">
        <v>32.020000000000003</v>
      </c>
      <c r="G236" s="3250" t="s">
        <v>3183</v>
      </c>
      <c r="H236" s="3253">
        <f t="shared" si="3"/>
        <v>7.81</v>
      </c>
    </row>
    <row r="237" spans="1:8">
      <c r="A237" s="3247">
        <v>236</v>
      </c>
      <c r="B237" s="3612"/>
      <c r="C237" s="3606" t="s">
        <v>3181</v>
      </c>
      <c r="D237" s="3606"/>
      <c r="E237" s="3249" t="s">
        <v>3418</v>
      </c>
      <c r="F237" s="3249">
        <v>32.020000000000003</v>
      </c>
      <c r="G237" s="3250" t="s">
        <v>3183</v>
      </c>
      <c r="H237" s="3253">
        <f t="shared" si="3"/>
        <v>7.81</v>
      </c>
    </row>
    <row r="238" spans="1:8">
      <c r="A238" s="3247">
        <v>237</v>
      </c>
      <c r="B238" s="3612"/>
      <c r="C238" s="3606" t="s">
        <v>3181</v>
      </c>
      <c r="D238" s="3606"/>
      <c r="E238" s="3249" t="s">
        <v>3419</v>
      </c>
      <c r="F238" s="3249">
        <v>32.020000000000003</v>
      </c>
      <c r="G238" s="3250" t="s">
        <v>3183</v>
      </c>
      <c r="H238" s="3253">
        <f t="shared" si="3"/>
        <v>7.81</v>
      </c>
    </row>
    <row r="239" spans="1:8">
      <c r="A239" s="3247">
        <v>238</v>
      </c>
      <c r="B239" s="3612"/>
      <c r="C239" s="3606" t="s">
        <v>3181</v>
      </c>
      <c r="D239" s="3606"/>
      <c r="E239" s="3249" t="s">
        <v>3420</v>
      </c>
      <c r="F239" s="3249">
        <v>33.36</v>
      </c>
      <c r="G239" s="3250" t="s">
        <v>3183</v>
      </c>
      <c r="H239" s="3253">
        <f t="shared" si="3"/>
        <v>8.1300000000000008</v>
      </c>
    </row>
    <row r="240" spans="1:8">
      <c r="A240" s="3247">
        <v>239</v>
      </c>
      <c r="B240" s="3612"/>
      <c r="C240" s="3606" t="s">
        <v>3181</v>
      </c>
      <c r="D240" s="3606"/>
      <c r="E240" s="3249" t="s">
        <v>3421</v>
      </c>
      <c r="F240" s="3249">
        <v>33.36</v>
      </c>
      <c r="G240" s="3250" t="s">
        <v>3183</v>
      </c>
      <c r="H240" s="3253">
        <f t="shared" si="3"/>
        <v>8.1300000000000008</v>
      </c>
    </row>
    <row r="241" spans="1:8">
      <c r="A241" s="3247">
        <v>240</v>
      </c>
      <c r="B241" s="3612"/>
      <c r="C241" s="3606" t="s">
        <v>3181</v>
      </c>
      <c r="D241" s="3606"/>
      <c r="E241" s="3249" t="s">
        <v>3422</v>
      </c>
      <c r="F241" s="3249">
        <v>33.36</v>
      </c>
      <c r="G241" s="3250" t="s">
        <v>3183</v>
      </c>
      <c r="H241" s="3253">
        <f t="shared" si="3"/>
        <v>8.1300000000000008</v>
      </c>
    </row>
    <row r="242" spans="1:8">
      <c r="A242" s="3247">
        <v>241</v>
      </c>
      <c r="B242" s="3612"/>
      <c r="C242" s="3606" t="s">
        <v>3181</v>
      </c>
      <c r="D242" s="3606"/>
      <c r="E242" s="3249" t="s">
        <v>3423</v>
      </c>
      <c r="F242" s="3249">
        <v>33.36</v>
      </c>
      <c r="G242" s="3250" t="s">
        <v>3183</v>
      </c>
      <c r="H242" s="3253">
        <f t="shared" si="3"/>
        <v>8.1300000000000008</v>
      </c>
    </row>
    <row r="243" spans="1:8">
      <c r="A243" s="3247">
        <v>242</v>
      </c>
      <c r="B243" s="3612"/>
      <c r="C243" s="3606" t="s">
        <v>3181</v>
      </c>
      <c r="D243" s="3606"/>
      <c r="E243" s="3249" t="s">
        <v>3424</v>
      </c>
      <c r="F243" s="3249">
        <v>33.36</v>
      </c>
      <c r="G243" s="3250" t="s">
        <v>3183</v>
      </c>
      <c r="H243" s="3253">
        <f t="shared" si="3"/>
        <v>8.1300000000000008</v>
      </c>
    </row>
    <row r="244" spans="1:8">
      <c r="A244" s="3247">
        <v>243</v>
      </c>
      <c r="B244" s="3612"/>
      <c r="C244" s="3606" t="s">
        <v>3181</v>
      </c>
      <c r="D244" s="3606"/>
      <c r="E244" s="3249" t="s">
        <v>3425</v>
      </c>
      <c r="F244" s="3249">
        <v>33.36</v>
      </c>
      <c r="G244" s="3250" t="s">
        <v>3183</v>
      </c>
      <c r="H244" s="3253">
        <f t="shared" si="3"/>
        <v>8.1300000000000008</v>
      </c>
    </row>
    <row r="245" spans="1:8">
      <c r="A245" s="3247">
        <v>244</v>
      </c>
      <c r="B245" s="3612"/>
      <c r="C245" s="3606" t="s">
        <v>3181</v>
      </c>
      <c r="D245" s="3606"/>
      <c r="E245" s="3249" t="s">
        <v>3426</v>
      </c>
      <c r="F245" s="3249">
        <v>32.020000000000003</v>
      </c>
      <c r="G245" s="3250" t="s">
        <v>3183</v>
      </c>
      <c r="H245" s="3253">
        <f t="shared" si="3"/>
        <v>7.81</v>
      </c>
    </row>
    <row r="246" spans="1:8">
      <c r="A246" s="3247">
        <v>245</v>
      </c>
      <c r="B246" s="3612"/>
      <c r="C246" s="3606" t="s">
        <v>3181</v>
      </c>
      <c r="D246" s="3606"/>
      <c r="E246" s="3249" t="s">
        <v>3427</v>
      </c>
      <c r="F246" s="3249">
        <v>32.020000000000003</v>
      </c>
      <c r="G246" s="3250" t="s">
        <v>3183</v>
      </c>
      <c r="H246" s="3253">
        <f t="shared" si="3"/>
        <v>7.81</v>
      </c>
    </row>
    <row r="247" spans="1:8">
      <c r="A247" s="3247">
        <v>246</v>
      </c>
      <c r="B247" s="3612"/>
      <c r="C247" s="3606" t="s">
        <v>3181</v>
      </c>
      <c r="D247" s="3606"/>
      <c r="E247" s="3249" t="s">
        <v>3428</v>
      </c>
      <c r="F247" s="3249">
        <v>32.020000000000003</v>
      </c>
      <c r="G247" s="3250" t="s">
        <v>3183</v>
      </c>
      <c r="H247" s="3253">
        <f t="shared" si="3"/>
        <v>7.81</v>
      </c>
    </row>
    <row r="248" spans="1:8">
      <c r="A248" s="3247">
        <v>247</v>
      </c>
      <c r="B248" s="3612"/>
      <c r="C248" s="3606" t="s">
        <v>3181</v>
      </c>
      <c r="D248" s="3606"/>
      <c r="E248" s="3249" t="s">
        <v>3429</v>
      </c>
      <c r="F248" s="3249">
        <v>32.020000000000003</v>
      </c>
      <c r="G248" s="3250" t="s">
        <v>3183</v>
      </c>
      <c r="H248" s="3253">
        <f t="shared" si="3"/>
        <v>7.81</v>
      </c>
    </row>
    <row r="249" spans="1:8">
      <c r="A249" s="3247">
        <v>248</v>
      </c>
      <c r="B249" s="3612"/>
      <c r="C249" s="3606" t="s">
        <v>3181</v>
      </c>
      <c r="D249" s="3606"/>
      <c r="E249" s="3249" t="s">
        <v>3430</v>
      </c>
      <c r="F249" s="3249">
        <v>32.020000000000003</v>
      </c>
      <c r="G249" s="3250" t="s">
        <v>3183</v>
      </c>
      <c r="H249" s="3253">
        <f t="shared" si="3"/>
        <v>7.81</v>
      </c>
    </row>
    <row r="250" spans="1:8">
      <c r="A250" s="3247">
        <v>249</v>
      </c>
      <c r="B250" s="3612"/>
      <c r="C250" s="3606" t="s">
        <v>3181</v>
      </c>
      <c r="D250" s="3606"/>
      <c r="E250" s="3249" t="s">
        <v>3431</v>
      </c>
      <c r="F250" s="3249">
        <v>32.020000000000003</v>
      </c>
      <c r="G250" s="3250" t="s">
        <v>3183</v>
      </c>
      <c r="H250" s="3253">
        <f t="shared" si="3"/>
        <v>7.81</v>
      </c>
    </row>
    <row r="251" spans="1:8">
      <c r="A251" s="3247">
        <v>250</v>
      </c>
      <c r="B251" s="3612"/>
      <c r="C251" s="3606" t="s">
        <v>3181</v>
      </c>
      <c r="D251" s="3606"/>
      <c r="E251" s="3249" t="s">
        <v>3432</v>
      </c>
      <c r="F251" s="3249">
        <v>32.020000000000003</v>
      </c>
      <c r="G251" s="3250" t="s">
        <v>3183</v>
      </c>
      <c r="H251" s="3253">
        <f t="shared" si="3"/>
        <v>7.81</v>
      </c>
    </row>
    <row r="252" spans="1:8">
      <c r="A252" s="3247">
        <v>251</v>
      </c>
      <c r="B252" s="3612"/>
      <c r="C252" s="3606" t="s">
        <v>3181</v>
      </c>
      <c r="D252" s="3606"/>
      <c r="E252" s="3249" t="s">
        <v>3433</v>
      </c>
      <c r="F252" s="3249">
        <v>32.020000000000003</v>
      </c>
      <c r="G252" s="3250" t="s">
        <v>3183</v>
      </c>
      <c r="H252" s="3253">
        <f t="shared" si="3"/>
        <v>7.81</v>
      </c>
    </row>
    <row r="253" spans="1:8">
      <c r="A253" s="3247">
        <v>252</v>
      </c>
      <c r="B253" s="3612"/>
      <c r="C253" s="3606" t="s">
        <v>3181</v>
      </c>
      <c r="D253" s="3606"/>
      <c r="E253" s="3249" t="s">
        <v>3434</v>
      </c>
      <c r="F253" s="3249">
        <v>32.020000000000003</v>
      </c>
      <c r="G253" s="3250" t="s">
        <v>3183</v>
      </c>
      <c r="H253" s="3253">
        <f t="shared" si="3"/>
        <v>7.81</v>
      </c>
    </row>
    <row r="254" spans="1:8">
      <c r="A254" s="3247">
        <v>253</v>
      </c>
      <c r="B254" s="3612"/>
      <c r="C254" s="3606" t="s">
        <v>3181</v>
      </c>
      <c r="D254" s="3606"/>
      <c r="E254" s="3249" t="s">
        <v>3435</v>
      </c>
      <c r="F254" s="3249">
        <v>33.36</v>
      </c>
      <c r="G254" s="3250" t="s">
        <v>3183</v>
      </c>
      <c r="H254" s="3253">
        <f t="shared" si="3"/>
        <v>8.1300000000000008</v>
      </c>
    </row>
    <row r="255" spans="1:8">
      <c r="A255" s="3247">
        <v>254</v>
      </c>
      <c r="B255" s="3612"/>
      <c r="C255" s="3606" t="s">
        <v>3181</v>
      </c>
      <c r="D255" s="3606"/>
      <c r="E255" s="3249" t="s">
        <v>3436</v>
      </c>
      <c r="F255" s="3249">
        <v>33.36</v>
      </c>
      <c r="G255" s="3250" t="s">
        <v>3183</v>
      </c>
      <c r="H255" s="3253">
        <f t="shared" si="3"/>
        <v>8.1300000000000008</v>
      </c>
    </row>
    <row r="256" spans="1:8">
      <c r="A256" s="3247">
        <v>255</v>
      </c>
      <c r="B256" s="3612"/>
      <c r="C256" s="3606" t="s">
        <v>3181</v>
      </c>
      <c r="D256" s="3606"/>
      <c r="E256" s="3249" t="s">
        <v>3437</v>
      </c>
      <c r="F256" s="3249">
        <v>33.36</v>
      </c>
      <c r="G256" s="3250" t="s">
        <v>3183</v>
      </c>
      <c r="H256" s="3253">
        <f t="shared" si="3"/>
        <v>8.1300000000000008</v>
      </c>
    </row>
    <row r="257" spans="1:8">
      <c r="A257" s="3247">
        <v>256</v>
      </c>
      <c r="B257" s="3612"/>
      <c r="C257" s="3606" t="s">
        <v>3181</v>
      </c>
      <c r="D257" s="3606"/>
      <c r="E257" s="3249" t="s">
        <v>3438</v>
      </c>
      <c r="F257" s="3249">
        <v>33.36</v>
      </c>
      <c r="G257" s="3250" t="s">
        <v>3183</v>
      </c>
      <c r="H257" s="3253">
        <f t="shared" si="3"/>
        <v>8.1300000000000008</v>
      </c>
    </row>
    <row r="258" spans="1:8">
      <c r="A258" s="3247">
        <v>257</v>
      </c>
      <c r="B258" s="3612"/>
      <c r="C258" s="3606" t="s">
        <v>3181</v>
      </c>
      <c r="D258" s="3606"/>
      <c r="E258" s="3249" t="s">
        <v>3439</v>
      </c>
      <c r="F258" s="3249">
        <v>33.36</v>
      </c>
      <c r="G258" s="3250" t="s">
        <v>3183</v>
      </c>
      <c r="H258" s="3253">
        <f t="shared" si="3"/>
        <v>8.1300000000000008</v>
      </c>
    </row>
    <row r="259" spans="1:8">
      <c r="A259" s="3247">
        <v>258</v>
      </c>
      <c r="B259" s="3612"/>
      <c r="C259" s="3606" t="s">
        <v>3181</v>
      </c>
      <c r="D259" s="3606"/>
      <c r="E259" s="3249" t="s">
        <v>3440</v>
      </c>
      <c r="F259" s="3249">
        <v>33.36</v>
      </c>
      <c r="G259" s="3250" t="s">
        <v>3183</v>
      </c>
      <c r="H259" s="3253">
        <f t="shared" ref="H259:H293" si="4">ROUND(F259/$J$4*$K$4,2)</f>
        <v>8.1300000000000008</v>
      </c>
    </row>
    <row r="260" spans="1:8">
      <c r="A260" s="3247">
        <v>259</v>
      </c>
      <c r="B260" s="3612"/>
      <c r="C260" s="3606" t="s">
        <v>3181</v>
      </c>
      <c r="D260" s="3606"/>
      <c r="E260" s="3249" t="s">
        <v>3441</v>
      </c>
      <c r="F260" s="3249">
        <v>33.36</v>
      </c>
      <c r="G260" s="3250" t="s">
        <v>3183</v>
      </c>
      <c r="H260" s="3253">
        <f t="shared" si="4"/>
        <v>8.1300000000000008</v>
      </c>
    </row>
    <row r="261" spans="1:8">
      <c r="A261" s="3247">
        <v>260</v>
      </c>
      <c r="B261" s="3612"/>
      <c r="C261" s="3606" t="s">
        <v>3181</v>
      </c>
      <c r="D261" s="3606"/>
      <c r="E261" s="3249" t="s">
        <v>3442</v>
      </c>
      <c r="F261" s="3249">
        <v>33.36</v>
      </c>
      <c r="G261" s="3250" t="s">
        <v>3183</v>
      </c>
      <c r="H261" s="3253">
        <f t="shared" si="4"/>
        <v>8.1300000000000008</v>
      </c>
    </row>
    <row r="262" spans="1:8">
      <c r="A262" s="3247">
        <v>261</v>
      </c>
      <c r="B262" s="3612"/>
      <c r="C262" s="3606" t="s">
        <v>3181</v>
      </c>
      <c r="D262" s="3606"/>
      <c r="E262" s="3249" t="s">
        <v>3443</v>
      </c>
      <c r="F262" s="3249">
        <v>32.020000000000003</v>
      </c>
      <c r="G262" s="3250" t="s">
        <v>3183</v>
      </c>
      <c r="H262" s="3253">
        <f t="shared" si="4"/>
        <v>7.81</v>
      </c>
    </row>
    <row r="263" spans="1:8">
      <c r="A263" s="3247">
        <v>262</v>
      </c>
      <c r="B263" s="3612"/>
      <c r="C263" s="3606" t="s">
        <v>3181</v>
      </c>
      <c r="D263" s="3606"/>
      <c r="E263" s="3249" t="s">
        <v>3444</v>
      </c>
      <c r="F263" s="3249">
        <v>32.020000000000003</v>
      </c>
      <c r="G263" s="3250" t="s">
        <v>3183</v>
      </c>
      <c r="H263" s="3253">
        <f t="shared" si="4"/>
        <v>7.81</v>
      </c>
    </row>
    <row r="264" spans="1:8">
      <c r="A264" s="3247">
        <v>263</v>
      </c>
      <c r="B264" s="3612"/>
      <c r="C264" s="3606" t="s">
        <v>3181</v>
      </c>
      <c r="D264" s="3606"/>
      <c r="E264" s="3249" t="s">
        <v>3445</v>
      </c>
      <c r="F264" s="3249">
        <v>32.020000000000003</v>
      </c>
      <c r="G264" s="3250" t="s">
        <v>3183</v>
      </c>
      <c r="H264" s="3253">
        <f t="shared" si="4"/>
        <v>7.81</v>
      </c>
    </row>
    <row r="265" spans="1:8">
      <c r="A265" s="3247">
        <v>264</v>
      </c>
      <c r="B265" s="3612"/>
      <c r="C265" s="3606" t="s">
        <v>3181</v>
      </c>
      <c r="D265" s="3606"/>
      <c r="E265" s="3249" t="s">
        <v>3446</v>
      </c>
      <c r="F265" s="3249">
        <v>32.020000000000003</v>
      </c>
      <c r="G265" s="3250" t="s">
        <v>3183</v>
      </c>
      <c r="H265" s="3253">
        <f t="shared" si="4"/>
        <v>7.81</v>
      </c>
    </row>
    <row r="266" spans="1:8">
      <c r="A266" s="3247">
        <v>265</v>
      </c>
      <c r="B266" s="3612"/>
      <c r="C266" s="3606" t="s">
        <v>3181</v>
      </c>
      <c r="D266" s="3606"/>
      <c r="E266" s="3249" t="s">
        <v>3447</v>
      </c>
      <c r="F266" s="3249">
        <v>32.020000000000003</v>
      </c>
      <c r="G266" s="3250" t="s">
        <v>3183</v>
      </c>
      <c r="H266" s="3253">
        <f t="shared" si="4"/>
        <v>7.81</v>
      </c>
    </row>
    <row r="267" spans="1:8">
      <c r="A267" s="3247">
        <v>266</v>
      </c>
      <c r="B267" s="3612"/>
      <c r="C267" s="3606" t="s">
        <v>3181</v>
      </c>
      <c r="D267" s="3606"/>
      <c r="E267" s="3249" t="s">
        <v>3448</v>
      </c>
      <c r="F267" s="3249">
        <v>32.020000000000003</v>
      </c>
      <c r="G267" s="3250" t="s">
        <v>3183</v>
      </c>
      <c r="H267" s="3253">
        <f t="shared" si="4"/>
        <v>7.81</v>
      </c>
    </row>
    <row r="268" spans="1:8">
      <c r="A268" s="3247">
        <v>267</v>
      </c>
      <c r="B268" s="3612"/>
      <c r="C268" s="3606" t="s">
        <v>3181</v>
      </c>
      <c r="D268" s="3606"/>
      <c r="E268" s="3249" t="s">
        <v>3449</v>
      </c>
      <c r="F268" s="3249">
        <v>32.020000000000003</v>
      </c>
      <c r="G268" s="3250" t="s">
        <v>3183</v>
      </c>
      <c r="H268" s="3253">
        <f t="shared" si="4"/>
        <v>7.81</v>
      </c>
    </row>
    <row r="269" spans="1:8">
      <c r="A269" s="3247">
        <v>268</v>
      </c>
      <c r="B269" s="3612"/>
      <c r="C269" s="3606" t="s">
        <v>3181</v>
      </c>
      <c r="D269" s="3606"/>
      <c r="E269" s="3249" t="s">
        <v>3450</v>
      </c>
      <c r="F269" s="3249">
        <v>32.020000000000003</v>
      </c>
      <c r="G269" s="3250" t="s">
        <v>3183</v>
      </c>
      <c r="H269" s="3253">
        <f t="shared" si="4"/>
        <v>7.81</v>
      </c>
    </row>
    <row r="270" spans="1:8">
      <c r="A270" s="3247">
        <v>269</v>
      </c>
      <c r="B270" s="3612"/>
      <c r="C270" s="3606" t="s">
        <v>3181</v>
      </c>
      <c r="D270" s="3606"/>
      <c r="E270" s="3249" t="s">
        <v>3451</v>
      </c>
      <c r="F270" s="3249">
        <v>32.020000000000003</v>
      </c>
      <c r="G270" s="3250" t="s">
        <v>3183</v>
      </c>
      <c r="H270" s="3253">
        <f t="shared" si="4"/>
        <v>7.81</v>
      </c>
    </row>
    <row r="271" spans="1:8">
      <c r="A271" s="3247">
        <v>270</v>
      </c>
      <c r="B271" s="3612"/>
      <c r="C271" s="3606" t="s">
        <v>3181</v>
      </c>
      <c r="D271" s="3606"/>
      <c r="E271" s="3249" t="s">
        <v>3452</v>
      </c>
      <c r="F271" s="3249">
        <v>32.020000000000003</v>
      </c>
      <c r="G271" s="3250" t="s">
        <v>3183</v>
      </c>
      <c r="H271" s="3253">
        <f t="shared" si="4"/>
        <v>7.81</v>
      </c>
    </row>
    <row r="272" spans="1:8">
      <c r="A272" s="3247">
        <v>271</v>
      </c>
      <c r="B272" s="3612"/>
      <c r="C272" s="3606" t="s">
        <v>3181</v>
      </c>
      <c r="D272" s="3606"/>
      <c r="E272" s="3249" t="s">
        <v>3453</v>
      </c>
      <c r="F272" s="3249">
        <v>32.020000000000003</v>
      </c>
      <c r="G272" s="3250" t="s">
        <v>3183</v>
      </c>
      <c r="H272" s="3253">
        <f t="shared" si="4"/>
        <v>7.81</v>
      </c>
    </row>
    <row r="273" spans="1:8">
      <c r="A273" s="3247">
        <v>272</v>
      </c>
      <c r="B273" s="3612"/>
      <c r="C273" s="3606" t="s">
        <v>3181</v>
      </c>
      <c r="D273" s="3606"/>
      <c r="E273" s="3249" t="s">
        <v>3454</v>
      </c>
      <c r="F273" s="3249">
        <v>32.020000000000003</v>
      </c>
      <c r="G273" s="3250" t="s">
        <v>3183</v>
      </c>
      <c r="H273" s="3253">
        <f t="shared" si="4"/>
        <v>7.81</v>
      </c>
    </row>
    <row r="274" spans="1:8">
      <c r="A274" s="3247">
        <v>273</v>
      </c>
      <c r="B274" s="3612"/>
      <c r="C274" s="3606" t="s">
        <v>3181</v>
      </c>
      <c r="D274" s="3606"/>
      <c r="E274" s="3249" t="s">
        <v>3455</v>
      </c>
      <c r="F274" s="3249">
        <v>32.020000000000003</v>
      </c>
      <c r="G274" s="3250" t="s">
        <v>3183</v>
      </c>
      <c r="H274" s="3253">
        <f t="shared" si="4"/>
        <v>7.81</v>
      </c>
    </row>
    <row r="275" spans="1:8">
      <c r="A275" s="3247">
        <v>274</v>
      </c>
      <c r="B275" s="3612"/>
      <c r="C275" s="3606" t="s">
        <v>3181</v>
      </c>
      <c r="D275" s="3606"/>
      <c r="E275" s="3249" t="s">
        <v>3456</v>
      </c>
      <c r="F275" s="3249">
        <v>32.020000000000003</v>
      </c>
      <c r="G275" s="3250" t="s">
        <v>3183</v>
      </c>
      <c r="H275" s="3253">
        <f t="shared" si="4"/>
        <v>7.81</v>
      </c>
    </row>
    <row r="276" spans="1:8">
      <c r="A276" s="3247">
        <v>275</v>
      </c>
      <c r="B276" s="3612"/>
      <c r="C276" s="3606" t="s">
        <v>3181</v>
      </c>
      <c r="D276" s="3606"/>
      <c r="E276" s="3249" t="s">
        <v>3457</v>
      </c>
      <c r="F276" s="3249">
        <v>32.020000000000003</v>
      </c>
      <c r="G276" s="3250" t="s">
        <v>3183</v>
      </c>
      <c r="H276" s="3253">
        <f t="shared" si="4"/>
        <v>7.81</v>
      </c>
    </row>
    <row r="277" spans="1:8">
      <c r="A277" s="3247">
        <v>276</v>
      </c>
      <c r="B277" s="3612"/>
      <c r="C277" s="3606" t="s">
        <v>3181</v>
      </c>
      <c r="D277" s="3606"/>
      <c r="E277" s="3249" t="s">
        <v>3458</v>
      </c>
      <c r="F277" s="3249">
        <v>32.020000000000003</v>
      </c>
      <c r="G277" s="3250" t="s">
        <v>3183</v>
      </c>
      <c r="H277" s="3253">
        <f t="shared" si="4"/>
        <v>7.81</v>
      </c>
    </row>
    <row r="278" spans="1:8">
      <c r="A278" s="3247">
        <v>277</v>
      </c>
      <c r="B278" s="3612"/>
      <c r="C278" s="3606" t="s">
        <v>3181</v>
      </c>
      <c r="D278" s="3606"/>
      <c r="E278" s="3249" t="s">
        <v>3459</v>
      </c>
      <c r="F278" s="3249">
        <v>32.020000000000003</v>
      </c>
      <c r="G278" s="3250" t="s">
        <v>3183</v>
      </c>
      <c r="H278" s="3253">
        <f t="shared" si="4"/>
        <v>7.81</v>
      </c>
    </row>
    <row r="279" spans="1:8">
      <c r="A279" s="3247">
        <v>278</v>
      </c>
      <c r="B279" s="3612"/>
      <c r="C279" s="3606" t="s">
        <v>3181</v>
      </c>
      <c r="D279" s="3606"/>
      <c r="E279" s="3249" t="s">
        <v>3460</v>
      </c>
      <c r="F279" s="3249">
        <v>32.020000000000003</v>
      </c>
      <c r="G279" s="3250" t="s">
        <v>3183</v>
      </c>
      <c r="H279" s="3253">
        <f t="shared" si="4"/>
        <v>7.81</v>
      </c>
    </row>
    <row r="280" spans="1:8">
      <c r="A280" s="3247">
        <v>279</v>
      </c>
      <c r="B280" s="3612"/>
      <c r="C280" s="3606" t="s">
        <v>3181</v>
      </c>
      <c r="D280" s="3606"/>
      <c r="E280" s="3249" t="s">
        <v>3461</v>
      </c>
      <c r="F280" s="3249">
        <v>32.020000000000003</v>
      </c>
      <c r="G280" s="3250" t="s">
        <v>3183</v>
      </c>
      <c r="H280" s="3253">
        <f t="shared" si="4"/>
        <v>7.81</v>
      </c>
    </row>
    <row r="281" spans="1:8">
      <c r="A281" s="3247">
        <v>280</v>
      </c>
      <c r="B281" s="3612"/>
      <c r="C281" s="3606" t="s">
        <v>3181</v>
      </c>
      <c r="D281" s="3606"/>
      <c r="E281" s="3249" t="s">
        <v>3462</v>
      </c>
      <c r="F281" s="3249">
        <v>32.020000000000003</v>
      </c>
      <c r="G281" s="3250" t="s">
        <v>3183</v>
      </c>
      <c r="H281" s="3253">
        <f t="shared" si="4"/>
        <v>7.81</v>
      </c>
    </row>
    <row r="282" spans="1:8">
      <c r="A282" s="3247">
        <v>281</v>
      </c>
      <c r="B282" s="3612"/>
      <c r="C282" s="3606" t="s">
        <v>3181</v>
      </c>
      <c r="D282" s="3606"/>
      <c r="E282" s="3249" t="s">
        <v>3463</v>
      </c>
      <c r="F282" s="3249">
        <v>32.020000000000003</v>
      </c>
      <c r="G282" s="3250" t="s">
        <v>3183</v>
      </c>
      <c r="H282" s="3253">
        <f t="shared" si="4"/>
        <v>7.81</v>
      </c>
    </row>
    <row r="283" spans="1:8">
      <c r="A283" s="3247">
        <v>282</v>
      </c>
      <c r="B283" s="3612"/>
      <c r="C283" s="3606" t="s">
        <v>3181</v>
      </c>
      <c r="D283" s="3606"/>
      <c r="E283" s="3249" t="s">
        <v>3464</v>
      </c>
      <c r="F283" s="3249">
        <v>32.020000000000003</v>
      </c>
      <c r="G283" s="3250" t="s">
        <v>3183</v>
      </c>
      <c r="H283" s="3253">
        <f t="shared" si="4"/>
        <v>7.81</v>
      </c>
    </row>
    <row r="284" spans="1:8">
      <c r="A284" s="3247">
        <v>283</v>
      </c>
      <c r="B284" s="3612"/>
      <c r="C284" s="3606" t="s">
        <v>3181</v>
      </c>
      <c r="D284" s="3606"/>
      <c r="E284" s="3249" t="s">
        <v>3465</v>
      </c>
      <c r="F284" s="3249">
        <v>32.020000000000003</v>
      </c>
      <c r="G284" s="3250" t="s">
        <v>3183</v>
      </c>
      <c r="H284" s="3253">
        <f t="shared" si="4"/>
        <v>7.81</v>
      </c>
    </row>
    <row r="285" spans="1:8">
      <c r="A285" s="3247">
        <v>284</v>
      </c>
      <c r="B285" s="3612"/>
      <c r="C285" s="3606" t="s">
        <v>3181</v>
      </c>
      <c r="D285" s="3606"/>
      <c r="E285" s="3249" t="s">
        <v>3466</v>
      </c>
      <c r="F285" s="3249">
        <v>32.020000000000003</v>
      </c>
      <c r="G285" s="3250" t="s">
        <v>3183</v>
      </c>
      <c r="H285" s="3253">
        <f t="shared" si="4"/>
        <v>7.81</v>
      </c>
    </row>
    <row r="286" spans="1:8">
      <c r="A286" s="3247">
        <v>285</v>
      </c>
      <c r="B286" s="3612"/>
      <c r="C286" s="3606" t="s">
        <v>3181</v>
      </c>
      <c r="D286" s="3606"/>
      <c r="E286" s="3249" t="s">
        <v>3467</v>
      </c>
      <c r="F286" s="3249">
        <v>33.36</v>
      </c>
      <c r="G286" s="3250" t="s">
        <v>3183</v>
      </c>
      <c r="H286" s="3253">
        <f t="shared" si="4"/>
        <v>8.1300000000000008</v>
      </c>
    </row>
    <row r="287" spans="1:8">
      <c r="A287" s="3247">
        <v>286</v>
      </c>
      <c r="B287" s="3612"/>
      <c r="C287" s="3606" t="s">
        <v>3181</v>
      </c>
      <c r="D287" s="3606"/>
      <c r="E287" s="3249" t="s">
        <v>3468</v>
      </c>
      <c r="F287" s="3249">
        <v>32.020000000000003</v>
      </c>
      <c r="G287" s="3250" t="s">
        <v>3183</v>
      </c>
      <c r="H287" s="3253">
        <f t="shared" si="4"/>
        <v>7.81</v>
      </c>
    </row>
    <row r="288" spans="1:8">
      <c r="A288" s="3247">
        <v>287</v>
      </c>
      <c r="B288" s="3612"/>
      <c r="C288" s="3606" t="s">
        <v>3181</v>
      </c>
      <c r="D288" s="3606"/>
      <c r="E288" s="3249" t="s">
        <v>3469</v>
      </c>
      <c r="F288" s="3249">
        <v>33.36</v>
      </c>
      <c r="G288" s="3250" t="s">
        <v>3183</v>
      </c>
      <c r="H288" s="3253">
        <f t="shared" si="4"/>
        <v>8.1300000000000008</v>
      </c>
    </row>
    <row r="289" spans="1:8">
      <c r="A289" s="3247">
        <v>288</v>
      </c>
      <c r="B289" s="3612"/>
      <c r="C289" s="3606" t="s">
        <v>3181</v>
      </c>
      <c r="D289" s="3606"/>
      <c r="E289" s="3249" t="s">
        <v>3470</v>
      </c>
      <c r="F289" s="3249">
        <v>27.57</v>
      </c>
      <c r="G289" s="3250" t="s">
        <v>3183</v>
      </c>
      <c r="H289" s="3253">
        <f>ROUND(F289/$J$4*$K$4,2)+0.12</f>
        <v>6.84</v>
      </c>
    </row>
    <row r="290" spans="1:8">
      <c r="A290" s="3247">
        <v>289</v>
      </c>
      <c r="B290" s="3612"/>
      <c r="C290" s="3606" t="s">
        <v>3181</v>
      </c>
      <c r="D290" s="3606"/>
      <c r="E290" s="3249" t="s">
        <v>3471</v>
      </c>
      <c r="F290" s="3249">
        <v>32.020000000000003</v>
      </c>
      <c r="G290" s="3250" t="s">
        <v>3183</v>
      </c>
      <c r="H290" s="3253">
        <f t="shared" si="4"/>
        <v>7.81</v>
      </c>
    </row>
    <row r="291" spans="1:8">
      <c r="A291" s="3247">
        <v>290</v>
      </c>
      <c r="B291" s="3612"/>
      <c r="C291" s="3606" t="s">
        <v>3181</v>
      </c>
      <c r="D291" s="3606"/>
      <c r="E291" s="3249" t="s">
        <v>3472</v>
      </c>
      <c r="F291" s="3249">
        <v>32.020000000000003</v>
      </c>
      <c r="G291" s="3250" t="s">
        <v>3183</v>
      </c>
      <c r="H291" s="3253">
        <f t="shared" si="4"/>
        <v>7.81</v>
      </c>
    </row>
    <row r="292" spans="1:8">
      <c r="A292" s="3247">
        <v>291</v>
      </c>
      <c r="B292" s="3612"/>
      <c r="C292" s="3606" t="s">
        <v>3181</v>
      </c>
      <c r="D292" s="3606"/>
      <c r="E292" s="3249" t="s">
        <v>3473</v>
      </c>
      <c r="F292" s="3249">
        <v>32.020000000000003</v>
      </c>
      <c r="G292" s="3250" t="s">
        <v>3183</v>
      </c>
      <c r="H292" s="3253">
        <f t="shared" si="4"/>
        <v>7.81</v>
      </c>
    </row>
    <row r="293" spans="1:8">
      <c r="A293" s="3247">
        <v>292</v>
      </c>
      <c r="B293" s="3613"/>
      <c r="C293" s="3608" t="s">
        <v>3181</v>
      </c>
      <c r="D293" s="3609"/>
      <c r="E293" s="3249" t="s">
        <v>3474</v>
      </c>
      <c r="F293" s="3249">
        <v>32.020000000000003</v>
      </c>
      <c r="G293" s="3250" t="s">
        <v>3183</v>
      </c>
      <c r="H293" s="3253">
        <f t="shared" si="4"/>
        <v>7.81</v>
      </c>
    </row>
    <row r="294" spans="1:8">
      <c r="A294" s="3607" t="s">
        <v>3475</v>
      </c>
      <c r="B294" s="3607"/>
      <c r="C294" s="3607"/>
      <c r="D294" s="3607"/>
      <c r="E294" s="3607"/>
      <c r="F294" s="3250">
        <f>SUM(F2:F293)</f>
        <v>9478.3100000000577</v>
      </c>
      <c r="G294" s="3250" t="s">
        <v>70</v>
      </c>
    </row>
    <row r="295" spans="1:8">
      <c r="A295" s="3247">
        <v>293</v>
      </c>
      <c r="B295" s="3610"/>
      <c r="C295" s="3606" t="s">
        <v>3476</v>
      </c>
      <c r="D295" s="3606"/>
      <c r="E295" s="3249" t="s">
        <v>3477</v>
      </c>
      <c r="F295" s="3249">
        <f>[2]Sheet2!F296</f>
        <v>37.11</v>
      </c>
      <c r="G295" s="3250" t="s">
        <v>3183</v>
      </c>
      <c r="H295" s="3253">
        <f>ROUND(F295/$J$5*$K$5,2)</f>
        <v>7.62</v>
      </c>
    </row>
    <row r="296" spans="1:8">
      <c r="A296" s="3247">
        <v>294</v>
      </c>
      <c r="B296" s="3610"/>
      <c r="C296" s="3606" t="s">
        <v>3476</v>
      </c>
      <c r="D296" s="3606"/>
      <c r="E296" s="3249" t="s">
        <v>3478</v>
      </c>
      <c r="F296" s="3249">
        <f>[2]Sheet2!F297</f>
        <v>37.11</v>
      </c>
      <c r="G296" s="3250" t="s">
        <v>3183</v>
      </c>
      <c r="H296" s="3253">
        <f t="shared" ref="H296:H359" si="5">ROUND(F296/$J$5*$K$5,2)</f>
        <v>7.62</v>
      </c>
    </row>
    <row r="297" spans="1:8">
      <c r="A297" s="3247">
        <v>295</v>
      </c>
      <c r="B297" s="3610"/>
      <c r="C297" s="3606" t="s">
        <v>3476</v>
      </c>
      <c r="D297" s="3606"/>
      <c r="E297" s="3249" t="s">
        <v>3479</v>
      </c>
      <c r="F297" s="3249">
        <f>[2]Sheet2!F298</f>
        <v>37.11</v>
      </c>
      <c r="G297" s="3250" t="s">
        <v>3183</v>
      </c>
      <c r="H297" s="3253">
        <f t="shared" si="5"/>
        <v>7.62</v>
      </c>
    </row>
    <row r="298" spans="1:8">
      <c r="A298" s="3247">
        <v>296</v>
      </c>
      <c r="B298" s="3610"/>
      <c r="C298" s="3606" t="s">
        <v>3476</v>
      </c>
      <c r="D298" s="3606"/>
      <c r="E298" s="3249" t="s">
        <v>3480</v>
      </c>
      <c r="F298" s="3249">
        <f>[2]Sheet2!F299</f>
        <v>37.11</v>
      </c>
      <c r="G298" s="3250" t="s">
        <v>3183</v>
      </c>
      <c r="H298" s="3253">
        <f t="shared" si="5"/>
        <v>7.62</v>
      </c>
    </row>
    <row r="299" spans="1:8">
      <c r="A299" s="3247">
        <v>297</v>
      </c>
      <c r="B299" s="3610"/>
      <c r="C299" s="3606" t="s">
        <v>3476</v>
      </c>
      <c r="D299" s="3606"/>
      <c r="E299" s="3249" t="s">
        <v>3481</v>
      </c>
      <c r="F299" s="3249">
        <f>[2]Sheet2!F300</f>
        <v>37.11</v>
      </c>
      <c r="G299" s="3250" t="s">
        <v>3183</v>
      </c>
      <c r="H299" s="3253">
        <f t="shared" si="5"/>
        <v>7.62</v>
      </c>
    </row>
    <row r="300" spans="1:8">
      <c r="A300" s="3247">
        <v>298</v>
      </c>
      <c r="B300" s="3610"/>
      <c r="C300" s="3606" t="s">
        <v>3476</v>
      </c>
      <c r="D300" s="3606"/>
      <c r="E300" s="3249" t="s">
        <v>3482</v>
      </c>
      <c r="F300" s="3249">
        <f>[2]Sheet2!F301</f>
        <v>37.11</v>
      </c>
      <c r="G300" s="3250" t="s">
        <v>3183</v>
      </c>
      <c r="H300" s="3253">
        <f t="shared" si="5"/>
        <v>7.62</v>
      </c>
    </row>
    <row r="301" spans="1:8">
      <c r="A301" s="3247">
        <v>299</v>
      </c>
      <c r="B301" s="3610"/>
      <c r="C301" s="3606" t="s">
        <v>3476</v>
      </c>
      <c r="D301" s="3606"/>
      <c r="E301" s="3249" t="s">
        <v>3483</v>
      </c>
      <c r="F301" s="3249">
        <f>[2]Sheet2!F302</f>
        <v>37.11</v>
      </c>
      <c r="G301" s="3250" t="s">
        <v>3183</v>
      </c>
      <c r="H301" s="3253">
        <f t="shared" si="5"/>
        <v>7.62</v>
      </c>
    </row>
    <row r="302" spans="1:8">
      <c r="A302" s="3247">
        <v>300</v>
      </c>
      <c r="B302" s="3610"/>
      <c r="C302" s="3606" t="s">
        <v>3476</v>
      </c>
      <c r="D302" s="3606"/>
      <c r="E302" s="3249" t="s">
        <v>3484</v>
      </c>
      <c r="F302" s="3249">
        <f>[2]Sheet2!F303</f>
        <v>37.11</v>
      </c>
      <c r="G302" s="3250" t="s">
        <v>3183</v>
      </c>
      <c r="H302" s="3253">
        <f t="shared" si="5"/>
        <v>7.62</v>
      </c>
    </row>
    <row r="303" spans="1:8">
      <c r="A303" s="3247">
        <v>301</v>
      </c>
      <c r="B303" s="3610"/>
      <c r="C303" s="3606" t="s">
        <v>3476</v>
      </c>
      <c r="D303" s="3606"/>
      <c r="E303" s="3249" t="s">
        <v>3485</v>
      </c>
      <c r="F303" s="3249">
        <f>[2]Sheet2!F304</f>
        <v>37.11</v>
      </c>
      <c r="G303" s="3250" t="s">
        <v>3183</v>
      </c>
      <c r="H303" s="3253">
        <f t="shared" si="5"/>
        <v>7.62</v>
      </c>
    </row>
    <row r="304" spans="1:8">
      <c r="A304" s="3247">
        <v>302</v>
      </c>
      <c r="B304" s="3610"/>
      <c r="C304" s="3606" t="s">
        <v>3476</v>
      </c>
      <c r="D304" s="3606"/>
      <c r="E304" s="3249" t="s">
        <v>3486</v>
      </c>
      <c r="F304" s="3249">
        <f>[2]Sheet2!F305</f>
        <v>38.659999999999997</v>
      </c>
      <c r="G304" s="3250" t="s">
        <v>3183</v>
      </c>
      <c r="H304" s="3253">
        <f t="shared" si="5"/>
        <v>7.93</v>
      </c>
    </row>
    <row r="305" spans="1:8">
      <c r="A305" s="3247">
        <v>303</v>
      </c>
      <c r="B305" s="3610"/>
      <c r="C305" s="3606" t="s">
        <v>3476</v>
      </c>
      <c r="D305" s="3606"/>
      <c r="E305" s="3249" t="s">
        <v>3487</v>
      </c>
      <c r="F305" s="3249">
        <f>[2]Sheet2!F306</f>
        <v>38.659999999999997</v>
      </c>
      <c r="G305" s="3250" t="s">
        <v>3183</v>
      </c>
      <c r="H305" s="3253">
        <f t="shared" si="5"/>
        <v>7.93</v>
      </c>
    </row>
    <row r="306" spans="1:8">
      <c r="A306" s="3247">
        <v>304</v>
      </c>
      <c r="B306" s="3610"/>
      <c r="C306" s="3606" t="s">
        <v>3476</v>
      </c>
      <c r="D306" s="3606"/>
      <c r="E306" s="3249" t="s">
        <v>3488</v>
      </c>
      <c r="F306" s="3249">
        <f>[2]Sheet2!F307</f>
        <v>37.11</v>
      </c>
      <c r="G306" s="3250" t="s">
        <v>3183</v>
      </c>
      <c r="H306" s="3253">
        <f t="shared" si="5"/>
        <v>7.62</v>
      </c>
    </row>
    <row r="307" spans="1:8">
      <c r="A307" s="3247">
        <v>305</v>
      </c>
      <c r="B307" s="3610"/>
      <c r="C307" s="3606" t="s">
        <v>3476</v>
      </c>
      <c r="D307" s="3606"/>
      <c r="E307" s="3249" t="s">
        <v>3489</v>
      </c>
      <c r="F307" s="3249">
        <f>[2]Sheet2!F308</f>
        <v>37.11</v>
      </c>
      <c r="G307" s="3250" t="s">
        <v>3183</v>
      </c>
      <c r="H307" s="3253">
        <f t="shared" si="5"/>
        <v>7.62</v>
      </c>
    </row>
    <row r="308" spans="1:8">
      <c r="A308" s="3247">
        <v>306</v>
      </c>
      <c r="B308" s="3610"/>
      <c r="C308" s="3606" t="s">
        <v>3476</v>
      </c>
      <c r="D308" s="3606"/>
      <c r="E308" s="3249" t="s">
        <v>3490</v>
      </c>
      <c r="F308" s="3249">
        <f>[2]Sheet2!F309</f>
        <v>36.369999999999997</v>
      </c>
      <c r="G308" s="3250" t="s">
        <v>3183</v>
      </c>
      <c r="H308" s="3253">
        <f t="shared" si="5"/>
        <v>7.46</v>
      </c>
    </row>
    <row r="309" spans="1:8">
      <c r="A309" s="3247">
        <v>307</v>
      </c>
      <c r="B309" s="3610"/>
      <c r="C309" s="3606" t="s">
        <v>3476</v>
      </c>
      <c r="D309" s="3606"/>
      <c r="E309" s="3249" t="s">
        <v>3491</v>
      </c>
      <c r="F309" s="3249">
        <f>[2]Sheet2!F310</f>
        <v>37.11</v>
      </c>
      <c r="G309" s="3250" t="s">
        <v>3183</v>
      </c>
      <c r="H309" s="3253">
        <f t="shared" si="5"/>
        <v>7.62</v>
      </c>
    </row>
    <row r="310" spans="1:8">
      <c r="A310" s="3247">
        <v>308</v>
      </c>
      <c r="B310" s="3610"/>
      <c r="C310" s="3606" t="s">
        <v>3476</v>
      </c>
      <c r="D310" s="3606"/>
      <c r="E310" s="3249" t="s">
        <v>3492</v>
      </c>
      <c r="F310" s="3249">
        <f>[2]Sheet2!F311</f>
        <v>40.200000000000003</v>
      </c>
      <c r="G310" s="3250" t="s">
        <v>3183</v>
      </c>
      <c r="H310" s="3253">
        <f t="shared" si="5"/>
        <v>8.25</v>
      </c>
    </row>
    <row r="311" spans="1:8">
      <c r="A311" s="3247">
        <v>309</v>
      </c>
      <c r="B311" s="3610"/>
      <c r="C311" s="3606" t="s">
        <v>3476</v>
      </c>
      <c r="D311" s="3606"/>
      <c r="E311" s="3249" t="s">
        <v>3493</v>
      </c>
      <c r="F311" s="3249">
        <f>[2]Sheet2!F312</f>
        <v>37.11</v>
      </c>
      <c r="G311" s="3250" t="s">
        <v>3183</v>
      </c>
      <c r="H311" s="3253">
        <f t="shared" si="5"/>
        <v>7.62</v>
      </c>
    </row>
    <row r="312" spans="1:8">
      <c r="A312" s="3247">
        <v>310</v>
      </c>
      <c r="B312" s="3610"/>
      <c r="C312" s="3606" t="s">
        <v>3476</v>
      </c>
      <c r="D312" s="3606"/>
      <c r="E312" s="3249" t="s">
        <v>3494</v>
      </c>
      <c r="F312" s="3249">
        <f>[2]Sheet2!F313</f>
        <v>37.11</v>
      </c>
      <c r="G312" s="3250" t="s">
        <v>3183</v>
      </c>
      <c r="H312" s="3253">
        <f t="shared" si="5"/>
        <v>7.62</v>
      </c>
    </row>
    <row r="313" spans="1:8">
      <c r="A313" s="3247">
        <v>311</v>
      </c>
      <c r="B313" s="3610"/>
      <c r="C313" s="3606" t="s">
        <v>3476</v>
      </c>
      <c r="D313" s="3606"/>
      <c r="E313" s="3249" t="s">
        <v>3495</v>
      </c>
      <c r="F313" s="3249">
        <f>[2]Sheet2!F314</f>
        <v>37.11</v>
      </c>
      <c r="G313" s="3250" t="s">
        <v>3183</v>
      </c>
      <c r="H313" s="3253">
        <f t="shared" si="5"/>
        <v>7.62</v>
      </c>
    </row>
    <row r="314" spans="1:8">
      <c r="A314" s="3247">
        <v>312</v>
      </c>
      <c r="B314" s="3610"/>
      <c r="C314" s="3606" t="s">
        <v>3476</v>
      </c>
      <c r="D314" s="3606"/>
      <c r="E314" s="3249" t="s">
        <v>3496</v>
      </c>
      <c r="F314" s="3249">
        <f>[2]Sheet2!F315</f>
        <v>37.49</v>
      </c>
      <c r="G314" s="3250" t="s">
        <v>3183</v>
      </c>
      <c r="H314" s="3253">
        <f t="shared" si="5"/>
        <v>7.69</v>
      </c>
    </row>
    <row r="315" spans="1:8">
      <c r="A315" s="3247">
        <v>313</v>
      </c>
      <c r="B315" s="3610"/>
      <c r="C315" s="3606" t="s">
        <v>3476</v>
      </c>
      <c r="D315" s="3606"/>
      <c r="E315" s="3249" t="s">
        <v>3497</v>
      </c>
      <c r="F315" s="3249">
        <f>[2]Sheet2!F316</f>
        <v>37.49</v>
      </c>
      <c r="G315" s="3250" t="s">
        <v>3183</v>
      </c>
      <c r="H315" s="3253">
        <f t="shared" si="5"/>
        <v>7.69</v>
      </c>
    </row>
    <row r="316" spans="1:8">
      <c r="A316" s="3247">
        <v>314</v>
      </c>
      <c r="B316" s="3610"/>
      <c r="C316" s="3606" t="s">
        <v>3476</v>
      </c>
      <c r="D316" s="3606"/>
      <c r="E316" s="3249" t="s">
        <v>3498</v>
      </c>
      <c r="F316" s="3249">
        <f>[2]Sheet2!F317</f>
        <v>37.49</v>
      </c>
      <c r="G316" s="3250" t="s">
        <v>3183</v>
      </c>
      <c r="H316" s="3253">
        <f t="shared" si="5"/>
        <v>7.69</v>
      </c>
    </row>
    <row r="317" spans="1:8">
      <c r="A317" s="3247">
        <v>315</v>
      </c>
      <c r="B317" s="3610"/>
      <c r="C317" s="3606" t="s">
        <v>3476</v>
      </c>
      <c r="D317" s="3606"/>
      <c r="E317" s="3249" t="s">
        <v>3499</v>
      </c>
      <c r="F317" s="3249">
        <f>[2]Sheet2!F318</f>
        <v>37.49</v>
      </c>
      <c r="G317" s="3250" t="s">
        <v>3183</v>
      </c>
      <c r="H317" s="3253">
        <f t="shared" si="5"/>
        <v>7.69</v>
      </c>
    </row>
    <row r="318" spans="1:8">
      <c r="A318" s="3247">
        <v>316</v>
      </c>
      <c r="B318" s="3610"/>
      <c r="C318" s="3606" t="s">
        <v>3476</v>
      </c>
      <c r="D318" s="3606"/>
      <c r="E318" s="3249" t="s">
        <v>3500</v>
      </c>
      <c r="F318" s="3249">
        <f>[2]Sheet2!F319</f>
        <v>37.49</v>
      </c>
      <c r="G318" s="3250" t="s">
        <v>3183</v>
      </c>
      <c r="H318" s="3253">
        <f t="shared" si="5"/>
        <v>7.69</v>
      </c>
    </row>
    <row r="319" spans="1:8">
      <c r="A319" s="3247">
        <v>317</v>
      </c>
      <c r="B319" s="3610"/>
      <c r="C319" s="3606" t="s">
        <v>3476</v>
      </c>
      <c r="D319" s="3606"/>
      <c r="E319" s="3249" t="s">
        <v>3501</v>
      </c>
      <c r="F319" s="3249">
        <f>[2]Sheet2!F320</f>
        <v>37.49</v>
      </c>
      <c r="G319" s="3250" t="s">
        <v>3183</v>
      </c>
      <c r="H319" s="3253">
        <f t="shared" si="5"/>
        <v>7.69</v>
      </c>
    </row>
    <row r="320" spans="1:8">
      <c r="A320" s="3247">
        <v>318</v>
      </c>
      <c r="B320" s="3610"/>
      <c r="C320" s="3606" t="s">
        <v>3476</v>
      </c>
      <c r="D320" s="3606"/>
      <c r="E320" s="3249" t="s">
        <v>3502</v>
      </c>
      <c r="F320" s="3249">
        <f>[2]Sheet2!F321</f>
        <v>37.49</v>
      </c>
      <c r="G320" s="3250" t="s">
        <v>3183</v>
      </c>
      <c r="H320" s="3253">
        <f t="shared" si="5"/>
        <v>7.69</v>
      </c>
    </row>
    <row r="321" spans="1:8">
      <c r="A321" s="3247">
        <v>319</v>
      </c>
      <c r="B321" s="3610"/>
      <c r="C321" s="3606" t="s">
        <v>3476</v>
      </c>
      <c r="D321" s="3606"/>
      <c r="E321" s="3249" t="s">
        <v>3503</v>
      </c>
      <c r="F321" s="3249">
        <f>[2]Sheet2!F322</f>
        <v>37.49</v>
      </c>
      <c r="G321" s="3250" t="s">
        <v>3183</v>
      </c>
      <c r="H321" s="3253">
        <f t="shared" si="5"/>
        <v>7.69</v>
      </c>
    </row>
    <row r="322" spans="1:8">
      <c r="A322" s="3247">
        <v>320</v>
      </c>
      <c r="B322" s="3610"/>
      <c r="C322" s="3606" t="s">
        <v>3476</v>
      </c>
      <c r="D322" s="3606"/>
      <c r="E322" s="3249" t="s">
        <v>3504</v>
      </c>
      <c r="F322" s="3249">
        <f>[2]Sheet2!F323</f>
        <v>37.49</v>
      </c>
      <c r="G322" s="3250" t="s">
        <v>3183</v>
      </c>
      <c r="H322" s="3253">
        <f t="shared" si="5"/>
        <v>7.69</v>
      </c>
    </row>
    <row r="323" spans="1:8">
      <c r="A323" s="3247">
        <v>321</v>
      </c>
      <c r="B323" s="3610"/>
      <c r="C323" s="3606" t="s">
        <v>3476</v>
      </c>
      <c r="D323" s="3606"/>
      <c r="E323" s="3249" t="s">
        <v>3505</v>
      </c>
      <c r="F323" s="3249">
        <f>[2]Sheet2!F324</f>
        <v>37.49</v>
      </c>
      <c r="G323" s="3250" t="s">
        <v>3183</v>
      </c>
      <c r="H323" s="3253">
        <f t="shared" si="5"/>
        <v>7.69</v>
      </c>
    </row>
    <row r="324" spans="1:8">
      <c r="A324" s="3247">
        <v>322</v>
      </c>
      <c r="B324" s="3610"/>
      <c r="C324" s="3606" t="s">
        <v>3476</v>
      </c>
      <c r="D324" s="3606"/>
      <c r="E324" s="3249" t="s">
        <v>3506</v>
      </c>
      <c r="F324" s="3249">
        <f>[2]Sheet2!F325</f>
        <v>37.49</v>
      </c>
      <c r="G324" s="3250" t="s">
        <v>3183</v>
      </c>
      <c r="H324" s="3253">
        <f t="shared" si="5"/>
        <v>7.69</v>
      </c>
    </row>
    <row r="325" spans="1:8">
      <c r="A325" s="3247">
        <v>323</v>
      </c>
      <c r="B325" s="3610"/>
      <c r="C325" s="3606" t="s">
        <v>3476</v>
      </c>
      <c r="D325" s="3606"/>
      <c r="E325" s="3249" t="s">
        <v>3507</v>
      </c>
      <c r="F325" s="3249">
        <f>[2]Sheet2!F326</f>
        <v>37.49</v>
      </c>
      <c r="G325" s="3250" t="s">
        <v>3183</v>
      </c>
      <c r="H325" s="3253">
        <f t="shared" si="5"/>
        <v>7.69</v>
      </c>
    </row>
    <row r="326" spans="1:8">
      <c r="A326" s="3247">
        <v>324</v>
      </c>
      <c r="B326" s="3610"/>
      <c r="C326" s="3606" t="s">
        <v>3476</v>
      </c>
      <c r="D326" s="3606"/>
      <c r="E326" s="3249" t="s">
        <v>3508</v>
      </c>
      <c r="F326" s="3249">
        <f>[2]Sheet2!F327</f>
        <v>37.49</v>
      </c>
      <c r="G326" s="3250" t="s">
        <v>3183</v>
      </c>
      <c r="H326" s="3253">
        <f t="shared" si="5"/>
        <v>7.69</v>
      </c>
    </row>
    <row r="327" spans="1:8">
      <c r="A327" s="3247">
        <v>325</v>
      </c>
      <c r="B327" s="3610"/>
      <c r="C327" s="3606" t="s">
        <v>3476</v>
      </c>
      <c r="D327" s="3606"/>
      <c r="E327" s="3249" t="s">
        <v>3509</v>
      </c>
      <c r="F327" s="3249">
        <f>[2]Sheet2!F328</f>
        <v>37.49</v>
      </c>
      <c r="G327" s="3250" t="s">
        <v>3183</v>
      </c>
      <c r="H327" s="3253">
        <f t="shared" si="5"/>
        <v>7.69</v>
      </c>
    </row>
    <row r="328" spans="1:8">
      <c r="A328" s="3247">
        <v>326</v>
      </c>
      <c r="B328" s="3610"/>
      <c r="C328" s="3606" t="s">
        <v>3476</v>
      </c>
      <c r="D328" s="3606"/>
      <c r="E328" s="3249" t="s">
        <v>3510</v>
      </c>
      <c r="F328" s="3249">
        <f>[2]Sheet2!F329</f>
        <v>37.49</v>
      </c>
      <c r="G328" s="3250" t="s">
        <v>3183</v>
      </c>
      <c r="H328" s="3253">
        <f t="shared" si="5"/>
        <v>7.69</v>
      </c>
    </row>
    <row r="329" spans="1:8">
      <c r="A329" s="3247">
        <v>327</v>
      </c>
      <c r="B329" s="3610"/>
      <c r="C329" s="3606" t="s">
        <v>3476</v>
      </c>
      <c r="D329" s="3606"/>
      <c r="E329" s="3249" t="s">
        <v>3511</v>
      </c>
      <c r="F329" s="3249">
        <f>[2]Sheet2!F330</f>
        <v>37.49</v>
      </c>
      <c r="G329" s="3250" t="s">
        <v>3183</v>
      </c>
      <c r="H329" s="3253">
        <f t="shared" si="5"/>
        <v>7.69</v>
      </c>
    </row>
    <row r="330" spans="1:8">
      <c r="A330" s="3247">
        <v>328</v>
      </c>
      <c r="B330" s="3610"/>
      <c r="C330" s="3606" t="s">
        <v>3476</v>
      </c>
      <c r="D330" s="3606"/>
      <c r="E330" s="3249" t="s">
        <v>3512</v>
      </c>
      <c r="F330" s="3249">
        <f>[2]Sheet2!F331</f>
        <v>37.49</v>
      </c>
      <c r="G330" s="3250" t="s">
        <v>3183</v>
      </c>
      <c r="H330" s="3253">
        <f t="shared" si="5"/>
        <v>7.69</v>
      </c>
    </row>
    <row r="331" spans="1:8">
      <c r="A331" s="3247">
        <v>329</v>
      </c>
      <c r="B331" s="3610"/>
      <c r="C331" s="3606" t="s">
        <v>3476</v>
      </c>
      <c r="D331" s="3606"/>
      <c r="E331" s="3249" t="s">
        <v>3513</v>
      </c>
      <c r="F331" s="3249">
        <f>[2]Sheet2!F332</f>
        <v>37.49</v>
      </c>
      <c r="G331" s="3250" t="s">
        <v>3183</v>
      </c>
      <c r="H331" s="3253">
        <f t="shared" si="5"/>
        <v>7.69</v>
      </c>
    </row>
    <row r="332" spans="1:8">
      <c r="A332" s="3247">
        <v>330</v>
      </c>
      <c r="B332" s="3610"/>
      <c r="C332" s="3606" t="s">
        <v>3476</v>
      </c>
      <c r="D332" s="3606"/>
      <c r="E332" s="3249" t="s">
        <v>3514</v>
      </c>
      <c r="F332" s="3249">
        <f>[2]Sheet2!F333</f>
        <v>37.49</v>
      </c>
      <c r="G332" s="3250" t="s">
        <v>3183</v>
      </c>
      <c r="H332" s="3253">
        <f t="shared" si="5"/>
        <v>7.69</v>
      </c>
    </row>
    <row r="333" spans="1:8">
      <c r="A333" s="3247">
        <v>331</v>
      </c>
      <c r="B333" s="3610"/>
      <c r="C333" s="3606" t="s">
        <v>3476</v>
      </c>
      <c r="D333" s="3606"/>
      <c r="E333" s="3249" t="s">
        <v>3515</v>
      </c>
      <c r="F333" s="3249">
        <f>[2]Sheet2!F334</f>
        <v>37.49</v>
      </c>
      <c r="G333" s="3250" t="s">
        <v>3183</v>
      </c>
      <c r="H333" s="3253">
        <f t="shared" si="5"/>
        <v>7.69</v>
      </c>
    </row>
    <row r="334" spans="1:8">
      <c r="A334" s="3247">
        <v>332</v>
      </c>
      <c r="B334" s="3610"/>
      <c r="C334" s="3606" t="s">
        <v>3476</v>
      </c>
      <c r="D334" s="3606"/>
      <c r="E334" s="3249" t="s">
        <v>3516</v>
      </c>
      <c r="F334" s="3249">
        <f>[2]Sheet2!F335</f>
        <v>37.49</v>
      </c>
      <c r="G334" s="3250" t="s">
        <v>3183</v>
      </c>
      <c r="H334" s="3253">
        <f t="shared" si="5"/>
        <v>7.69</v>
      </c>
    </row>
    <row r="335" spans="1:8">
      <c r="A335" s="3247">
        <v>333</v>
      </c>
      <c r="B335" s="3610"/>
      <c r="C335" s="3606" t="s">
        <v>3476</v>
      </c>
      <c r="D335" s="3606"/>
      <c r="E335" s="3249" t="s">
        <v>3517</v>
      </c>
      <c r="F335" s="3249">
        <f>[2]Sheet2!F336</f>
        <v>35.99</v>
      </c>
      <c r="G335" s="3250" t="s">
        <v>3183</v>
      </c>
      <c r="H335" s="3253">
        <f t="shared" si="5"/>
        <v>7.39</v>
      </c>
    </row>
    <row r="336" spans="1:8">
      <c r="A336" s="3247">
        <v>334</v>
      </c>
      <c r="B336" s="3610"/>
      <c r="C336" s="3606" t="s">
        <v>3476</v>
      </c>
      <c r="D336" s="3606"/>
      <c r="E336" s="3249" t="s">
        <v>3518</v>
      </c>
      <c r="F336" s="3249">
        <f>[2]Sheet2!F337</f>
        <v>35.99</v>
      </c>
      <c r="G336" s="3250" t="s">
        <v>3183</v>
      </c>
      <c r="H336" s="3253">
        <f t="shared" si="5"/>
        <v>7.39</v>
      </c>
    </row>
    <row r="337" spans="1:8">
      <c r="A337" s="3247">
        <v>335</v>
      </c>
      <c r="B337" s="3610"/>
      <c r="C337" s="3606" t="s">
        <v>3476</v>
      </c>
      <c r="D337" s="3606"/>
      <c r="E337" s="3249" t="s">
        <v>3519</v>
      </c>
      <c r="F337" s="3249">
        <f>[2]Sheet2!F338</f>
        <v>35.99</v>
      </c>
      <c r="G337" s="3250" t="s">
        <v>3183</v>
      </c>
      <c r="H337" s="3253">
        <f t="shared" si="5"/>
        <v>7.39</v>
      </c>
    </row>
    <row r="338" spans="1:8">
      <c r="A338" s="3247">
        <v>336</v>
      </c>
      <c r="B338" s="3610"/>
      <c r="C338" s="3606" t="s">
        <v>3476</v>
      </c>
      <c r="D338" s="3606"/>
      <c r="E338" s="3249" t="s">
        <v>3520</v>
      </c>
      <c r="F338" s="3249">
        <f>[2]Sheet2!F339</f>
        <v>35.99</v>
      </c>
      <c r="G338" s="3250" t="s">
        <v>3183</v>
      </c>
      <c r="H338" s="3253">
        <f t="shared" si="5"/>
        <v>7.39</v>
      </c>
    </row>
    <row r="339" spans="1:8">
      <c r="A339" s="3247">
        <v>337</v>
      </c>
      <c r="B339" s="3610"/>
      <c r="C339" s="3606" t="s">
        <v>3476</v>
      </c>
      <c r="D339" s="3606"/>
      <c r="E339" s="3249" t="s">
        <v>3521</v>
      </c>
      <c r="F339" s="3249">
        <f>[2]Sheet2!F340</f>
        <v>35.99</v>
      </c>
      <c r="G339" s="3250" t="s">
        <v>3183</v>
      </c>
      <c r="H339" s="3253">
        <f t="shared" si="5"/>
        <v>7.39</v>
      </c>
    </row>
    <row r="340" spans="1:8">
      <c r="A340" s="3247">
        <v>338</v>
      </c>
      <c r="B340" s="3610"/>
      <c r="C340" s="3606" t="s">
        <v>3476</v>
      </c>
      <c r="D340" s="3606"/>
      <c r="E340" s="3249" t="s">
        <v>3522</v>
      </c>
      <c r="F340" s="3249">
        <f>[2]Sheet2!F341</f>
        <v>35.99</v>
      </c>
      <c r="G340" s="3250" t="s">
        <v>3183</v>
      </c>
      <c r="H340" s="3253">
        <f t="shared" si="5"/>
        <v>7.39</v>
      </c>
    </row>
    <row r="341" spans="1:8">
      <c r="A341" s="3247">
        <v>339</v>
      </c>
      <c r="B341" s="3610"/>
      <c r="C341" s="3606" t="s">
        <v>3476</v>
      </c>
      <c r="D341" s="3606"/>
      <c r="E341" s="3249" t="s">
        <v>3523</v>
      </c>
      <c r="F341" s="3249">
        <f>[2]Sheet2!F342</f>
        <v>35.99</v>
      </c>
      <c r="G341" s="3250" t="s">
        <v>3183</v>
      </c>
      <c r="H341" s="3253">
        <f t="shared" si="5"/>
        <v>7.39</v>
      </c>
    </row>
    <row r="342" spans="1:8">
      <c r="A342" s="3247">
        <v>340</v>
      </c>
      <c r="B342" s="3610"/>
      <c r="C342" s="3606" t="s">
        <v>3476</v>
      </c>
      <c r="D342" s="3606"/>
      <c r="E342" s="3249" t="s">
        <v>3524</v>
      </c>
      <c r="F342" s="3249">
        <f>[2]Sheet2!F343</f>
        <v>35.99</v>
      </c>
      <c r="G342" s="3250" t="s">
        <v>3183</v>
      </c>
      <c r="H342" s="3253">
        <f t="shared" si="5"/>
        <v>7.39</v>
      </c>
    </row>
    <row r="343" spans="1:8">
      <c r="A343" s="3247">
        <v>341</v>
      </c>
      <c r="B343" s="3610"/>
      <c r="C343" s="3606" t="s">
        <v>3476</v>
      </c>
      <c r="D343" s="3606"/>
      <c r="E343" s="3249" t="s">
        <v>3525</v>
      </c>
      <c r="F343" s="3249">
        <f>[2]Sheet2!F344</f>
        <v>35.99</v>
      </c>
      <c r="G343" s="3250" t="s">
        <v>3183</v>
      </c>
      <c r="H343" s="3253">
        <f t="shared" si="5"/>
        <v>7.39</v>
      </c>
    </row>
    <row r="344" spans="1:8">
      <c r="A344" s="3247">
        <v>342</v>
      </c>
      <c r="B344" s="3610"/>
      <c r="C344" s="3606" t="s">
        <v>3476</v>
      </c>
      <c r="D344" s="3606"/>
      <c r="E344" s="3249" t="s">
        <v>3526</v>
      </c>
      <c r="F344" s="3249">
        <f>[2]Sheet2!F345</f>
        <v>35.99</v>
      </c>
      <c r="G344" s="3250" t="s">
        <v>3183</v>
      </c>
      <c r="H344" s="3253">
        <f t="shared" si="5"/>
        <v>7.39</v>
      </c>
    </row>
    <row r="345" spans="1:8">
      <c r="A345" s="3247">
        <v>343</v>
      </c>
      <c r="B345" s="3610"/>
      <c r="C345" s="3606" t="s">
        <v>3476</v>
      </c>
      <c r="D345" s="3606"/>
      <c r="E345" s="3249" t="s">
        <v>3527</v>
      </c>
      <c r="F345" s="3249">
        <f>[2]Sheet2!F346</f>
        <v>35.99</v>
      </c>
      <c r="G345" s="3250" t="s">
        <v>3183</v>
      </c>
      <c r="H345" s="3253">
        <f t="shared" si="5"/>
        <v>7.39</v>
      </c>
    </row>
    <row r="346" spans="1:8">
      <c r="A346" s="3247">
        <v>344</v>
      </c>
      <c r="B346" s="3610"/>
      <c r="C346" s="3606" t="s">
        <v>3476</v>
      </c>
      <c r="D346" s="3606"/>
      <c r="E346" s="3249" t="s">
        <v>3528</v>
      </c>
      <c r="F346" s="3249">
        <f>[2]Sheet2!F347</f>
        <v>35.99</v>
      </c>
      <c r="G346" s="3250" t="s">
        <v>3183</v>
      </c>
      <c r="H346" s="3253">
        <f t="shared" si="5"/>
        <v>7.39</v>
      </c>
    </row>
    <row r="347" spans="1:8">
      <c r="A347" s="3247">
        <v>345</v>
      </c>
      <c r="B347" s="3610"/>
      <c r="C347" s="3606" t="s">
        <v>3476</v>
      </c>
      <c r="D347" s="3606"/>
      <c r="E347" s="3249" t="s">
        <v>3529</v>
      </c>
      <c r="F347" s="3249">
        <f>[2]Sheet2!F348</f>
        <v>35.99</v>
      </c>
      <c r="G347" s="3250" t="s">
        <v>3183</v>
      </c>
      <c r="H347" s="3253">
        <f t="shared" si="5"/>
        <v>7.39</v>
      </c>
    </row>
    <row r="348" spans="1:8">
      <c r="A348" s="3247">
        <v>346</v>
      </c>
      <c r="B348" s="3610"/>
      <c r="C348" s="3606" t="s">
        <v>3476</v>
      </c>
      <c r="D348" s="3606"/>
      <c r="E348" s="3249" t="s">
        <v>3530</v>
      </c>
      <c r="F348" s="3249">
        <f>[2]Sheet2!F349</f>
        <v>35.99</v>
      </c>
      <c r="G348" s="3250" t="s">
        <v>3183</v>
      </c>
      <c r="H348" s="3253">
        <f t="shared" si="5"/>
        <v>7.39</v>
      </c>
    </row>
    <row r="349" spans="1:8">
      <c r="A349" s="3247">
        <v>347</v>
      </c>
      <c r="B349" s="3610"/>
      <c r="C349" s="3606" t="s">
        <v>3476</v>
      </c>
      <c r="D349" s="3606"/>
      <c r="E349" s="3249" t="s">
        <v>3531</v>
      </c>
      <c r="F349" s="3249">
        <f>[2]Sheet2!F350</f>
        <v>35.99</v>
      </c>
      <c r="G349" s="3250" t="s">
        <v>3183</v>
      </c>
      <c r="H349" s="3253">
        <f t="shared" si="5"/>
        <v>7.39</v>
      </c>
    </row>
    <row r="350" spans="1:8">
      <c r="A350" s="3247">
        <v>348</v>
      </c>
      <c r="B350" s="3610"/>
      <c r="C350" s="3606" t="s">
        <v>3476</v>
      </c>
      <c r="D350" s="3606"/>
      <c r="E350" s="3249" t="s">
        <v>3532</v>
      </c>
      <c r="F350" s="3249">
        <f>[2]Sheet2!F351</f>
        <v>35.99</v>
      </c>
      <c r="G350" s="3250" t="s">
        <v>3183</v>
      </c>
      <c r="H350" s="3253">
        <f t="shared" si="5"/>
        <v>7.39</v>
      </c>
    </row>
    <row r="351" spans="1:8">
      <c r="A351" s="3247">
        <v>349</v>
      </c>
      <c r="B351" s="3610"/>
      <c r="C351" s="3606" t="s">
        <v>3476</v>
      </c>
      <c r="D351" s="3606"/>
      <c r="E351" s="3249" t="s">
        <v>3533</v>
      </c>
      <c r="F351" s="3249">
        <f>[2]Sheet2!F352</f>
        <v>35.99</v>
      </c>
      <c r="G351" s="3250" t="s">
        <v>3183</v>
      </c>
      <c r="H351" s="3253">
        <f t="shared" si="5"/>
        <v>7.39</v>
      </c>
    </row>
    <row r="352" spans="1:8">
      <c r="A352" s="3247">
        <v>350</v>
      </c>
      <c r="B352" s="3610"/>
      <c r="C352" s="3606" t="s">
        <v>3476</v>
      </c>
      <c r="D352" s="3606"/>
      <c r="E352" s="3249" t="s">
        <v>3534</v>
      </c>
      <c r="F352" s="3249">
        <f>[2]Sheet2!F353</f>
        <v>35.99</v>
      </c>
      <c r="G352" s="3250" t="s">
        <v>3183</v>
      </c>
      <c r="H352" s="3253">
        <f t="shared" si="5"/>
        <v>7.39</v>
      </c>
    </row>
    <row r="353" spans="1:8">
      <c r="A353" s="3247">
        <v>351</v>
      </c>
      <c r="B353" s="3610"/>
      <c r="C353" s="3606" t="s">
        <v>3476</v>
      </c>
      <c r="D353" s="3606"/>
      <c r="E353" s="3249" t="s">
        <v>3535</v>
      </c>
      <c r="F353" s="3249">
        <f>[2]Sheet2!F354</f>
        <v>35.99</v>
      </c>
      <c r="G353" s="3250" t="s">
        <v>3183</v>
      </c>
      <c r="H353" s="3253">
        <f t="shared" si="5"/>
        <v>7.39</v>
      </c>
    </row>
    <row r="354" spans="1:8">
      <c r="A354" s="3247">
        <v>352</v>
      </c>
      <c r="B354" s="3610"/>
      <c r="C354" s="3606" t="s">
        <v>3476</v>
      </c>
      <c r="D354" s="3606"/>
      <c r="E354" s="3249" t="s">
        <v>3536</v>
      </c>
      <c r="F354" s="3249">
        <f>[2]Sheet2!F355</f>
        <v>35.99</v>
      </c>
      <c r="G354" s="3250" t="s">
        <v>3183</v>
      </c>
      <c r="H354" s="3253">
        <f t="shared" si="5"/>
        <v>7.39</v>
      </c>
    </row>
    <row r="355" spans="1:8">
      <c r="A355" s="3247">
        <v>353</v>
      </c>
      <c r="B355" s="3610"/>
      <c r="C355" s="3606" t="s">
        <v>3476</v>
      </c>
      <c r="D355" s="3606"/>
      <c r="E355" s="3249" t="s">
        <v>3537</v>
      </c>
      <c r="F355" s="3249">
        <f>[2]Sheet2!F356</f>
        <v>35.99</v>
      </c>
      <c r="G355" s="3250" t="s">
        <v>3183</v>
      </c>
      <c r="H355" s="3253">
        <f t="shared" si="5"/>
        <v>7.39</v>
      </c>
    </row>
    <row r="356" spans="1:8">
      <c r="A356" s="3247">
        <v>354</v>
      </c>
      <c r="B356" s="3610"/>
      <c r="C356" s="3606" t="s">
        <v>3476</v>
      </c>
      <c r="D356" s="3606"/>
      <c r="E356" s="3249" t="s">
        <v>3538</v>
      </c>
      <c r="F356" s="3249">
        <f>[2]Sheet2!F357</f>
        <v>35.99</v>
      </c>
      <c r="G356" s="3250" t="s">
        <v>3183</v>
      </c>
      <c r="H356" s="3253">
        <f t="shared" si="5"/>
        <v>7.39</v>
      </c>
    </row>
    <row r="357" spans="1:8">
      <c r="A357" s="3247">
        <v>355</v>
      </c>
      <c r="B357" s="3610"/>
      <c r="C357" s="3606" t="s">
        <v>3476</v>
      </c>
      <c r="D357" s="3606"/>
      <c r="E357" s="3249" t="s">
        <v>3539</v>
      </c>
      <c r="F357" s="3249">
        <f>[2]Sheet2!F358</f>
        <v>35.99</v>
      </c>
      <c r="G357" s="3250" t="s">
        <v>3183</v>
      </c>
      <c r="H357" s="3253">
        <f t="shared" si="5"/>
        <v>7.39</v>
      </c>
    </row>
    <row r="358" spans="1:8">
      <c r="A358" s="3247">
        <v>356</v>
      </c>
      <c r="B358" s="3610"/>
      <c r="C358" s="3606" t="s">
        <v>3476</v>
      </c>
      <c r="D358" s="3606"/>
      <c r="E358" s="3249" t="s">
        <v>3540</v>
      </c>
      <c r="F358" s="3249">
        <f>[2]Sheet2!F359</f>
        <v>35.99</v>
      </c>
      <c r="G358" s="3250" t="s">
        <v>3183</v>
      </c>
      <c r="H358" s="3253">
        <f t="shared" si="5"/>
        <v>7.39</v>
      </c>
    </row>
    <row r="359" spans="1:8">
      <c r="A359" s="3247">
        <v>357</v>
      </c>
      <c r="B359" s="3610"/>
      <c r="C359" s="3606" t="s">
        <v>3476</v>
      </c>
      <c r="D359" s="3606"/>
      <c r="E359" s="3249" t="s">
        <v>3541</v>
      </c>
      <c r="F359" s="3249">
        <f>[2]Sheet2!F360</f>
        <v>37.11</v>
      </c>
      <c r="G359" s="3250" t="s">
        <v>3183</v>
      </c>
      <c r="H359" s="3253">
        <f t="shared" si="5"/>
        <v>7.62</v>
      </c>
    </row>
    <row r="360" spans="1:8">
      <c r="A360" s="3247">
        <v>358</v>
      </c>
      <c r="B360" s="3610"/>
      <c r="C360" s="3606" t="s">
        <v>3476</v>
      </c>
      <c r="D360" s="3606"/>
      <c r="E360" s="3249" t="s">
        <v>3542</v>
      </c>
      <c r="F360" s="3249">
        <f>[2]Sheet2!F361</f>
        <v>37.11</v>
      </c>
      <c r="G360" s="3250" t="s">
        <v>3183</v>
      </c>
      <c r="H360" s="3253">
        <f t="shared" ref="H360:H423" si="6">ROUND(F360/$J$5*$K$5,2)</f>
        <v>7.62</v>
      </c>
    </row>
    <row r="361" spans="1:8">
      <c r="A361" s="3247">
        <v>359</v>
      </c>
      <c r="B361" s="3610"/>
      <c r="C361" s="3606" t="s">
        <v>3476</v>
      </c>
      <c r="D361" s="3606"/>
      <c r="E361" s="3249" t="s">
        <v>3543</v>
      </c>
      <c r="F361" s="3249">
        <f>[2]Sheet2!F362</f>
        <v>37.11</v>
      </c>
      <c r="G361" s="3250" t="s">
        <v>3183</v>
      </c>
      <c r="H361" s="3253">
        <f t="shared" si="6"/>
        <v>7.62</v>
      </c>
    </row>
    <row r="362" spans="1:8">
      <c r="A362" s="3247">
        <v>360</v>
      </c>
      <c r="B362" s="3610"/>
      <c r="C362" s="3606" t="s">
        <v>3476</v>
      </c>
      <c r="D362" s="3606"/>
      <c r="E362" s="3249" t="s">
        <v>3544</v>
      </c>
      <c r="F362" s="3249">
        <f>[2]Sheet2!F363</f>
        <v>37.11</v>
      </c>
      <c r="G362" s="3250" t="s">
        <v>3183</v>
      </c>
      <c r="H362" s="3253">
        <f t="shared" si="6"/>
        <v>7.62</v>
      </c>
    </row>
    <row r="363" spans="1:8">
      <c r="A363" s="3247">
        <v>361</v>
      </c>
      <c r="B363" s="3610"/>
      <c r="C363" s="3606" t="s">
        <v>3476</v>
      </c>
      <c r="D363" s="3606"/>
      <c r="E363" s="3249" t="s">
        <v>3545</v>
      </c>
      <c r="F363" s="3249">
        <f>[2]Sheet2!F364</f>
        <v>37.11</v>
      </c>
      <c r="G363" s="3250" t="s">
        <v>3183</v>
      </c>
      <c r="H363" s="3253">
        <f t="shared" si="6"/>
        <v>7.62</v>
      </c>
    </row>
    <row r="364" spans="1:8">
      <c r="A364" s="3247">
        <v>362</v>
      </c>
      <c r="B364" s="3610"/>
      <c r="C364" s="3606" t="s">
        <v>3476</v>
      </c>
      <c r="D364" s="3606"/>
      <c r="E364" s="3249" t="s">
        <v>3546</v>
      </c>
      <c r="F364" s="3249">
        <f>[2]Sheet2!F365</f>
        <v>37.11</v>
      </c>
      <c r="G364" s="3250" t="s">
        <v>3183</v>
      </c>
      <c r="H364" s="3253">
        <f t="shared" si="6"/>
        <v>7.62</v>
      </c>
    </row>
    <row r="365" spans="1:8">
      <c r="A365" s="3247">
        <v>363</v>
      </c>
      <c r="B365" s="3610"/>
      <c r="C365" s="3606" t="s">
        <v>3476</v>
      </c>
      <c r="D365" s="3606"/>
      <c r="E365" s="3249" t="s">
        <v>3547</v>
      </c>
      <c r="F365" s="3249">
        <f>[2]Sheet2!F366</f>
        <v>37.11</v>
      </c>
      <c r="G365" s="3250" t="s">
        <v>3183</v>
      </c>
      <c r="H365" s="3253">
        <f t="shared" si="6"/>
        <v>7.62</v>
      </c>
    </row>
    <row r="366" spans="1:8">
      <c r="A366" s="3247">
        <v>364</v>
      </c>
      <c r="B366" s="3610"/>
      <c r="C366" s="3606" t="s">
        <v>3476</v>
      </c>
      <c r="D366" s="3606"/>
      <c r="E366" s="3249" t="s">
        <v>3548</v>
      </c>
      <c r="F366" s="3249">
        <f>[2]Sheet2!F367</f>
        <v>37.11</v>
      </c>
      <c r="G366" s="3250" t="s">
        <v>3183</v>
      </c>
      <c r="H366" s="3253">
        <f t="shared" si="6"/>
        <v>7.62</v>
      </c>
    </row>
    <row r="367" spans="1:8">
      <c r="A367" s="3247">
        <v>365</v>
      </c>
      <c r="B367" s="3610"/>
      <c r="C367" s="3606" t="s">
        <v>3476</v>
      </c>
      <c r="D367" s="3606"/>
      <c r="E367" s="3249" t="s">
        <v>3549</v>
      </c>
      <c r="F367" s="3249">
        <f>[2]Sheet2!F368</f>
        <v>37.11</v>
      </c>
      <c r="G367" s="3250" t="s">
        <v>3183</v>
      </c>
      <c r="H367" s="3253">
        <f t="shared" si="6"/>
        <v>7.62</v>
      </c>
    </row>
    <row r="368" spans="1:8">
      <c r="A368" s="3247">
        <v>366</v>
      </c>
      <c r="B368" s="3610"/>
      <c r="C368" s="3606" t="s">
        <v>3476</v>
      </c>
      <c r="D368" s="3606"/>
      <c r="E368" s="3249" t="s">
        <v>3550</v>
      </c>
      <c r="F368" s="3249">
        <f>[2]Sheet2!F369</f>
        <v>37.11</v>
      </c>
      <c r="G368" s="3250" t="s">
        <v>3183</v>
      </c>
      <c r="H368" s="3253">
        <f t="shared" si="6"/>
        <v>7.62</v>
      </c>
    </row>
    <row r="369" spans="1:8">
      <c r="A369" s="3247">
        <v>367</v>
      </c>
      <c r="B369" s="3610"/>
      <c r="C369" s="3606" t="s">
        <v>3476</v>
      </c>
      <c r="D369" s="3606"/>
      <c r="E369" s="3249" t="s">
        <v>3551</v>
      </c>
      <c r="F369" s="3249">
        <f>[2]Sheet2!F370</f>
        <v>37.11</v>
      </c>
      <c r="G369" s="3250" t="s">
        <v>3183</v>
      </c>
      <c r="H369" s="3253">
        <f t="shared" si="6"/>
        <v>7.62</v>
      </c>
    </row>
    <row r="370" spans="1:8">
      <c r="A370" s="3247">
        <v>368</v>
      </c>
      <c r="B370" s="3610"/>
      <c r="C370" s="3606" t="s">
        <v>3476</v>
      </c>
      <c r="D370" s="3606"/>
      <c r="E370" s="3249" t="s">
        <v>3552</v>
      </c>
      <c r="F370" s="3249">
        <f>[2]Sheet2!F371</f>
        <v>37.11</v>
      </c>
      <c r="G370" s="3250" t="s">
        <v>3183</v>
      </c>
      <c r="H370" s="3253">
        <f t="shared" si="6"/>
        <v>7.62</v>
      </c>
    </row>
    <row r="371" spans="1:8">
      <c r="A371" s="3247">
        <v>369</v>
      </c>
      <c r="B371" s="3610"/>
      <c r="C371" s="3606" t="s">
        <v>3476</v>
      </c>
      <c r="D371" s="3606"/>
      <c r="E371" s="3249" t="s">
        <v>3553</v>
      </c>
      <c r="F371" s="3249">
        <f>[2]Sheet2!F372</f>
        <v>37.11</v>
      </c>
      <c r="G371" s="3250" t="s">
        <v>3183</v>
      </c>
      <c r="H371" s="3253">
        <f t="shared" si="6"/>
        <v>7.62</v>
      </c>
    </row>
    <row r="372" spans="1:8">
      <c r="A372" s="3247">
        <v>370</v>
      </c>
      <c r="B372" s="3610"/>
      <c r="C372" s="3606" t="s">
        <v>3476</v>
      </c>
      <c r="D372" s="3606"/>
      <c r="E372" s="3249" t="s">
        <v>3554</v>
      </c>
      <c r="F372" s="3249">
        <f>[2]Sheet2!F373</f>
        <v>37.11</v>
      </c>
      <c r="G372" s="3250" t="s">
        <v>3183</v>
      </c>
      <c r="H372" s="3253">
        <f t="shared" si="6"/>
        <v>7.62</v>
      </c>
    </row>
    <row r="373" spans="1:8">
      <c r="A373" s="3247">
        <v>371</v>
      </c>
      <c r="B373" s="3610"/>
      <c r="C373" s="3606" t="s">
        <v>3476</v>
      </c>
      <c r="D373" s="3606"/>
      <c r="E373" s="3249" t="s">
        <v>3555</v>
      </c>
      <c r="F373" s="3249">
        <f>[2]Sheet2!F374</f>
        <v>37.11</v>
      </c>
      <c r="G373" s="3250" t="s">
        <v>3183</v>
      </c>
      <c r="H373" s="3253">
        <f t="shared" si="6"/>
        <v>7.62</v>
      </c>
    </row>
    <row r="374" spans="1:8">
      <c r="A374" s="3247">
        <v>372</v>
      </c>
      <c r="B374" s="3610"/>
      <c r="C374" s="3606" t="s">
        <v>3476</v>
      </c>
      <c r="D374" s="3606"/>
      <c r="E374" s="3249" t="s">
        <v>3556</v>
      </c>
      <c r="F374" s="3249">
        <f>[2]Sheet2!F375</f>
        <v>37.11</v>
      </c>
      <c r="G374" s="3250" t="s">
        <v>3183</v>
      </c>
      <c r="H374" s="3253">
        <f t="shared" si="6"/>
        <v>7.62</v>
      </c>
    </row>
    <row r="375" spans="1:8">
      <c r="A375" s="3247">
        <v>373</v>
      </c>
      <c r="B375" s="3610"/>
      <c r="C375" s="3606" t="s">
        <v>3476</v>
      </c>
      <c r="D375" s="3606"/>
      <c r="E375" s="3249" t="s">
        <v>3557</v>
      </c>
      <c r="F375" s="3249">
        <f>[2]Sheet2!F376</f>
        <v>37.11</v>
      </c>
      <c r="G375" s="3250" t="s">
        <v>3183</v>
      </c>
      <c r="H375" s="3253">
        <f t="shared" si="6"/>
        <v>7.62</v>
      </c>
    </row>
    <row r="376" spans="1:8">
      <c r="A376" s="3247">
        <v>374</v>
      </c>
      <c r="B376" s="3610"/>
      <c r="C376" s="3606" t="s">
        <v>3476</v>
      </c>
      <c r="D376" s="3606"/>
      <c r="E376" s="3249" t="s">
        <v>3558</v>
      </c>
      <c r="F376" s="3249">
        <f>[2]Sheet2!F377</f>
        <v>36.340000000000003</v>
      </c>
      <c r="G376" s="3250" t="s">
        <v>3183</v>
      </c>
      <c r="H376" s="3253">
        <f t="shared" si="6"/>
        <v>7.46</v>
      </c>
    </row>
    <row r="377" spans="1:8">
      <c r="A377" s="3247">
        <v>375</v>
      </c>
      <c r="B377" s="3610"/>
      <c r="C377" s="3606" t="s">
        <v>3476</v>
      </c>
      <c r="D377" s="3606"/>
      <c r="E377" s="3249" t="s">
        <v>3559</v>
      </c>
      <c r="F377" s="3249">
        <f>[2]Sheet2!F378</f>
        <v>36.340000000000003</v>
      </c>
      <c r="G377" s="3250" t="s">
        <v>3183</v>
      </c>
      <c r="H377" s="3253">
        <f t="shared" si="6"/>
        <v>7.46</v>
      </c>
    </row>
    <row r="378" spans="1:8">
      <c r="A378" s="3247">
        <v>376</v>
      </c>
      <c r="B378" s="3610"/>
      <c r="C378" s="3606" t="s">
        <v>3476</v>
      </c>
      <c r="D378" s="3606"/>
      <c r="E378" s="3249" t="s">
        <v>3560</v>
      </c>
      <c r="F378" s="3249">
        <f>[2]Sheet2!F379</f>
        <v>36.340000000000003</v>
      </c>
      <c r="G378" s="3250" t="s">
        <v>3183</v>
      </c>
      <c r="H378" s="3253">
        <f t="shared" si="6"/>
        <v>7.46</v>
      </c>
    </row>
    <row r="379" spans="1:8">
      <c r="A379" s="3247">
        <v>377</v>
      </c>
      <c r="B379" s="3610"/>
      <c r="C379" s="3606" t="s">
        <v>3476</v>
      </c>
      <c r="D379" s="3606"/>
      <c r="E379" s="3249" t="s">
        <v>3561</v>
      </c>
      <c r="F379" s="3249">
        <f>[2]Sheet2!F380</f>
        <v>36.340000000000003</v>
      </c>
      <c r="G379" s="3250" t="s">
        <v>3183</v>
      </c>
      <c r="H379" s="3253">
        <f t="shared" si="6"/>
        <v>7.46</v>
      </c>
    </row>
    <row r="380" spans="1:8">
      <c r="A380" s="3247">
        <v>378</v>
      </c>
      <c r="B380" s="3610"/>
      <c r="C380" s="3606" t="s">
        <v>3476</v>
      </c>
      <c r="D380" s="3606"/>
      <c r="E380" s="3249" t="s">
        <v>3562</v>
      </c>
      <c r="F380" s="3249">
        <f>[2]Sheet2!F381</f>
        <v>36.340000000000003</v>
      </c>
      <c r="G380" s="3250" t="s">
        <v>3183</v>
      </c>
      <c r="H380" s="3253">
        <f t="shared" si="6"/>
        <v>7.46</v>
      </c>
    </row>
    <row r="381" spans="1:8">
      <c r="A381" s="3247">
        <v>379</v>
      </c>
      <c r="B381" s="3610"/>
      <c r="C381" s="3606" t="s">
        <v>3476</v>
      </c>
      <c r="D381" s="3606"/>
      <c r="E381" s="3249" t="s">
        <v>3563</v>
      </c>
      <c r="F381" s="3249">
        <f>[2]Sheet2!F382</f>
        <v>36.340000000000003</v>
      </c>
      <c r="G381" s="3250" t="s">
        <v>3183</v>
      </c>
      <c r="H381" s="3253">
        <f t="shared" si="6"/>
        <v>7.46</v>
      </c>
    </row>
    <row r="382" spans="1:8">
      <c r="A382" s="3247">
        <v>380</v>
      </c>
      <c r="B382" s="3610"/>
      <c r="C382" s="3606" t="s">
        <v>3476</v>
      </c>
      <c r="D382" s="3606"/>
      <c r="E382" s="3249" t="s">
        <v>3564</v>
      </c>
      <c r="F382" s="3249">
        <f>[2]Sheet2!F383</f>
        <v>36.340000000000003</v>
      </c>
      <c r="G382" s="3250" t="s">
        <v>3183</v>
      </c>
      <c r="H382" s="3253">
        <f t="shared" si="6"/>
        <v>7.46</v>
      </c>
    </row>
    <row r="383" spans="1:8">
      <c r="A383" s="3247">
        <v>381</v>
      </c>
      <c r="B383" s="3610"/>
      <c r="C383" s="3606" t="s">
        <v>3476</v>
      </c>
      <c r="D383" s="3606"/>
      <c r="E383" s="3249" t="s">
        <v>3565</v>
      </c>
      <c r="F383" s="3249">
        <f>[2]Sheet2!F384</f>
        <v>38.659999999999997</v>
      </c>
      <c r="G383" s="3250" t="s">
        <v>3183</v>
      </c>
      <c r="H383" s="3253">
        <f t="shared" si="6"/>
        <v>7.93</v>
      </c>
    </row>
    <row r="384" spans="1:8">
      <c r="A384" s="3247">
        <v>382</v>
      </c>
      <c r="B384" s="3610"/>
      <c r="C384" s="3606" t="s">
        <v>3476</v>
      </c>
      <c r="D384" s="3606"/>
      <c r="E384" s="3249" t="s">
        <v>3566</v>
      </c>
      <c r="F384" s="3249">
        <f>[2]Sheet2!F385</f>
        <v>38.659999999999997</v>
      </c>
      <c r="G384" s="3250" t="s">
        <v>3183</v>
      </c>
      <c r="H384" s="3253">
        <f t="shared" si="6"/>
        <v>7.93</v>
      </c>
    </row>
    <row r="385" spans="1:8">
      <c r="A385" s="3247">
        <v>383</v>
      </c>
      <c r="B385" s="3610"/>
      <c r="C385" s="3606" t="s">
        <v>3476</v>
      </c>
      <c r="D385" s="3606"/>
      <c r="E385" s="3249" t="s">
        <v>3567</v>
      </c>
      <c r="F385" s="3249">
        <f>[2]Sheet2!F386</f>
        <v>38.659999999999997</v>
      </c>
      <c r="G385" s="3250" t="s">
        <v>3183</v>
      </c>
      <c r="H385" s="3253">
        <f t="shared" si="6"/>
        <v>7.93</v>
      </c>
    </row>
    <row r="386" spans="1:8">
      <c r="A386" s="3247">
        <v>384</v>
      </c>
      <c r="B386" s="3610"/>
      <c r="C386" s="3606" t="s">
        <v>3476</v>
      </c>
      <c r="D386" s="3606"/>
      <c r="E386" s="3249" t="s">
        <v>3568</v>
      </c>
      <c r="F386" s="3249">
        <f>[2]Sheet2!F387</f>
        <v>38.659999999999997</v>
      </c>
      <c r="G386" s="3250" t="s">
        <v>3183</v>
      </c>
      <c r="H386" s="3253">
        <f t="shared" si="6"/>
        <v>7.93</v>
      </c>
    </row>
    <row r="387" spans="1:8">
      <c r="A387" s="3247">
        <v>385</v>
      </c>
      <c r="B387" s="3610"/>
      <c r="C387" s="3606" t="s">
        <v>3476</v>
      </c>
      <c r="D387" s="3606"/>
      <c r="E387" s="3249" t="s">
        <v>3569</v>
      </c>
      <c r="F387" s="3249">
        <f>[2]Sheet2!F388</f>
        <v>36.340000000000003</v>
      </c>
      <c r="G387" s="3250" t="s">
        <v>3183</v>
      </c>
      <c r="H387" s="3253">
        <f t="shared" si="6"/>
        <v>7.46</v>
      </c>
    </row>
    <row r="388" spans="1:8">
      <c r="A388" s="3247">
        <v>386</v>
      </c>
      <c r="B388" s="3610"/>
      <c r="C388" s="3606" t="s">
        <v>3476</v>
      </c>
      <c r="D388" s="3606"/>
      <c r="E388" s="3249" t="s">
        <v>3570</v>
      </c>
      <c r="F388" s="3249">
        <f>[2]Sheet2!F389</f>
        <v>36.340000000000003</v>
      </c>
      <c r="G388" s="3250" t="s">
        <v>3183</v>
      </c>
      <c r="H388" s="3253">
        <f t="shared" si="6"/>
        <v>7.46</v>
      </c>
    </row>
    <row r="389" spans="1:8">
      <c r="A389" s="3247">
        <v>387</v>
      </c>
      <c r="B389" s="3610"/>
      <c r="C389" s="3606" t="s">
        <v>3476</v>
      </c>
      <c r="D389" s="3606"/>
      <c r="E389" s="3249" t="s">
        <v>3571</v>
      </c>
      <c r="F389" s="3249">
        <f>[2]Sheet2!F390</f>
        <v>36.340000000000003</v>
      </c>
      <c r="G389" s="3250" t="s">
        <v>3183</v>
      </c>
      <c r="H389" s="3253">
        <f t="shared" si="6"/>
        <v>7.46</v>
      </c>
    </row>
    <row r="390" spans="1:8">
      <c r="A390" s="3247">
        <v>388</v>
      </c>
      <c r="B390" s="3610"/>
      <c r="C390" s="3606" t="s">
        <v>3476</v>
      </c>
      <c r="D390" s="3606"/>
      <c r="E390" s="3249" t="s">
        <v>3572</v>
      </c>
      <c r="F390" s="3249">
        <f>[2]Sheet2!F391</f>
        <v>36.340000000000003</v>
      </c>
      <c r="G390" s="3250" t="s">
        <v>3183</v>
      </c>
      <c r="H390" s="3253">
        <f t="shared" si="6"/>
        <v>7.46</v>
      </c>
    </row>
    <row r="391" spans="1:8">
      <c r="A391" s="3247">
        <v>389</v>
      </c>
      <c r="B391" s="3610"/>
      <c r="C391" s="3606" t="s">
        <v>3476</v>
      </c>
      <c r="D391" s="3606"/>
      <c r="E391" s="3249" t="s">
        <v>3573</v>
      </c>
      <c r="F391" s="3249">
        <f>[2]Sheet2!F392</f>
        <v>36.340000000000003</v>
      </c>
      <c r="G391" s="3250" t="s">
        <v>3183</v>
      </c>
      <c r="H391" s="3253">
        <f t="shared" si="6"/>
        <v>7.46</v>
      </c>
    </row>
    <row r="392" spans="1:8">
      <c r="A392" s="3247">
        <v>390</v>
      </c>
      <c r="B392" s="3610"/>
      <c r="C392" s="3606" t="s">
        <v>3476</v>
      </c>
      <c r="D392" s="3606"/>
      <c r="E392" s="3249" t="s">
        <v>3574</v>
      </c>
      <c r="F392" s="3249">
        <f>[2]Sheet2!F393</f>
        <v>36.340000000000003</v>
      </c>
      <c r="G392" s="3250" t="s">
        <v>3183</v>
      </c>
      <c r="H392" s="3253">
        <f t="shared" si="6"/>
        <v>7.46</v>
      </c>
    </row>
    <row r="393" spans="1:8">
      <c r="A393" s="3247">
        <v>391</v>
      </c>
      <c r="B393" s="3610"/>
      <c r="C393" s="3606" t="s">
        <v>3476</v>
      </c>
      <c r="D393" s="3606"/>
      <c r="E393" s="3249" t="s">
        <v>3575</v>
      </c>
      <c r="F393" s="3249">
        <f>[2]Sheet2!F394</f>
        <v>36.340000000000003</v>
      </c>
      <c r="G393" s="3250" t="s">
        <v>3183</v>
      </c>
      <c r="H393" s="3253">
        <f t="shared" si="6"/>
        <v>7.46</v>
      </c>
    </row>
    <row r="394" spans="1:8">
      <c r="A394" s="3247">
        <v>392</v>
      </c>
      <c r="B394" s="3610"/>
      <c r="C394" s="3606" t="s">
        <v>3476</v>
      </c>
      <c r="D394" s="3606"/>
      <c r="E394" s="3249" t="s">
        <v>3576</v>
      </c>
      <c r="F394" s="3249">
        <f>[2]Sheet2!F395</f>
        <v>36.340000000000003</v>
      </c>
      <c r="G394" s="3250" t="s">
        <v>3183</v>
      </c>
      <c r="H394" s="3253">
        <f t="shared" si="6"/>
        <v>7.46</v>
      </c>
    </row>
    <row r="395" spans="1:8">
      <c r="A395" s="3247">
        <v>393</v>
      </c>
      <c r="B395" s="3610"/>
      <c r="C395" s="3606" t="s">
        <v>3476</v>
      </c>
      <c r="D395" s="3606"/>
      <c r="E395" s="3249" t="s">
        <v>3577</v>
      </c>
      <c r="F395" s="3249">
        <f>[2]Sheet2!F396</f>
        <v>36.340000000000003</v>
      </c>
      <c r="G395" s="3250" t="s">
        <v>3183</v>
      </c>
      <c r="H395" s="3253">
        <f t="shared" si="6"/>
        <v>7.46</v>
      </c>
    </row>
    <row r="396" spans="1:8">
      <c r="A396" s="3247">
        <v>394</v>
      </c>
      <c r="B396" s="3610"/>
      <c r="C396" s="3606" t="s">
        <v>3476</v>
      </c>
      <c r="D396" s="3606"/>
      <c r="E396" s="3249" t="s">
        <v>3578</v>
      </c>
      <c r="F396" s="3249">
        <f>[2]Sheet2!F397</f>
        <v>36.340000000000003</v>
      </c>
      <c r="G396" s="3250" t="s">
        <v>3183</v>
      </c>
      <c r="H396" s="3253">
        <f t="shared" si="6"/>
        <v>7.46</v>
      </c>
    </row>
    <row r="397" spans="1:8">
      <c r="A397" s="3247">
        <v>395</v>
      </c>
      <c r="B397" s="3610"/>
      <c r="C397" s="3606" t="s">
        <v>3476</v>
      </c>
      <c r="D397" s="3606"/>
      <c r="E397" s="3249" t="s">
        <v>3579</v>
      </c>
      <c r="F397" s="3249">
        <f>[2]Sheet2!F398</f>
        <v>36.340000000000003</v>
      </c>
      <c r="G397" s="3250" t="s">
        <v>3183</v>
      </c>
      <c r="H397" s="3253">
        <f t="shared" si="6"/>
        <v>7.46</v>
      </c>
    </row>
    <row r="398" spans="1:8">
      <c r="A398" s="3247">
        <v>396</v>
      </c>
      <c r="B398" s="3610"/>
      <c r="C398" s="3606" t="s">
        <v>3476</v>
      </c>
      <c r="D398" s="3606"/>
      <c r="E398" s="3249" t="s">
        <v>3580</v>
      </c>
      <c r="F398" s="3249">
        <f>[2]Sheet2!F399</f>
        <v>36.340000000000003</v>
      </c>
      <c r="G398" s="3250" t="s">
        <v>3183</v>
      </c>
      <c r="H398" s="3253">
        <f t="shared" si="6"/>
        <v>7.46</v>
      </c>
    </row>
    <row r="399" spans="1:8">
      <c r="A399" s="3247">
        <v>397</v>
      </c>
      <c r="B399" s="3610"/>
      <c r="C399" s="3606" t="s">
        <v>3476</v>
      </c>
      <c r="D399" s="3606"/>
      <c r="E399" s="3249" t="s">
        <v>3581</v>
      </c>
      <c r="F399" s="3249">
        <f>[2]Sheet2!F400</f>
        <v>37.11</v>
      </c>
      <c r="G399" s="3250" t="s">
        <v>3183</v>
      </c>
      <c r="H399" s="3253">
        <f t="shared" si="6"/>
        <v>7.62</v>
      </c>
    </row>
    <row r="400" spans="1:8">
      <c r="A400" s="3247">
        <v>398</v>
      </c>
      <c r="B400" s="3610"/>
      <c r="C400" s="3606" t="s">
        <v>3476</v>
      </c>
      <c r="D400" s="3606"/>
      <c r="E400" s="3249" t="s">
        <v>3582</v>
      </c>
      <c r="F400" s="3249">
        <f>[2]Sheet2!F401</f>
        <v>37.11</v>
      </c>
      <c r="G400" s="3250" t="s">
        <v>3183</v>
      </c>
      <c r="H400" s="3253">
        <f t="shared" si="6"/>
        <v>7.62</v>
      </c>
    </row>
    <row r="401" spans="1:8">
      <c r="A401" s="3247">
        <v>399</v>
      </c>
      <c r="B401" s="3610"/>
      <c r="C401" s="3606" t="s">
        <v>3476</v>
      </c>
      <c r="D401" s="3606"/>
      <c r="E401" s="3249" t="s">
        <v>3583</v>
      </c>
      <c r="F401" s="3249">
        <f>[2]Sheet2!F402</f>
        <v>35.99</v>
      </c>
      <c r="G401" s="3250" t="s">
        <v>3183</v>
      </c>
      <c r="H401" s="3253">
        <f t="shared" si="6"/>
        <v>7.39</v>
      </c>
    </row>
    <row r="402" spans="1:8">
      <c r="A402" s="3247">
        <v>400</v>
      </c>
      <c r="B402" s="3610"/>
      <c r="C402" s="3606" t="s">
        <v>3476</v>
      </c>
      <c r="D402" s="3606"/>
      <c r="E402" s="3249" t="s">
        <v>3584</v>
      </c>
      <c r="F402" s="3249">
        <f>[2]Sheet2!F403</f>
        <v>37.49</v>
      </c>
      <c r="G402" s="3250" t="s">
        <v>3183</v>
      </c>
      <c r="H402" s="3253">
        <f t="shared" si="6"/>
        <v>7.69</v>
      </c>
    </row>
    <row r="403" spans="1:8">
      <c r="A403" s="3247">
        <v>401</v>
      </c>
      <c r="B403" s="3610"/>
      <c r="C403" s="3606" t="s">
        <v>3476</v>
      </c>
      <c r="D403" s="3606"/>
      <c r="E403" s="3249" t="s">
        <v>3585</v>
      </c>
      <c r="F403" s="3249">
        <f>[2]Sheet2!F404</f>
        <v>37.49</v>
      </c>
      <c r="G403" s="3250" t="s">
        <v>3183</v>
      </c>
      <c r="H403" s="3253">
        <f t="shared" si="6"/>
        <v>7.69</v>
      </c>
    </row>
    <row r="404" spans="1:8">
      <c r="A404" s="3247">
        <v>402</v>
      </c>
      <c r="B404" s="3610"/>
      <c r="C404" s="3606" t="s">
        <v>3476</v>
      </c>
      <c r="D404" s="3606"/>
      <c r="E404" s="3249" t="s">
        <v>3586</v>
      </c>
      <c r="F404" s="3249">
        <f>[2]Sheet2!F405</f>
        <v>35.99</v>
      </c>
      <c r="G404" s="3250" t="s">
        <v>3183</v>
      </c>
      <c r="H404" s="3253">
        <f t="shared" si="6"/>
        <v>7.39</v>
      </c>
    </row>
    <row r="405" spans="1:8">
      <c r="A405" s="3247">
        <v>403</v>
      </c>
      <c r="B405" s="3610"/>
      <c r="C405" s="3606" t="s">
        <v>3476</v>
      </c>
      <c r="D405" s="3606"/>
      <c r="E405" s="3249" t="s">
        <v>3587</v>
      </c>
      <c r="F405" s="3249">
        <f>[2]Sheet2!F406</f>
        <v>37.49</v>
      </c>
      <c r="G405" s="3250" t="s">
        <v>3183</v>
      </c>
      <c r="H405" s="3253">
        <f t="shared" si="6"/>
        <v>7.69</v>
      </c>
    </row>
    <row r="406" spans="1:8">
      <c r="A406" s="3247">
        <v>404</v>
      </c>
      <c r="B406" s="3610"/>
      <c r="C406" s="3606" t="s">
        <v>3476</v>
      </c>
      <c r="D406" s="3606"/>
      <c r="E406" s="3249" t="s">
        <v>3588</v>
      </c>
      <c r="F406" s="3249">
        <f>[2]Sheet2!F407</f>
        <v>37.49</v>
      </c>
      <c r="G406" s="3250" t="s">
        <v>3183</v>
      </c>
      <c r="H406" s="3253">
        <f t="shared" si="6"/>
        <v>7.69</v>
      </c>
    </row>
    <row r="407" spans="1:8">
      <c r="A407" s="3247">
        <v>405</v>
      </c>
      <c r="B407" s="3610"/>
      <c r="C407" s="3606" t="s">
        <v>3476</v>
      </c>
      <c r="D407" s="3606"/>
      <c r="E407" s="3249" t="s">
        <v>3589</v>
      </c>
      <c r="F407" s="3249">
        <f>[2]Sheet2!F408</f>
        <v>37.49</v>
      </c>
      <c r="G407" s="3250" t="s">
        <v>3183</v>
      </c>
      <c r="H407" s="3253">
        <f t="shared" si="6"/>
        <v>7.69</v>
      </c>
    </row>
    <row r="408" spans="1:8">
      <c r="A408" s="3247">
        <v>406</v>
      </c>
      <c r="B408" s="3610"/>
      <c r="C408" s="3606" t="s">
        <v>3476</v>
      </c>
      <c r="D408" s="3606"/>
      <c r="E408" s="3249" t="s">
        <v>3590</v>
      </c>
      <c r="F408" s="3249">
        <f>[2]Sheet2!F409</f>
        <v>37.49</v>
      </c>
      <c r="G408" s="3250" t="s">
        <v>3183</v>
      </c>
      <c r="H408" s="3253">
        <f t="shared" si="6"/>
        <v>7.69</v>
      </c>
    </row>
    <row r="409" spans="1:8">
      <c r="A409" s="3247">
        <v>407</v>
      </c>
      <c r="B409" s="3610"/>
      <c r="C409" s="3606" t="s">
        <v>3476</v>
      </c>
      <c r="D409" s="3606"/>
      <c r="E409" s="3249" t="s">
        <v>3591</v>
      </c>
      <c r="F409" s="3249">
        <f>[2]Sheet2!F410</f>
        <v>37.49</v>
      </c>
      <c r="G409" s="3250" t="s">
        <v>3183</v>
      </c>
      <c r="H409" s="3253">
        <f t="shared" si="6"/>
        <v>7.69</v>
      </c>
    </row>
    <row r="410" spans="1:8">
      <c r="A410" s="3247">
        <v>408</v>
      </c>
      <c r="B410" s="3610"/>
      <c r="C410" s="3606" t="s">
        <v>3476</v>
      </c>
      <c r="D410" s="3606"/>
      <c r="E410" s="3249" t="s">
        <v>3592</v>
      </c>
      <c r="F410" s="3249">
        <f>[2]Sheet2!F411</f>
        <v>37.49</v>
      </c>
      <c r="G410" s="3250" t="s">
        <v>3183</v>
      </c>
      <c r="H410" s="3253">
        <f t="shared" si="6"/>
        <v>7.69</v>
      </c>
    </row>
    <row r="411" spans="1:8">
      <c r="A411" s="3247">
        <v>409</v>
      </c>
      <c r="B411" s="3610"/>
      <c r="C411" s="3606" t="s">
        <v>3476</v>
      </c>
      <c r="D411" s="3606"/>
      <c r="E411" s="3249" t="s">
        <v>3593</v>
      </c>
      <c r="F411" s="3249">
        <f>[2]Sheet2!F412</f>
        <v>37.49</v>
      </c>
      <c r="G411" s="3250" t="s">
        <v>3183</v>
      </c>
      <c r="H411" s="3253">
        <f t="shared" si="6"/>
        <v>7.69</v>
      </c>
    </row>
    <row r="412" spans="1:8">
      <c r="A412" s="3247">
        <v>410</v>
      </c>
      <c r="B412" s="3610"/>
      <c r="C412" s="3606" t="s">
        <v>3476</v>
      </c>
      <c r="D412" s="3606"/>
      <c r="E412" s="3249" t="s">
        <v>3594</v>
      </c>
      <c r="F412" s="3249">
        <f>[2]Sheet2!F413</f>
        <v>35.99</v>
      </c>
      <c r="G412" s="3250" t="s">
        <v>3183</v>
      </c>
      <c r="H412" s="3253">
        <f t="shared" si="6"/>
        <v>7.39</v>
      </c>
    </row>
    <row r="413" spans="1:8">
      <c r="A413" s="3247">
        <v>411</v>
      </c>
      <c r="B413" s="3610"/>
      <c r="C413" s="3606" t="s">
        <v>3476</v>
      </c>
      <c r="D413" s="3606"/>
      <c r="E413" s="3249" t="s">
        <v>3595</v>
      </c>
      <c r="F413" s="3249">
        <f>[2]Sheet2!F414</f>
        <v>37.49</v>
      </c>
      <c r="G413" s="3250" t="s">
        <v>3183</v>
      </c>
      <c r="H413" s="3253">
        <f t="shared" si="6"/>
        <v>7.69</v>
      </c>
    </row>
    <row r="414" spans="1:8">
      <c r="A414" s="3247">
        <v>412</v>
      </c>
      <c r="B414" s="3610"/>
      <c r="C414" s="3606" t="s">
        <v>3476</v>
      </c>
      <c r="D414" s="3606"/>
      <c r="E414" s="3249" t="s">
        <v>3596</v>
      </c>
      <c r="F414" s="3249">
        <f>[2]Sheet2!F415</f>
        <v>37.49</v>
      </c>
      <c r="G414" s="3250" t="s">
        <v>3183</v>
      </c>
      <c r="H414" s="3253">
        <f t="shared" si="6"/>
        <v>7.69</v>
      </c>
    </row>
    <row r="415" spans="1:8">
      <c r="A415" s="3247">
        <v>413</v>
      </c>
      <c r="B415" s="3610"/>
      <c r="C415" s="3606" t="s">
        <v>3476</v>
      </c>
      <c r="D415" s="3606"/>
      <c r="E415" s="3249" t="s">
        <v>3597</v>
      </c>
      <c r="F415" s="3249">
        <f>[2]Sheet2!F416</f>
        <v>37.49</v>
      </c>
      <c r="G415" s="3250" t="s">
        <v>3183</v>
      </c>
      <c r="H415" s="3253">
        <f t="shared" si="6"/>
        <v>7.69</v>
      </c>
    </row>
    <row r="416" spans="1:8">
      <c r="A416" s="3247">
        <v>414</v>
      </c>
      <c r="B416" s="3610"/>
      <c r="C416" s="3606" t="s">
        <v>3476</v>
      </c>
      <c r="D416" s="3606"/>
      <c r="E416" s="3249" t="s">
        <v>3598</v>
      </c>
      <c r="F416" s="3249">
        <f>[2]Sheet2!F417</f>
        <v>35.24</v>
      </c>
      <c r="G416" s="3250" t="s">
        <v>3183</v>
      </c>
      <c r="H416" s="3253">
        <f t="shared" si="6"/>
        <v>7.23</v>
      </c>
    </row>
    <row r="417" spans="1:8">
      <c r="A417" s="3247">
        <v>415</v>
      </c>
      <c r="B417" s="3610"/>
      <c r="C417" s="3606" t="s">
        <v>3476</v>
      </c>
      <c r="D417" s="3606"/>
      <c r="E417" s="3249" t="s">
        <v>3599</v>
      </c>
      <c r="F417" s="3249">
        <f>[2]Sheet2!F418</f>
        <v>35.24</v>
      </c>
      <c r="G417" s="3250" t="s">
        <v>3183</v>
      </c>
      <c r="H417" s="3253">
        <f t="shared" si="6"/>
        <v>7.23</v>
      </c>
    </row>
    <row r="418" spans="1:8">
      <c r="A418" s="3247">
        <v>416</v>
      </c>
      <c r="B418" s="3610"/>
      <c r="C418" s="3606" t="s">
        <v>3476</v>
      </c>
      <c r="D418" s="3606"/>
      <c r="E418" s="3249" t="s">
        <v>3600</v>
      </c>
      <c r="F418" s="3249">
        <f>[2]Sheet2!F419</f>
        <v>35.24</v>
      </c>
      <c r="G418" s="3250" t="s">
        <v>3183</v>
      </c>
      <c r="H418" s="3253">
        <f t="shared" si="6"/>
        <v>7.23</v>
      </c>
    </row>
    <row r="419" spans="1:8">
      <c r="A419" s="3247">
        <v>417</v>
      </c>
      <c r="B419" s="3610"/>
      <c r="C419" s="3606" t="s">
        <v>3476</v>
      </c>
      <c r="D419" s="3606"/>
      <c r="E419" s="3249" t="s">
        <v>3601</v>
      </c>
      <c r="F419" s="3249">
        <f>[2]Sheet2!F420</f>
        <v>37.49</v>
      </c>
      <c r="G419" s="3250" t="s">
        <v>3183</v>
      </c>
      <c r="H419" s="3253">
        <f t="shared" si="6"/>
        <v>7.69</v>
      </c>
    </row>
    <row r="420" spans="1:8">
      <c r="A420" s="3247">
        <v>418</v>
      </c>
      <c r="B420" s="3610"/>
      <c r="C420" s="3606" t="s">
        <v>3476</v>
      </c>
      <c r="D420" s="3606"/>
      <c r="E420" s="3249" t="s">
        <v>3602</v>
      </c>
      <c r="F420" s="3249">
        <f>[2]Sheet2!F421</f>
        <v>37.49</v>
      </c>
      <c r="G420" s="3250" t="s">
        <v>3183</v>
      </c>
      <c r="H420" s="3253">
        <f t="shared" si="6"/>
        <v>7.69</v>
      </c>
    </row>
    <row r="421" spans="1:8">
      <c r="A421" s="3247">
        <v>419</v>
      </c>
      <c r="B421" s="3610"/>
      <c r="C421" s="3606" t="s">
        <v>3476</v>
      </c>
      <c r="D421" s="3606"/>
      <c r="E421" s="3249" t="s">
        <v>3603</v>
      </c>
      <c r="F421" s="3249">
        <f>[2]Sheet2!F422</f>
        <v>37.49</v>
      </c>
      <c r="G421" s="3250" t="s">
        <v>3183</v>
      </c>
      <c r="H421" s="3253">
        <f t="shared" si="6"/>
        <v>7.69</v>
      </c>
    </row>
    <row r="422" spans="1:8">
      <c r="A422" s="3247">
        <v>420</v>
      </c>
      <c r="B422" s="3610"/>
      <c r="C422" s="3606" t="s">
        <v>3476</v>
      </c>
      <c r="D422" s="3606"/>
      <c r="E422" s="3249" t="s">
        <v>3604</v>
      </c>
      <c r="F422" s="3249">
        <f>[2]Sheet2!F423</f>
        <v>37.49</v>
      </c>
      <c r="G422" s="3250" t="s">
        <v>3183</v>
      </c>
      <c r="H422" s="3253">
        <f t="shared" si="6"/>
        <v>7.69</v>
      </c>
    </row>
    <row r="423" spans="1:8">
      <c r="A423" s="3247">
        <v>421</v>
      </c>
      <c r="B423" s="3610"/>
      <c r="C423" s="3606" t="s">
        <v>3476</v>
      </c>
      <c r="D423" s="3606"/>
      <c r="E423" s="3249" t="s">
        <v>3605</v>
      </c>
      <c r="F423" s="3249">
        <f>[2]Sheet2!F424</f>
        <v>37.49</v>
      </c>
      <c r="G423" s="3250" t="s">
        <v>3183</v>
      </c>
      <c r="H423" s="3253">
        <f t="shared" si="6"/>
        <v>7.69</v>
      </c>
    </row>
    <row r="424" spans="1:8">
      <c r="A424" s="3247">
        <v>422</v>
      </c>
      <c r="B424" s="3610"/>
      <c r="C424" s="3606" t="s">
        <v>3476</v>
      </c>
      <c r="D424" s="3606"/>
      <c r="E424" s="3249" t="s">
        <v>3606</v>
      </c>
      <c r="F424" s="3249">
        <f>[2]Sheet2!F425</f>
        <v>37.49</v>
      </c>
      <c r="G424" s="3250" t="s">
        <v>3183</v>
      </c>
      <c r="H424" s="3253">
        <f t="shared" ref="H424:H487" si="7">ROUND(F424/$J$5*$K$5,2)</f>
        <v>7.69</v>
      </c>
    </row>
    <row r="425" spans="1:8">
      <c r="A425" s="3247">
        <v>423</v>
      </c>
      <c r="B425" s="3610"/>
      <c r="C425" s="3606" t="s">
        <v>3476</v>
      </c>
      <c r="D425" s="3606"/>
      <c r="E425" s="3249" t="s">
        <v>3607</v>
      </c>
      <c r="F425" s="3249">
        <f>[2]Sheet2!F426</f>
        <v>37.49</v>
      </c>
      <c r="G425" s="3250" t="s">
        <v>3183</v>
      </c>
      <c r="H425" s="3253">
        <f t="shared" si="7"/>
        <v>7.69</v>
      </c>
    </row>
    <row r="426" spans="1:8">
      <c r="A426" s="3247">
        <v>424</v>
      </c>
      <c r="B426" s="3610"/>
      <c r="C426" s="3606" t="s">
        <v>3476</v>
      </c>
      <c r="D426" s="3606"/>
      <c r="E426" s="3249" t="s">
        <v>3608</v>
      </c>
      <c r="F426" s="3249">
        <f>[2]Sheet2!F427</f>
        <v>37.49</v>
      </c>
      <c r="G426" s="3250" t="s">
        <v>3183</v>
      </c>
      <c r="H426" s="3253">
        <f t="shared" si="7"/>
        <v>7.69</v>
      </c>
    </row>
    <row r="427" spans="1:8">
      <c r="A427" s="3247">
        <v>425</v>
      </c>
      <c r="B427" s="3610"/>
      <c r="C427" s="3606" t="s">
        <v>3476</v>
      </c>
      <c r="D427" s="3606"/>
      <c r="E427" s="3249" t="s">
        <v>3609</v>
      </c>
      <c r="F427" s="3249">
        <f>[2]Sheet2!F428</f>
        <v>35.99</v>
      </c>
      <c r="G427" s="3250" t="s">
        <v>3183</v>
      </c>
      <c r="H427" s="3253">
        <f t="shared" si="7"/>
        <v>7.39</v>
      </c>
    </row>
    <row r="428" spans="1:8">
      <c r="A428" s="3247">
        <v>426</v>
      </c>
      <c r="B428" s="3610"/>
      <c r="C428" s="3606" t="s">
        <v>3476</v>
      </c>
      <c r="D428" s="3606"/>
      <c r="E428" s="3249" t="s">
        <v>3610</v>
      </c>
      <c r="F428" s="3249">
        <f>[2]Sheet2!F429</f>
        <v>35.99</v>
      </c>
      <c r="G428" s="3250" t="s">
        <v>3183</v>
      </c>
      <c r="H428" s="3253">
        <f t="shared" si="7"/>
        <v>7.39</v>
      </c>
    </row>
    <row r="429" spans="1:8">
      <c r="A429" s="3247">
        <v>427</v>
      </c>
      <c r="B429" s="3610"/>
      <c r="C429" s="3606" t="s">
        <v>3476</v>
      </c>
      <c r="D429" s="3606"/>
      <c r="E429" s="3249" t="s">
        <v>3611</v>
      </c>
      <c r="F429" s="3249">
        <f>[2]Sheet2!F430</f>
        <v>35.99</v>
      </c>
      <c r="G429" s="3250" t="s">
        <v>3183</v>
      </c>
      <c r="H429" s="3253">
        <f t="shared" si="7"/>
        <v>7.39</v>
      </c>
    </row>
    <row r="430" spans="1:8">
      <c r="A430" s="3247">
        <v>428</v>
      </c>
      <c r="B430" s="3610"/>
      <c r="C430" s="3606" t="s">
        <v>3476</v>
      </c>
      <c r="D430" s="3606"/>
      <c r="E430" s="3249" t="s">
        <v>3612</v>
      </c>
      <c r="F430" s="3249">
        <f>[2]Sheet2!F431</f>
        <v>35.99</v>
      </c>
      <c r="G430" s="3250" t="s">
        <v>3183</v>
      </c>
      <c r="H430" s="3253">
        <f t="shared" si="7"/>
        <v>7.39</v>
      </c>
    </row>
    <row r="431" spans="1:8">
      <c r="A431" s="3247">
        <v>429</v>
      </c>
      <c r="B431" s="3610"/>
      <c r="C431" s="3606" t="s">
        <v>3476</v>
      </c>
      <c r="D431" s="3606"/>
      <c r="E431" s="3249" t="s">
        <v>3613</v>
      </c>
      <c r="F431" s="3249">
        <f>[2]Sheet2!F432</f>
        <v>35.99</v>
      </c>
      <c r="G431" s="3250" t="s">
        <v>3183</v>
      </c>
      <c r="H431" s="3253">
        <f t="shared" si="7"/>
        <v>7.39</v>
      </c>
    </row>
    <row r="432" spans="1:8">
      <c r="A432" s="3247">
        <v>430</v>
      </c>
      <c r="B432" s="3610"/>
      <c r="C432" s="3606" t="s">
        <v>3476</v>
      </c>
      <c r="D432" s="3606"/>
      <c r="E432" s="3249" t="s">
        <v>3614</v>
      </c>
      <c r="F432" s="3249">
        <f>[2]Sheet2!F433</f>
        <v>35.99</v>
      </c>
      <c r="G432" s="3250" t="s">
        <v>3183</v>
      </c>
      <c r="H432" s="3253">
        <f t="shared" si="7"/>
        <v>7.39</v>
      </c>
    </row>
    <row r="433" spans="1:8">
      <c r="A433" s="3247">
        <v>431</v>
      </c>
      <c r="B433" s="3610"/>
      <c r="C433" s="3606" t="s">
        <v>3476</v>
      </c>
      <c r="D433" s="3606"/>
      <c r="E433" s="3249" t="s">
        <v>3615</v>
      </c>
      <c r="F433" s="3249">
        <f>[2]Sheet2!F434</f>
        <v>35.99</v>
      </c>
      <c r="G433" s="3250" t="s">
        <v>3183</v>
      </c>
      <c r="H433" s="3253">
        <f t="shared" si="7"/>
        <v>7.39</v>
      </c>
    </row>
    <row r="434" spans="1:8">
      <c r="A434" s="3247">
        <v>432</v>
      </c>
      <c r="B434" s="3610"/>
      <c r="C434" s="3606" t="s">
        <v>3476</v>
      </c>
      <c r="D434" s="3606"/>
      <c r="E434" s="3249" t="s">
        <v>3616</v>
      </c>
      <c r="F434" s="3249">
        <f>[2]Sheet2!F435</f>
        <v>35.99</v>
      </c>
      <c r="G434" s="3250" t="s">
        <v>3183</v>
      </c>
      <c r="H434" s="3253">
        <f t="shared" si="7"/>
        <v>7.39</v>
      </c>
    </row>
    <row r="435" spans="1:8">
      <c r="A435" s="3247">
        <v>433</v>
      </c>
      <c r="B435" s="3610"/>
      <c r="C435" s="3606" t="s">
        <v>3476</v>
      </c>
      <c r="D435" s="3606"/>
      <c r="E435" s="3249" t="s">
        <v>3617</v>
      </c>
      <c r="F435" s="3249">
        <f>[2]Sheet2!F436</f>
        <v>35.99</v>
      </c>
      <c r="G435" s="3250" t="s">
        <v>3183</v>
      </c>
      <c r="H435" s="3253">
        <f t="shared" si="7"/>
        <v>7.39</v>
      </c>
    </row>
    <row r="436" spans="1:8">
      <c r="A436" s="3247">
        <v>434</v>
      </c>
      <c r="B436" s="3610"/>
      <c r="C436" s="3606" t="s">
        <v>3476</v>
      </c>
      <c r="D436" s="3606"/>
      <c r="E436" s="3249" t="s">
        <v>3618</v>
      </c>
      <c r="F436" s="3249">
        <f>[2]Sheet2!F437</f>
        <v>35.99</v>
      </c>
      <c r="G436" s="3250" t="s">
        <v>3183</v>
      </c>
      <c r="H436" s="3253">
        <f t="shared" si="7"/>
        <v>7.39</v>
      </c>
    </row>
    <row r="437" spans="1:8">
      <c r="A437" s="3247">
        <v>435</v>
      </c>
      <c r="B437" s="3610"/>
      <c r="C437" s="3606" t="s">
        <v>3476</v>
      </c>
      <c r="D437" s="3606"/>
      <c r="E437" s="3249" t="s">
        <v>3619</v>
      </c>
      <c r="F437" s="3249">
        <f>[2]Sheet2!F438</f>
        <v>35.99</v>
      </c>
      <c r="G437" s="3250" t="s">
        <v>3183</v>
      </c>
      <c r="H437" s="3253">
        <f t="shared" si="7"/>
        <v>7.39</v>
      </c>
    </row>
    <row r="438" spans="1:8">
      <c r="A438" s="3247">
        <v>436</v>
      </c>
      <c r="B438" s="3610"/>
      <c r="C438" s="3606" t="s">
        <v>3476</v>
      </c>
      <c r="D438" s="3606"/>
      <c r="E438" s="3249" t="s">
        <v>3620</v>
      </c>
      <c r="F438" s="3249">
        <f>[2]Sheet2!F439</f>
        <v>35.99</v>
      </c>
      <c r="G438" s="3250" t="s">
        <v>3183</v>
      </c>
      <c r="H438" s="3253">
        <f t="shared" si="7"/>
        <v>7.39</v>
      </c>
    </row>
    <row r="439" spans="1:8">
      <c r="A439" s="3247">
        <v>437</v>
      </c>
      <c r="B439" s="3610"/>
      <c r="C439" s="3606" t="s">
        <v>3476</v>
      </c>
      <c r="D439" s="3606"/>
      <c r="E439" s="3249" t="s">
        <v>3621</v>
      </c>
      <c r="F439" s="3249">
        <f>[2]Sheet2!F440</f>
        <v>35.99</v>
      </c>
      <c r="G439" s="3250" t="s">
        <v>3183</v>
      </c>
      <c r="H439" s="3253">
        <f t="shared" si="7"/>
        <v>7.39</v>
      </c>
    </row>
    <row r="440" spans="1:8">
      <c r="A440" s="3247">
        <v>438</v>
      </c>
      <c r="B440" s="3610"/>
      <c r="C440" s="3606" t="s">
        <v>3476</v>
      </c>
      <c r="D440" s="3606"/>
      <c r="E440" s="3249" t="s">
        <v>3622</v>
      </c>
      <c r="F440" s="3249">
        <f>[2]Sheet2!F441</f>
        <v>35.99</v>
      </c>
      <c r="G440" s="3250" t="s">
        <v>3183</v>
      </c>
      <c r="H440" s="3253">
        <f t="shared" si="7"/>
        <v>7.39</v>
      </c>
    </row>
    <row r="441" spans="1:8">
      <c r="A441" s="3247">
        <v>439</v>
      </c>
      <c r="B441" s="3610"/>
      <c r="C441" s="3606" t="s">
        <v>3476</v>
      </c>
      <c r="D441" s="3606"/>
      <c r="E441" s="3249" t="s">
        <v>3623</v>
      </c>
      <c r="F441" s="3249">
        <f>[2]Sheet2!F442</f>
        <v>35.99</v>
      </c>
      <c r="G441" s="3250" t="s">
        <v>3183</v>
      </c>
      <c r="H441" s="3253">
        <f t="shared" si="7"/>
        <v>7.39</v>
      </c>
    </row>
    <row r="442" spans="1:8">
      <c r="A442" s="3247">
        <v>440</v>
      </c>
      <c r="B442" s="3610"/>
      <c r="C442" s="3606" t="s">
        <v>3476</v>
      </c>
      <c r="D442" s="3606"/>
      <c r="E442" s="3249" t="s">
        <v>3624</v>
      </c>
      <c r="F442" s="3249">
        <f>[2]Sheet2!F443</f>
        <v>35.99</v>
      </c>
      <c r="G442" s="3250" t="s">
        <v>3183</v>
      </c>
      <c r="H442" s="3253">
        <f t="shared" si="7"/>
        <v>7.39</v>
      </c>
    </row>
    <row r="443" spans="1:8">
      <c r="A443" s="3247">
        <v>441</v>
      </c>
      <c r="B443" s="3610"/>
      <c r="C443" s="3606" t="s">
        <v>3476</v>
      </c>
      <c r="D443" s="3606"/>
      <c r="E443" s="3249" t="s">
        <v>3625</v>
      </c>
      <c r="F443" s="3249">
        <f>[2]Sheet2!F444</f>
        <v>34.49</v>
      </c>
      <c r="G443" s="3250" t="s">
        <v>3183</v>
      </c>
      <c r="H443" s="3253">
        <f t="shared" si="7"/>
        <v>7.08</v>
      </c>
    </row>
    <row r="444" spans="1:8">
      <c r="A444" s="3247">
        <v>442</v>
      </c>
      <c r="B444" s="3610"/>
      <c r="C444" s="3606" t="s">
        <v>3476</v>
      </c>
      <c r="D444" s="3606"/>
      <c r="E444" s="3249" t="s">
        <v>3626</v>
      </c>
      <c r="F444" s="3249">
        <f>[2]Sheet2!F445</f>
        <v>34.49</v>
      </c>
      <c r="G444" s="3250" t="s">
        <v>3183</v>
      </c>
      <c r="H444" s="3253">
        <f t="shared" si="7"/>
        <v>7.08</v>
      </c>
    </row>
    <row r="445" spans="1:8">
      <c r="A445" s="3247">
        <v>443</v>
      </c>
      <c r="B445" s="3610"/>
      <c r="C445" s="3606" t="s">
        <v>3476</v>
      </c>
      <c r="D445" s="3606"/>
      <c r="E445" s="3249" t="s">
        <v>3627</v>
      </c>
      <c r="F445" s="3249">
        <f>[2]Sheet2!F446</f>
        <v>34.49</v>
      </c>
      <c r="G445" s="3250" t="s">
        <v>3183</v>
      </c>
      <c r="H445" s="3253">
        <f t="shared" si="7"/>
        <v>7.08</v>
      </c>
    </row>
    <row r="446" spans="1:8">
      <c r="A446" s="3247">
        <v>444</v>
      </c>
      <c r="B446" s="3610"/>
      <c r="C446" s="3606" t="s">
        <v>3476</v>
      </c>
      <c r="D446" s="3606"/>
      <c r="E446" s="3249" t="s">
        <v>3628</v>
      </c>
      <c r="F446" s="3249">
        <f>[2]Sheet2!F447</f>
        <v>35.99</v>
      </c>
      <c r="G446" s="3250" t="s">
        <v>3183</v>
      </c>
      <c r="H446" s="3253">
        <f t="shared" si="7"/>
        <v>7.39</v>
      </c>
    </row>
    <row r="447" spans="1:8">
      <c r="A447" s="3247">
        <v>445</v>
      </c>
      <c r="B447" s="3610"/>
      <c r="C447" s="3606" t="s">
        <v>3476</v>
      </c>
      <c r="D447" s="3606"/>
      <c r="E447" s="3249" t="s">
        <v>3629</v>
      </c>
      <c r="F447" s="3249">
        <f>[2]Sheet2!F448</f>
        <v>35.99</v>
      </c>
      <c r="G447" s="3250" t="s">
        <v>3183</v>
      </c>
      <c r="H447" s="3253">
        <f t="shared" si="7"/>
        <v>7.39</v>
      </c>
    </row>
    <row r="448" spans="1:8">
      <c r="A448" s="3247">
        <v>446</v>
      </c>
      <c r="B448" s="3610"/>
      <c r="C448" s="3606" t="s">
        <v>3476</v>
      </c>
      <c r="D448" s="3606"/>
      <c r="E448" s="3249" t="s">
        <v>3630</v>
      </c>
      <c r="F448" s="3249">
        <f>[2]Sheet2!F449</f>
        <v>35.99</v>
      </c>
      <c r="G448" s="3250" t="s">
        <v>3183</v>
      </c>
      <c r="H448" s="3253">
        <f t="shared" si="7"/>
        <v>7.39</v>
      </c>
    </row>
    <row r="449" spans="1:8">
      <c r="A449" s="3247">
        <v>447</v>
      </c>
      <c r="B449" s="3610"/>
      <c r="C449" s="3606" t="s">
        <v>3476</v>
      </c>
      <c r="D449" s="3606"/>
      <c r="E449" s="3249" t="s">
        <v>3631</v>
      </c>
      <c r="F449" s="3249">
        <f>[2]Sheet2!F450</f>
        <v>35.99</v>
      </c>
      <c r="G449" s="3250" t="s">
        <v>3183</v>
      </c>
      <c r="H449" s="3253">
        <f t="shared" si="7"/>
        <v>7.39</v>
      </c>
    </row>
    <row r="450" spans="1:8">
      <c r="A450" s="3247">
        <v>448</v>
      </c>
      <c r="B450" s="3610"/>
      <c r="C450" s="3606" t="s">
        <v>3476</v>
      </c>
      <c r="D450" s="3606"/>
      <c r="E450" s="3249" t="s">
        <v>3632</v>
      </c>
      <c r="F450" s="3249">
        <f>[2]Sheet2!F451</f>
        <v>35.99</v>
      </c>
      <c r="G450" s="3250" t="s">
        <v>3183</v>
      </c>
      <c r="H450" s="3253">
        <f t="shared" si="7"/>
        <v>7.39</v>
      </c>
    </row>
    <row r="451" spans="1:8">
      <c r="A451" s="3247">
        <v>449</v>
      </c>
      <c r="B451" s="3610"/>
      <c r="C451" s="3606" t="s">
        <v>3476</v>
      </c>
      <c r="D451" s="3606"/>
      <c r="E451" s="3249" t="s">
        <v>3633</v>
      </c>
      <c r="F451" s="3249">
        <f>[2]Sheet2!F452</f>
        <v>37.49</v>
      </c>
      <c r="G451" s="3250" t="s">
        <v>3183</v>
      </c>
      <c r="H451" s="3253">
        <f t="shared" si="7"/>
        <v>7.69</v>
      </c>
    </row>
    <row r="452" spans="1:8">
      <c r="A452" s="3247">
        <v>450</v>
      </c>
      <c r="B452" s="3610"/>
      <c r="C452" s="3606" t="s">
        <v>3476</v>
      </c>
      <c r="D452" s="3606"/>
      <c r="E452" s="3249" t="s">
        <v>3634</v>
      </c>
      <c r="F452" s="3249">
        <f>[2]Sheet2!F453</f>
        <v>35.99</v>
      </c>
      <c r="G452" s="3250" t="s">
        <v>3183</v>
      </c>
      <c r="H452" s="3253">
        <f t="shared" si="7"/>
        <v>7.39</v>
      </c>
    </row>
    <row r="453" spans="1:8">
      <c r="A453" s="3247">
        <v>451</v>
      </c>
      <c r="B453" s="3610"/>
      <c r="C453" s="3606" t="s">
        <v>3476</v>
      </c>
      <c r="D453" s="3606"/>
      <c r="E453" s="3249" t="s">
        <v>3635</v>
      </c>
      <c r="F453" s="3249">
        <f>[2]Sheet2!F454</f>
        <v>35.99</v>
      </c>
      <c r="G453" s="3250" t="s">
        <v>3183</v>
      </c>
      <c r="H453" s="3253">
        <f t="shared" si="7"/>
        <v>7.39</v>
      </c>
    </row>
    <row r="454" spans="1:8">
      <c r="A454" s="3247">
        <v>452</v>
      </c>
      <c r="B454" s="3610"/>
      <c r="C454" s="3606" t="s">
        <v>3476</v>
      </c>
      <c r="D454" s="3606"/>
      <c r="E454" s="3249" t="s">
        <v>3636</v>
      </c>
      <c r="F454" s="3249">
        <f>[2]Sheet2!F455</f>
        <v>35.99</v>
      </c>
      <c r="G454" s="3250" t="s">
        <v>3183</v>
      </c>
      <c r="H454" s="3253">
        <f t="shared" si="7"/>
        <v>7.39</v>
      </c>
    </row>
    <row r="455" spans="1:8">
      <c r="A455" s="3247">
        <v>453</v>
      </c>
      <c r="B455" s="3610"/>
      <c r="C455" s="3606" t="s">
        <v>3476</v>
      </c>
      <c r="D455" s="3606"/>
      <c r="E455" s="3249" t="s">
        <v>3637</v>
      </c>
      <c r="F455" s="3249">
        <f>[2]Sheet2!F456</f>
        <v>35.99</v>
      </c>
      <c r="G455" s="3250" t="s">
        <v>3183</v>
      </c>
      <c r="H455" s="3253">
        <f t="shared" si="7"/>
        <v>7.39</v>
      </c>
    </row>
    <row r="456" spans="1:8">
      <c r="A456" s="3247">
        <v>454</v>
      </c>
      <c r="B456" s="3610"/>
      <c r="C456" s="3606" t="s">
        <v>3476</v>
      </c>
      <c r="D456" s="3606"/>
      <c r="E456" s="3249" t="s">
        <v>3638</v>
      </c>
      <c r="F456" s="3249">
        <f>[2]Sheet2!F457</f>
        <v>37.49</v>
      </c>
      <c r="G456" s="3250" t="s">
        <v>3183</v>
      </c>
      <c r="H456" s="3253">
        <f t="shared" si="7"/>
        <v>7.69</v>
      </c>
    </row>
    <row r="457" spans="1:8">
      <c r="A457" s="3247">
        <v>455</v>
      </c>
      <c r="B457" s="3610"/>
      <c r="C457" s="3606" t="s">
        <v>3476</v>
      </c>
      <c r="D457" s="3606"/>
      <c r="E457" s="3249" t="s">
        <v>3639</v>
      </c>
      <c r="F457" s="3249">
        <f>[2]Sheet2!F458</f>
        <v>37.49</v>
      </c>
      <c r="G457" s="3250" t="s">
        <v>3183</v>
      </c>
      <c r="H457" s="3253">
        <f t="shared" si="7"/>
        <v>7.69</v>
      </c>
    </row>
    <row r="458" spans="1:8">
      <c r="A458" s="3247">
        <v>456</v>
      </c>
      <c r="B458" s="3610"/>
      <c r="C458" s="3606" t="s">
        <v>3476</v>
      </c>
      <c r="D458" s="3606"/>
      <c r="E458" s="3249" t="s">
        <v>3640</v>
      </c>
      <c r="F458" s="3249">
        <f>[2]Sheet2!F459</f>
        <v>37.49</v>
      </c>
      <c r="G458" s="3250" t="s">
        <v>3183</v>
      </c>
      <c r="H458" s="3253">
        <f t="shared" si="7"/>
        <v>7.69</v>
      </c>
    </row>
    <row r="459" spans="1:8">
      <c r="A459" s="3247">
        <v>457</v>
      </c>
      <c r="B459" s="3610"/>
      <c r="C459" s="3606" t="s">
        <v>3476</v>
      </c>
      <c r="D459" s="3606"/>
      <c r="E459" s="3249" t="s">
        <v>3641</v>
      </c>
      <c r="F459" s="3249">
        <f>[2]Sheet2!F460</f>
        <v>36.71</v>
      </c>
      <c r="G459" s="3250" t="s">
        <v>3183</v>
      </c>
      <c r="H459" s="3253">
        <f t="shared" si="7"/>
        <v>7.53</v>
      </c>
    </row>
    <row r="460" spans="1:8">
      <c r="A460" s="3247">
        <v>458</v>
      </c>
      <c r="B460" s="3610"/>
      <c r="C460" s="3606" t="s">
        <v>3476</v>
      </c>
      <c r="D460" s="3606"/>
      <c r="E460" s="3249" t="s">
        <v>3642</v>
      </c>
      <c r="F460" s="3249">
        <f>[2]Sheet2!F461</f>
        <v>37.49</v>
      </c>
      <c r="G460" s="3250" t="s">
        <v>3183</v>
      </c>
      <c r="H460" s="3253">
        <f t="shared" si="7"/>
        <v>7.69</v>
      </c>
    </row>
    <row r="461" spans="1:8">
      <c r="A461" s="3247">
        <v>459</v>
      </c>
      <c r="B461" s="3610"/>
      <c r="C461" s="3606" t="s">
        <v>3476</v>
      </c>
      <c r="D461" s="3606"/>
      <c r="E461" s="3249" t="s">
        <v>3643</v>
      </c>
      <c r="F461" s="3249">
        <f>[2]Sheet2!F462</f>
        <v>37.49</v>
      </c>
      <c r="G461" s="3250" t="s">
        <v>3183</v>
      </c>
      <c r="H461" s="3253">
        <f t="shared" si="7"/>
        <v>7.69</v>
      </c>
    </row>
    <row r="462" spans="1:8">
      <c r="A462" s="3247">
        <v>460</v>
      </c>
      <c r="B462" s="3610"/>
      <c r="C462" s="3606" t="s">
        <v>3476</v>
      </c>
      <c r="D462" s="3606"/>
      <c r="E462" s="3249" t="s">
        <v>3644</v>
      </c>
      <c r="F462" s="3249">
        <f>[2]Sheet2!F463</f>
        <v>38.99</v>
      </c>
      <c r="G462" s="3250" t="s">
        <v>3183</v>
      </c>
      <c r="H462" s="3253">
        <f t="shared" si="7"/>
        <v>8</v>
      </c>
    </row>
    <row r="463" spans="1:8">
      <c r="A463" s="3247">
        <v>461</v>
      </c>
      <c r="B463" s="3610"/>
      <c r="C463" s="3606" t="s">
        <v>3476</v>
      </c>
      <c r="D463" s="3606"/>
      <c r="E463" s="3249" t="s">
        <v>3645</v>
      </c>
      <c r="F463" s="3249">
        <f>[2]Sheet2!F464</f>
        <v>35.99</v>
      </c>
      <c r="G463" s="3250" t="s">
        <v>3183</v>
      </c>
      <c r="H463" s="3253">
        <f t="shared" si="7"/>
        <v>7.39</v>
      </c>
    </row>
    <row r="464" spans="1:8">
      <c r="A464" s="3247">
        <v>462</v>
      </c>
      <c r="B464" s="3610"/>
      <c r="C464" s="3606" t="s">
        <v>3476</v>
      </c>
      <c r="D464" s="3606"/>
      <c r="E464" s="3249" t="s">
        <v>3646</v>
      </c>
      <c r="F464" s="3249">
        <f>[2]Sheet2!F465</f>
        <v>35.99</v>
      </c>
      <c r="G464" s="3250" t="s">
        <v>3183</v>
      </c>
      <c r="H464" s="3253">
        <f t="shared" si="7"/>
        <v>7.39</v>
      </c>
    </row>
    <row r="465" spans="1:8">
      <c r="A465" s="3247">
        <v>463</v>
      </c>
      <c r="B465" s="3610"/>
      <c r="C465" s="3606" t="s">
        <v>3476</v>
      </c>
      <c r="D465" s="3606"/>
      <c r="E465" s="3249" t="s">
        <v>3647</v>
      </c>
      <c r="F465" s="3249">
        <f>[2]Sheet2!F466</f>
        <v>35.99</v>
      </c>
      <c r="G465" s="3250" t="s">
        <v>3183</v>
      </c>
      <c r="H465" s="3253">
        <f t="shared" si="7"/>
        <v>7.39</v>
      </c>
    </row>
    <row r="466" spans="1:8">
      <c r="A466" s="3247">
        <v>464</v>
      </c>
      <c r="B466" s="3610"/>
      <c r="C466" s="3606" t="s">
        <v>3476</v>
      </c>
      <c r="D466" s="3606"/>
      <c r="E466" s="3249" t="s">
        <v>3648</v>
      </c>
      <c r="F466" s="3249">
        <f>[2]Sheet2!F467</f>
        <v>35.99</v>
      </c>
      <c r="G466" s="3250" t="s">
        <v>3183</v>
      </c>
      <c r="H466" s="3253">
        <f t="shared" si="7"/>
        <v>7.39</v>
      </c>
    </row>
    <row r="467" spans="1:8">
      <c r="A467" s="3247">
        <v>465</v>
      </c>
      <c r="B467" s="3610"/>
      <c r="C467" s="3606" t="s">
        <v>3476</v>
      </c>
      <c r="D467" s="3606"/>
      <c r="E467" s="3249" t="s">
        <v>3649</v>
      </c>
      <c r="F467" s="3249">
        <f>[2]Sheet2!F468</f>
        <v>35.99</v>
      </c>
      <c r="G467" s="3250" t="s">
        <v>3183</v>
      </c>
      <c r="H467" s="3253">
        <f t="shared" si="7"/>
        <v>7.39</v>
      </c>
    </row>
    <row r="468" spans="1:8">
      <c r="A468" s="3247">
        <v>466</v>
      </c>
      <c r="B468" s="3610"/>
      <c r="C468" s="3606" t="s">
        <v>3476</v>
      </c>
      <c r="D468" s="3606"/>
      <c r="E468" s="3249" t="s">
        <v>3650</v>
      </c>
      <c r="F468" s="3249">
        <f>[2]Sheet2!F469</f>
        <v>35.99</v>
      </c>
      <c r="G468" s="3250" t="s">
        <v>3183</v>
      </c>
      <c r="H468" s="3253">
        <f t="shared" si="7"/>
        <v>7.39</v>
      </c>
    </row>
    <row r="469" spans="1:8">
      <c r="A469" s="3247">
        <v>467</v>
      </c>
      <c r="B469" s="3610"/>
      <c r="C469" s="3606" t="s">
        <v>3476</v>
      </c>
      <c r="D469" s="3606"/>
      <c r="E469" s="3249" t="s">
        <v>3651</v>
      </c>
      <c r="F469" s="3249">
        <f>[2]Sheet2!F470</f>
        <v>37.49</v>
      </c>
      <c r="G469" s="3250" t="s">
        <v>3183</v>
      </c>
      <c r="H469" s="3253">
        <f t="shared" si="7"/>
        <v>7.69</v>
      </c>
    </row>
    <row r="470" spans="1:8">
      <c r="A470" s="3247">
        <v>468</v>
      </c>
      <c r="B470" s="3610"/>
      <c r="C470" s="3606" t="s">
        <v>3476</v>
      </c>
      <c r="D470" s="3606"/>
      <c r="E470" s="3249" t="s">
        <v>3652</v>
      </c>
      <c r="F470" s="3249">
        <f>[2]Sheet2!F471</f>
        <v>37.49</v>
      </c>
      <c r="G470" s="3250" t="s">
        <v>3183</v>
      </c>
      <c r="H470" s="3253">
        <f t="shared" si="7"/>
        <v>7.69</v>
      </c>
    </row>
    <row r="471" spans="1:8">
      <c r="A471" s="3247">
        <v>469</v>
      </c>
      <c r="B471" s="3610"/>
      <c r="C471" s="3606" t="s">
        <v>3476</v>
      </c>
      <c r="D471" s="3606"/>
      <c r="E471" s="3249" t="s">
        <v>3653</v>
      </c>
      <c r="F471" s="3249">
        <f>[2]Sheet2!F472</f>
        <v>35.99</v>
      </c>
      <c r="G471" s="3250" t="s">
        <v>3183</v>
      </c>
      <c r="H471" s="3253">
        <f t="shared" si="7"/>
        <v>7.39</v>
      </c>
    </row>
    <row r="472" spans="1:8">
      <c r="A472" s="3247">
        <v>470</v>
      </c>
      <c r="B472" s="3610"/>
      <c r="C472" s="3606" t="s">
        <v>3476</v>
      </c>
      <c r="D472" s="3606"/>
      <c r="E472" s="3249" t="s">
        <v>3654</v>
      </c>
      <c r="F472" s="3249">
        <f>[2]Sheet2!F473</f>
        <v>35.99</v>
      </c>
      <c r="G472" s="3250" t="s">
        <v>3183</v>
      </c>
      <c r="H472" s="3253">
        <f t="shared" si="7"/>
        <v>7.39</v>
      </c>
    </row>
    <row r="473" spans="1:8">
      <c r="A473" s="3247">
        <v>471</v>
      </c>
      <c r="B473" s="3610"/>
      <c r="C473" s="3606" t="s">
        <v>3476</v>
      </c>
      <c r="D473" s="3606"/>
      <c r="E473" s="3249" t="s">
        <v>3655</v>
      </c>
      <c r="F473" s="3249">
        <f>[2]Sheet2!F474</f>
        <v>35.99</v>
      </c>
      <c r="G473" s="3250" t="s">
        <v>3183</v>
      </c>
      <c r="H473" s="3253">
        <f t="shared" si="7"/>
        <v>7.39</v>
      </c>
    </row>
    <row r="474" spans="1:8">
      <c r="A474" s="3247">
        <v>472</v>
      </c>
      <c r="B474" s="3610"/>
      <c r="C474" s="3606" t="s">
        <v>3476</v>
      </c>
      <c r="D474" s="3606"/>
      <c r="E474" s="3249" t="s">
        <v>3656</v>
      </c>
      <c r="F474" s="3249">
        <f>[2]Sheet2!F475</f>
        <v>35.99</v>
      </c>
      <c r="G474" s="3250" t="s">
        <v>3183</v>
      </c>
      <c r="H474" s="3253">
        <f t="shared" si="7"/>
        <v>7.39</v>
      </c>
    </row>
    <row r="475" spans="1:8">
      <c r="A475" s="3247">
        <v>473</v>
      </c>
      <c r="B475" s="3610"/>
      <c r="C475" s="3606" t="s">
        <v>3476</v>
      </c>
      <c r="D475" s="3606"/>
      <c r="E475" s="3249" t="s">
        <v>3657</v>
      </c>
      <c r="F475" s="3249">
        <f>[2]Sheet2!F476</f>
        <v>35.99</v>
      </c>
      <c r="G475" s="3250" t="s">
        <v>3183</v>
      </c>
      <c r="H475" s="3253">
        <f t="shared" si="7"/>
        <v>7.39</v>
      </c>
    </row>
    <row r="476" spans="1:8">
      <c r="A476" s="3247">
        <v>474</v>
      </c>
      <c r="B476" s="3610"/>
      <c r="C476" s="3606" t="s">
        <v>3476</v>
      </c>
      <c r="D476" s="3606"/>
      <c r="E476" s="3249" t="s">
        <v>3658</v>
      </c>
      <c r="F476" s="3249">
        <f>[2]Sheet2!F477</f>
        <v>35.99</v>
      </c>
      <c r="G476" s="3250" t="s">
        <v>3183</v>
      </c>
      <c r="H476" s="3253">
        <f t="shared" si="7"/>
        <v>7.39</v>
      </c>
    </row>
    <row r="477" spans="1:8">
      <c r="A477" s="3247">
        <v>475</v>
      </c>
      <c r="B477" s="3610"/>
      <c r="C477" s="3606" t="s">
        <v>3476</v>
      </c>
      <c r="D477" s="3606"/>
      <c r="E477" s="3249" t="s">
        <v>3659</v>
      </c>
      <c r="F477" s="3249">
        <f>[2]Sheet2!F478</f>
        <v>35.99</v>
      </c>
      <c r="G477" s="3250" t="s">
        <v>3183</v>
      </c>
      <c r="H477" s="3253">
        <f t="shared" si="7"/>
        <v>7.39</v>
      </c>
    </row>
    <row r="478" spans="1:8">
      <c r="A478" s="3247">
        <v>476</v>
      </c>
      <c r="B478" s="3610"/>
      <c r="C478" s="3606" t="s">
        <v>3476</v>
      </c>
      <c r="D478" s="3606"/>
      <c r="E478" s="3249" t="s">
        <v>3660</v>
      </c>
      <c r="F478" s="3249">
        <f>[2]Sheet2!F479</f>
        <v>36.340000000000003</v>
      </c>
      <c r="G478" s="3250" t="s">
        <v>3183</v>
      </c>
      <c r="H478" s="3253">
        <f t="shared" si="7"/>
        <v>7.46</v>
      </c>
    </row>
    <row r="479" spans="1:8">
      <c r="A479" s="3247">
        <v>477</v>
      </c>
      <c r="B479" s="3610"/>
      <c r="C479" s="3606" t="s">
        <v>3476</v>
      </c>
      <c r="D479" s="3606"/>
      <c r="E479" s="3249" t="s">
        <v>3661</v>
      </c>
      <c r="F479" s="3249">
        <f>[2]Sheet2!F480</f>
        <v>36.340000000000003</v>
      </c>
      <c r="G479" s="3250" t="s">
        <v>3183</v>
      </c>
      <c r="H479" s="3253">
        <f t="shared" si="7"/>
        <v>7.46</v>
      </c>
    </row>
    <row r="480" spans="1:8">
      <c r="A480" s="3247">
        <v>478</v>
      </c>
      <c r="B480" s="3610"/>
      <c r="C480" s="3606" t="s">
        <v>3476</v>
      </c>
      <c r="D480" s="3606"/>
      <c r="E480" s="3249" t="s">
        <v>3662</v>
      </c>
      <c r="F480" s="3249">
        <f>[2]Sheet2!F481</f>
        <v>36.340000000000003</v>
      </c>
      <c r="G480" s="3250" t="s">
        <v>3183</v>
      </c>
      <c r="H480" s="3253">
        <f t="shared" si="7"/>
        <v>7.46</v>
      </c>
    </row>
    <row r="481" spans="1:8">
      <c r="A481" s="3247">
        <v>479</v>
      </c>
      <c r="B481" s="3610"/>
      <c r="C481" s="3606" t="s">
        <v>3476</v>
      </c>
      <c r="D481" s="3606"/>
      <c r="E481" s="3249" t="s">
        <v>3663</v>
      </c>
      <c r="F481" s="3249">
        <f>[2]Sheet2!F482</f>
        <v>36.340000000000003</v>
      </c>
      <c r="G481" s="3250" t="s">
        <v>3183</v>
      </c>
      <c r="H481" s="3253">
        <f t="shared" si="7"/>
        <v>7.46</v>
      </c>
    </row>
    <row r="482" spans="1:8">
      <c r="A482" s="3247">
        <v>480</v>
      </c>
      <c r="B482" s="3610"/>
      <c r="C482" s="3606" t="s">
        <v>3476</v>
      </c>
      <c r="D482" s="3606"/>
      <c r="E482" s="3249" t="s">
        <v>3664</v>
      </c>
      <c r="F482" s="3249">
        <f>[2]Sheet2!F483</f>
        <v>36.340000000000003</v>
      </c>
      <c r="G482" s="3250" t="s">
        <v>3183</v>
      </c>
      <c r="H482" s="3253">
        <f t="shared" si="7"/>
        <v>7.46</v>
      </c>
    </row>
    <row r="483" spans="1:8">
      <c r="A483" s="3247">
        <v>481</v>
      </c>
      <c r="B483" s="3610"/>
      <c r="C483" s="3606" t="s">
        <v>3476</v>
      </c>
      <c r="D483" s="3606"/>
      <c r="E483" s="3249" t="s">
        <v>3665</v>
      </c>
      <c r="F483" s="3249">
        <f>[2]Sheet2!F484</f>
        <v>38.659999999999997</v>
      </c>
      <c r="G483" s="3250" t="s">
        <v>3183</v>
      </c>
      <c r="H483" s="3253">
        <f t="shared" si="7"/>
        <v>7.93</v>
      </c>
    </row>
    <row r="484" spans="1:8">
      <c r="A484" s="3247">
        <v>482</v>
      </c>
      <c r="B484" s="3610"/>
      <c r="C484" s="3606" t="s">
        <v>3476</v>
      </c>
      <c r="D484" s="3606"/>
      <c r="E484" s="3249" t="s">
        <v>3666</v>
      </c>
      <c r="F484" s="3249">
        <f>[2]Sheet2!F485</f>
        <v>38.659999999999997</v>
      </c>
      <c r="G484" s="3250" t="s">
        <v>3183</v>
      </c>
      <c r="H484" s="3253">
        <f t="shared" si="7"/>
        <v>7.93</v>
      </c>
    </row>
    <row r="485" spans="1:8">
      <c r="A485" s="3247">
        <v>483</v>
      </c>
      <c r="B485" s="3610"/>
      <c r="C485" s="3606" t="s">
        <v>3476</v>
      </c>
      <c r="D485" s="3606"/>
      <c r="E485" s="3249" t="s">
        <v>3667</v>
      </c>
      <c r="F485" s="3249">
        <f>[2]Sheet2!F486</f>
        <v>35.56</v>
      </c>
      <c r="G485" s="3250" t="s">
        <v>3183</v>
      </c>
      <c r="H485" s="3253">
        <f t="shared" si="7"/>
        <v>7.3</v>
      </c>
    </row>
    <row r="486" spans="1:8">
      <c r="A486" s="3247">
        <v>484</v>
      </c>
      <c r="B486" s="3610"/>
      <c r="C486" s="3606" t="s">
        <v>3476</v>
      </c>
      <c r="D486" s="3606"/>
      <c r="E486" s="3249" t="s">
        <v>3668</v>
      </c>
      <c r="F486" s="3249">
        <f>[2]Sheet2!F487</f>
        <v>35.56</v>
      </c>
      <c r="G486" s="3250" t="s">
        <v>3183</v>
      </c>
      <c r="H486" s="3253">
        <f t="shared" si="7"/>
        <v>7.3</v>
      </c>
    </row>
    <row r="487" spans="1:8">
      <c r="A487" s="3247">
        <v>485</v>
      </c>
      <c r="B487" s="3610"/>
      <c r="C487" s="3606" t="s">
        <v>3476</v>
      </c>
      <c r="D487" s="3606"/>
      <c r="E487" s="3249" t="s">
        <v>3669</v>
      </c>
      <c r="F487" s="3249">
        <f>[2]Sheet2!F488</f>
        <v>35.56</v>
      </c>
      <c r="G487" s="3250" t="s">
        <v>3183</v>
      </c>
      <c r="H487" s="3253">
        <f t="shared" si="7"/>
        <v>7.3</v>
      </c>
    </row>
    <row r="488" spans="1:8">
      <c r="A488" s="3247">
        <v>486</v>
      </c>
      <c r="B488" s="3610"/>
      <c r="C488" s="3606" t="s">
        <v>3476</v>
      </c>
      <c r="D488" s="3606"/>
      <c r="E488" s="3249" t="s">
        <v>3670</v>
      </c>
      <c r="F488" s="3249">
        <f>[2]Sheet2!F489</f>
        <v>35.56</v>
      </c>
      <c r="G488" s="3250" t="s">
        <v>3183</v>
      </c>
      <c r="H488" s="3253">
        <f t="shared" ref="H488:H551" si="8">ROUND(F488/$J$5*$K$5,2)</f>
        <v>7.3</v>
      </c>
    </row>
    <row r="489" spans="1:8">
      <c r="A489" s="3247">
        <v>487</v>
      </c>
      <c r="B489" s="3610"/>
      <c r="C489" s="3606" t="s">
        <v>3476</v>
      </c>
      <c r="D489" s="3606"/>
      <c r="E489" s="3249" t="s">
        <v>3671</v>
      </c>
      <c r="F489" s="3249">
        <f>[2]Sheet2!F490</f>
        <v>35.56</v>
      </c>
      <c r="G489" s="3250" t="s">
        <v>3183</v>
      </c>
      <c r="H489" s="3253">
        <f t="shared" si="8"/>
        <v>7.3</v>
      </c>
    </row>
    <row r="490" spans="1:8">
      <c r="A490" s="3247">
        <v>488</v>
      </c>
      <c r="B490" s="3610"/>
      <c r="C490" s="3606" t="s">
        <v>3476</v>
      </c>
      <c r="D490" s="3606"/>
      <c r="E490" s="3249" t="s">
        <v>3672</v>
      </c>
      <c r="F490" s="3249">
        <f>[2]Sheet2!F491</f>
        <v>35.56</v>
      </c>
      <c r="G490" s="3250" t="s">
        <v>3183</v>
      </c>
      <c r="H490" s="3253">
        <f t="shared" si="8"/>
        <v>7.3</v>
      </c>
    </row>
    <row r="491" spans="1:8">
      <c r="A491" s="3247">
        <v>489</v>
      </c>
      <c r="B491" s="3610"/>
      <c r="C491" s="3606" t="s">
        <v>3476</v>
      </c>
      <c r="D491" s="3606"/>
      <c r="E491" s="3249" t="s">
        <v>3673</v>
      </c>
      <c r="F491" s="3249">
        <f>[2]Sheet2!F492</f>
        <v>35.56</v>
      </c>
      <c r="G491" s="3250" t="s">
        <v>3183</v>
      </c>
      <c r="H491" s="3253">
        <f t="shared" si="8"/>
        <v>7.3</v>
      </c>
    </row>
    <row r="492" spans="1:8">
      <c r="A492" s="3247">
        <v>490</v>
      </c>
      <c r="B492" s="3610"/>
      <c r="C492" s="3606" t="s">
        <v>3476</v>
      </c>
      <c r="D492" s="3606"/>
      <c r="E492" s="3249" t="s">
        <v>3674</v>
      </c>
      <c r="F492" s="3249">
        <f>[2]Sheet2!F493</f>
        <v>35.56</v>
      </c>
      <c r="G492" s="3250" t="s">
        <v>3183</v>
      </c>
      <c r="H492" s="3253">
        <f t="shared" si="8"/>
        <v>7.3</v>
      </c>
    </row>
    <row r="493" spans="1:8">
      <c r="A493" s="3247">
        <v>491</v>
      </c>
      <c r="B493" s="3610"/>
      <c r="C493" s="3606" t="s">
        <v>3476</v>
      </c>
      <c r="D493" s="3606"/>
      <c r="E493" s="3249" t="s">
        <v>3675</v>
      </c>
      <c r="F493" s="3249">
        <f>[2]Sheet2!F494</f>
        <v>35.56</v>
      </c>
      <c r="G493" s="3250" t="s">
        <v>3183</v>
      </c>
      <c r="H493" s="3253">
        <f t="shared" si="8"/>
        <v>7.3</v>
      </c>
    </row>
    <row r="494" spans="1:8">
      <c r="A494" s="3247">
        <v>492</v>
      </c>
      <c r="B494" s="3610"/>
      <c r="C494" s="3606" t="s">
        <v>3476</v>
      </c>
      <c r="D494" s="3606"/>
      <c r="E494" s="3249" t="s">
        <v>3676</v>
      </c>
      <c r="F494" s="3249">
        <f>[2]Sheet2!F495</f>
        <v>36.340000000000003</v>
      </c>
      <c r="G494" s="3250" t="s">
        <v>3183</v>
      </c>
      <c r="H494" s="3253">
        <f t="shared" si="8"/>
        <v>7.46</v>
      </c>
    </row>
    <row r="495" spans="1:8">
      <c r="A495" s="3247">
        <v>493</v>
      </c>
      <c r="B495" s="3610"/>
      <c r="C495" s="3606" t="s">
        <v>3476</v>
      </c>
      <c r="D495" s="3606"/>
      <c r="E495" s="3249" t="s">
        <v>3677</v>
      </c>
      <c r="F495" s="3249">
        <f>[2]Sheet2!F496</f>
        <v>36.340000000000003</v>
      </c>
      <c r="G495" s="3250" t="s">
        <v>3183</v>
      </c>
      <c r="H495" s="3253">
        <f t="shared" si="8"/>
        <v>7.46</v>
      </c>
    </row>
    <row r="496" spans="1:8">
      <c r="A496" s="3247">
        <v>494</v>
      </c>
      <c r="B496" s="3610"/>
      <c r="C496" s="3606" t="s">
        <v>3476</v>
      </c>
      <c r="D496" s="3606"/>
      <c r="E496" s="3249" t="s">
        <v>3678</v>
      </c>
      <c r="F496" s="3249">
        <f>[2]Sheet2!F497</f>
        <v>36.340000000000003</v>
      </c>
      <c r="G496" s="3250" t="s">
        <v>3183</v>
      </c>
      <c r="H496" s="3253">
        <f t="shared" si="8"/>
        <v>7.46</v>
      </c>
    </row>
    <row r="497" spans="1:8">
      <c r="A497" s="3247">
        <v>495</v>
      </c>
      <c r="B497" s="3610"/>
      <c r="C497" s="3606" t="s">
        <v>3476</v>
      </c>
      <c r="D497" s="3606"/>
      <c r="E497" s="3249" t="s">
        <v>3679</v>
      </c>
      <c r="F497" s="3249">
        <f>[2]Sheet2!F498</f>
        <v>36.340000000000003</v>
      </c>
      <c r="G497" s="3250" t="s">
        <v>3183</v>
      </c>
      <c r="H497" s="3253">
        <f t="shared" si="8"/>
        <v>7.46</v>
      </c>
    </row>
    <row r="498" spans="1:8">
      <c r="A498" s="3247">
        <v>496</v>
      </c>
      <c r="B498" s="3610"/>
      <c r="C498" s="3606" t="s">
        <v>3476</v>
      </c>
      <c r="D498" s="3606"/>
      <c r="E498" s="3249" t="s">
        <v>3680</v>
      </c>
      <c r="F498" s="3249">
        <f>[2]Sheet2!F499</f>
        <v>36.340000000000003</v>
      </c>
      <c r="G498" s="3250" t="s">
        <v>3183</v>
      </c>
      <c r="H498" s="3253">
        <f t="shared" si="8"/>
        <v>7.46</v>
      </c>
    </row>
    <row r="499" spans="1:8">
      <c r="A499" s="3247">
        <v>497</v>
      </c>
      <c r="B499" s="3610"/>
      <c r="C499" s="3606" t="s">
        <v>3476</v>
      </c>
      <c r="D499" s="3606"/>
      <c r="E499" s="3249" t="s">
        <v>3681</v>
      </c>
      <c r="F499" s="3249">
        <f>[2]Sheet2!F500</f>
        <v>36.340000000000003</v>
      </c>
      <c r="G499" s="3250" t="s">
        <v>3183</v>
      </c>
      <c r="H499" s="3253">
        <f t="shared" si="8"/>
        <v>7.46</v>
      </c>
    </row>
    <row r="500" spans="1:8">
      <c r="A500" s="3247">
        <v>498</v>
      </c>
      <c r="B500" s="3610"/>
      <c r="C500" s="3606" t="s">
        <v>3476</v>
      </c>
      <c r="D500" s="3606"/>
      <c r="E500" s="3249" t="s">
        <v>3682</v>
      </c>
      <c r="F500" s="3249">
        <f>[2]Sheet2!F501</f>
        <v>36.340000000000003</v>
      </c>
      <c r="G500" s="3250" t="s">
        <v>3183</v>
      </c>
      <c r="H500" s="3253">
        <f t="shared" si="8"/>
        <v>7.46</v>
      </c>
    </row>
    <row r="501" spans="1:8">
      <c r="A501" s="3247">
        <v>499</v>
      </c>
      <c r="B501" s="3610"/>
      <c r="C501" s="3606" t="s">
        <v>3476</v>
      </c>
      <c r="D501" s="3606"/>
      <c r="E501" s="3249" t="s">
        <v>3683</v>
      </c>
      <c r="F501" s="3249">
        <f>[2]Sheet2!F502</f>
        <v>36.340000000000003</v>
      </c>
      <c r="G501" s="3250" t="s">
        <v>3183</v>
      </c>
      <c r="H501" s="3253">
        <f t="shared" si="8"/>
        <v>7.46</v>
      </c>
    </row>
    <row r="502" spans="1:8">
      <c r="A502" s="3247">
        <v>500</v>
      </c>
      <c r="B502" s="3610"/>
      <c r="C502" s="3606" t="s">
        <v>3476</v>
      </c>
      <c r="D502" s="3606"/>
      <c r="E502" s="3249" t="s">
        <v>3684</v>
      </c>
      <c r="F502" s="3249">
        <f>[2]Sheet2!F503</f>
        <v>36.340000000000003</v>
      </c>
      <c r="G502" s="3250" t="s">
        <v>3183</v>
      </c>
      <c r="H502" s="3253">
        <f t="shared" si="8"/>
        <v>7.46</v>
      </c>
    </row>
    <row r="503" spans="1:8">
      <c r="A503" s="3247">
        <v>501</v>
      </c>
      <c r="B503" s="3610"/>
      <c r="C503" s="3606" t="s">
        <v>3476</v>
      </c>
      <c r="D503" s="3606"/>
      <c r="E503" s="3249" t="s">
        <v>3685</v>
      </c>
      <c r="F503" s="3249">
        <f>[2]Sheet2!F504</f>
        <v>36.340000000000003</v>
      </c>
      <c r="G503" s="3250" t="s">
        <v>3183</v>
      </c>
      <c r="H503" s="3253">
        <f t="shared" si="8"/>
        <v>7.46</v>
      </c>
    </row>
    <row r="504" spans="1:8">
      <c r="A504" s="3247">
        <v>502</v>
      </c>
      <c r="B504" s="3610"/>
      <c r="C504" s="3606" t="s">
        <v>3476</v>
      </c>
      <c r="D504" s="3606"/>
      <c r="E504" s="3249" t="s">
        <v>3686</v>
      </c>
      <c r="F504" s="3249">
        <f>[2]Sheet2!F505</f>
        <v>36.340000000000003</v>
      </c>
      <c r="G504" s="3250" t="s">
        <v>3183</v>
      </c>
      <c r="H504" s="3253">
        <f t="shared" si="8"/>
        <v>7.46</v>
      </c>
    </row>
    <row r="505" spans="1:8">
      <c r="A505" s="3247">
        <v>503</v>
      </c>
      <c r="B505" s="3610"/>
      <c r="C505" s="3606" t="s">
        <v>3476</v>
      </c>
      <c r="D505" s="3606"/>
      <c r="E505" s="3249" t="s">
        <v>3687</v>
      </c>
      <c r="F505" s="3249">
        <f>[2]Sheet2!F506</f>
        <v>36.340000000000003</v>
      </c>
      <c r="G505" s="3250" t="s">
        <v>3183</v>
      </c>
      <c r="H505" s="3253">
        <f t="shared" si="8"/>
        <v>7.46</v>
      </c>
    </row>
    <row r="506" spans="1:8">
      <c r="A506" s="3247">
        <v>504</v>
      </c>
      <c r="B506" s="3610"/>
      <c r="C506" s="3606" t="s">
        <v>3476</v>
      </c>
      <c r="D506" s="3606"/>
      <c r="E506" s="3249" t="s">
        <v>3688</v>
      </c>
      <c r="F506" s="3249">
        <f>[2]Sheet2!F507</f>
        <v>36.340000000000003</v>
      </c>
      <c r="G506" s="3250" t="s">
        <v>3183</v>
      </c>
      <c r="H506" s="3253">
        <f t="shared" si="8"/>
        <v>7.46</v>
      </c>
    </row>
    <row r="507" spans="1:8">
      <c r="A507" s="3247">
        <v>505</v>
      </c>
      <c r="B507" s="3610"/>
      <c r="C507" s="3606" t="s">
        <v>3476</v>
      </c>
      <c r="D507" s="3606"/>
      <c r="E507" s="3249" t="s">
        <v>3689</v>
      </c>
      <c r="F507" s="3249">
        <f>[2]Sheet2!F508</f>
        <v>36.340000000000003</v>
      </c>
      <c r="G507" s="3250" t="s">
        <v>3183</v>
      </c>
      <c r="H507" s="3253">
        <f t="shared" si="8"/>
        <v>7.46</v>
      </c>
    </row>
    <row r="508" spans="1:8">
      <c r="A508" s="3247">
        <v>506</v>
      </c>
      <c r="B508" s="3610"/>
      <c r="C508" s="3606" t="s">
        <v>3476</v>
      </c>
      <c r="D508" s="3606"/>
      <c r="E508" s="3249" t="s">
        <v>3690</v>
      </c>
      <c r="F508" s="3249">
        <f>[2]Sheet2!F509</f>
        <v>36.340000000000003</v>
      </c>
      <c r="G508" s="3250" t="s">
        <v>3183</v>
      </c>
      <c r="H508" s="3253">
        <f t="shared" si="8"/>
        <v>7.46</v>
      </c>
    </row>
    <row r="509" spans="1:8">
      <c r="A509" s="3247">
        <v>507</v>
      </c>
      <c r="B509" s="3610"/>
      <c r="C509" s="3606" t="s">
        <v>3476</v>
      </c>
      <c r="D509" s="3606"/>
      <c r="E509" s="3249" t="s">
        <v>3691</v>
      </c>
      <c r="F509" s="3249">
        <f>[2]Sheet2!F510</f>
        <v>37.11</v>
      </c>
      <c r="G509" s="3250" t="s">
        <v>3183</v>
      </c>
      <c r="H509" s="3253">
        <f t="shared" si="8"/>
        <v>7.62</v>
      </c>
    </row>
    <row r="510" spans="1:8">
      <c r="A510" s="3247">
        <v>508</v>
      </c>
      <c r="B510" s="3610"/>
      <c r="C510" s="3606" t="s">
        <v>3476</v>
      </c>
      <c r="D510" s="3606"/>
      <c r="E510" s="3249" t="s">
        <v>3692</v>
      </c>
      <c r="F510" s="3249">
        <f>[2]Sheet2!F511</f>
        <v>37.11</v>
      </c>
      <c r="G510" s="3250" t="s">
        <v>3183</v>
      </c>
      <c r="H510" s="3253">
        <f t="shared" si="8"/>
        <v>7.62</v>
      </c>
    </row>
    <row r="511" spans="1:8">
      <c r="A511" s="3247">
        <v>509</v>
      </c>
      <c r="B511" s="3610"/>
      <c r="C511" s="3606" t="s">
        <v>3476</v>
      </c>
      <c r="D511" s="3606"/>
      <c r="E511" s="3249" t="s">
        <v>3693</v>
      </c>
      <c r="F511" s="3249">
        <f>[2]Sheet2!F512</f>
        <v>37.11</v>
      </c>
      <c r="G511" s="3250" t="s">
        <v>3183</v>
      </c>
      <c r="H511" s="3253">
        <f t="shared" si="8"/>
        <v>7.62</v>
      </c>
    </row>
    <row r="512" spans="1:8">
      <c r="A512" s="3247">
        <v>510</v>
      </c>
      <c r="B512" s="3610"/>
      <c r="C512" s="3606" t="s">
        <v>3476</v>
      </c>
      <c r="D512" s="3606"/>
      <c r="E512" s="3249" t="s">
        <v>3694</v>
      </c>
      <c r="F512" s="3249">
        <f>[2]Sheet2!F513</f>
        <v>35.630000000000003</v>
      </c>
      <c r="G512" s="3250" t="s">
        <v>3183</v>
      </c>
      <c r="H512" s="3253">
        <f t="shared" si="8"/>
        <v>7.31</v>
      </c>
    </row>
    <row r="513" spans="1:8">
      <c r="A513" s="3247">
        <v>511</v>
      </c>
      <c r="B513" s="3610"/>
      <c r="C513" s="3606" t="s">
        <v>3476</v>
      </c>
      <c r="D513" s="3606"/>
      <c r="E513" s="3249" t="s">
        <v>3695</v>
      </c>
      <c r="F513" s="3249">
        <f>[2]Sheet2!F514</f>
        <v>35.630000000000003</v>
      </c>
      <c r="G513" s="3250" t="s">
        <v>3183</v>
      </c>
      <c r="H513" s="3253">
        <f t="shared" si="8"/>
        <v>7.31</v>
      </c>
    </row>
    <row r="514" spans="1:8">
      <c r="A514" s="3247">
        <v>512</v>
      </c>
      <c r="B514" s="3610"/>
      <c r="C514" s="3606" t="s">
        <v>3476</v>
      </c>
      <c r="D514" s="3606"/>
      <c r="E514" s="3249" t="s">
        <v>3696</v>
      </c>
      <c r="F514" s="3249">
        <f>[2]Sheet2!F515</f>
        <v>35.630000000000003</v>
      </c>
      <c r="G514" s="3250" t="s">
        <v>3183</v>
      </c>
      <c r="H514" s="3253">
        <f t="shared" si="8"/>
        <v>7.31</v>
      </c>
    </row>
    <row r="515" spans="1:8">
      <c r="A515" s="3247">
        <v>513</v>
      </c>
      <c r="B515" s="3610"/>
      <c r="C515" s="3606" t="s">
        <v>3476</v>
      </c>
      <c r="D515" s="3606"/>
      <c r="E515" s="3249" t="s">
        <v>3697</v>
      </c>
      <c r="F515" s="3249">
        <f>[2]Sheet2!F516</f>
        <v>37.85</v>
      </c>
      <c r="G515" s="3250" t="s">
        <v>3183</v>
      </c>
      <c r="H515" s="3253">
        <f t="shared" si="8"/>
        <v>7.77</v>
      </c>
    </row>
    <row r="516" spans="1:8">
      <c r="A516" s="3247">
        <v>514</v>
      </c>
      <c r="B516" s="3610"/>
      <c r="C516" s="3606" t="s">
        <v>3476</v>
      </c>
      <c r="D516" s="3606"/>
      <c r="E516" s="3249" t="s">
        <v>3698</v>
      </c>
      <c r="F516" s="3249">
        <f>[2]Sheet2!F517</f>
        <v>37.85</v>
      </c>
      <c r="G516" s="3250" t="s">
        <v>3183</v>
      </c>
      <c r="H516" s="3253">
        <f t="shared" si="8"/>
        <v>7.77</v>
      </c>
    </row>
    <row r="517" spans="1:8">
      <c r="A517" s="3247">
        <v>515</v>
      </c>
      <c r="B517" s="3610"/>
      <c r="C517" s="3606" t="s">
        <v>3476</v>
      </c>
      <c r="D517" s="3606"/>
      <c r="E517" s="3249" t="s">
        <v>3699</v>
      </c>
      <c r="F517" s="3249">
        <f>[2]Sheet2!F518</f>
        <v>35.630000000000003</v>
      </c>
      <c r="G517" s="3250" t="s">
        <v>3183</v>
      </c>
      <c r="H517" s="3253">
        <f t="shared" si="8"/>
        <v>7.31</v>
      </c>
    </row>
    <row r="518" spans="1:8">
      <c r="A518" s="3247">
        <v>516</v>
      </c>
      <c r="B518" s="3610"/>
      <c r="C518" s="3606" t="s">
        <v>3476</v>
      </c>
      <c r="D518" s="3606"/>
      <c r="E518" s="3249" t="s">
        <v>3700</v>
      </c>
      <c r="F518" s="3249">
        <f>[2]Sheet2!F519</f>
        <v>35.630000000000003</v>
      </c>
      <c r="G518" s="3250" t="s">
        <v>3183</v>
      </c>
      <c r="H518" s="3253">
        <f t="shared" si="8"/>
        <v>7.31</v>
      </c>
    </row>
    <row r="519" spans="1:8">
      <c r="A519" s="3247">
        <v>517</v>
      </c>
      <c r="B519" s="3610"/>
      <c r="C519" s="3606" t="s">
        <v>3476</v>
      </c>
      <c r="D519" s="3606"/>
      <c r="E519" s="3249" t="s">
        <v>3701</v>
      </c>
      <c r="F519" s="3249">
        <f>[2]Sheet2!F520</f>
        <v>35.630000000000003</v>
      </c>
      <c r="G519" s="3250" t="s">
        <v>3183</v>
      </c>
      <c r="H519" s="3253">
        <f t="shared" si="8"/>
        <v>7.31</v>
      </c>
    </row>
    <row r="520" spans="1:8">
      <c r="A520" s="3247">
        <v>518</v>
      </c>
      <c r="B520" s="3610"/>
      <c r="C520" s="3606" t="s">
        <v>3476</v>
      </c>
      <c r="D520" s="3606"/>
      <c r="E520" s="3249" t="s">
        <v>3702</v>
      </c>
      <c r="F520" s="3249">
        <f>[2]Sheet2!F521</f>
        <v>35.630000000000003</v>
      </c>
      <c r="G520" s="3250" t="s">
        <v>3183</v>
      </c>
      <c r="H520" s="3253">
        <f t="shared" si="8"/>
        <v>7.31</v>
      </c>
    </row>
    <row r="521" spans="1:8">
      <c r="A521" s="3247">
        <v>519</v>
      </c>
      <c r="B521" s="3610"/>
      <c r="C521" s="3606" t="s">
        <v>3476</v>
      </c>
      <c r="D521" s="3606"/>
      <c r="E521" s="3249" t="s">
        <v>3703</v>
      </c>
      <c r="F521" s="3249">
        <f>[2]Sheet2!F522</f>
        <v>35.630000000000003</v>
      </c>
      <c r="G521" s="3250" t="s">
        <v>3183</v>
      </c>
      <c r="H521" s="3253">
        <f t="shared" si="8"/>
        <v>7.31</v>
      </c>
    </row>
    <row r="522" spans="1:8">
      <c r="A522" s="3247">
        <v>520</v>
      </c>
      <c r="B522" s="3610"/>
      <c r="C522" s="3606" t="s">
        <v>3476</v>
      </c>
      <c r="D522" s="3606"/>
      <c r="E522" s="3249" t="s">
        <v>3704</v>
      </c>
      <c r="F522" s="3249">
        <f>[2]Sheet2!F523</f>
        <v>35.630000000000003</v>
      </c>
      <c r="G522" s="3250" t="s">
        <v>3183</v>
      </c>
      <c r="H522" s="3253">
        <f t="shared" si="8"/>
        <v>7.31</v>
      </c>
    </row>
    <row r="523" spans="1:8">
      <c r="A523" s="3247">
        <v>521</v>
      </c>
      <c r="B523" s="3610"/>
      <c r="C523" s="3606" t="s">
        <v>3476</v>
      </c>
      <c r="D523" s="3606"/>
      <c r="E523" s="3249" t="s">
        <v>3705</v>
      </c>
      <c r="F523" s="3249">
        <f>[2]Sheet2!F524</f>
        <v>35.99</v>
      </c>
      <c r="G523" s="3250" t="s">
        <v>3183</v>
      </c>
      <c r="H523" s="3253">
        <f t="shared" si="8"/>
        <v>7.39</v>
      </c>
    </row>
    <row r="524" spans="1:8">
      <c r="A524" s="3247">
        <v>522</v>
      </c>
      <c r="B524" s="3610"/>
      <c r="C524" s="3606" t="s">
        <v>3476</v>
      </c>
      <c r="D524" s="3606"/>
      <c r="E524" s="3249" t="s">
        <v>3706</v>
      </c>
      <c r="F524" s="3249">
        <f>[2]Sheet2!F525</f>
        <v>37.49</v>
      </c>
      <c r="G524" s="3250" t="s">
        <v>3183</v>
      </c>
      <c r="H524" s="3253">
        <f t="shared" si="8"/>
        <v>7.69</v>
      </c>
    </row>
    <row r="525" spans="1:8">
      <c r="A525" s="3247">
        <v>523</v>
      </c>
      <c r="B525" s="3610"/>
      <c r="C525" s="3606" t="s">
        <v>3476</v>
      </c>
      <c r="D525" s="3606"/>
      <c r="E525" s="3249" t="s">
        <v>3707</v>
      </c>
      <c r="F525" s="3249">
        <f>[2]Sheet2!F526</f>
        <v>37.49</v>
      </c>
      <c r="G525" s="3250" t="s">
        <v>3183</v>
      </c>
      <c r="H525" s="3253">
        <f t="shared" si="8"/>
        <v>7.69</v>
      </c>
    </row>
    <row r="526" spans="1:8">
      <c r="A526" s="3247">
        <v>524</v>
      </c>
      <c r="B526" s="3610"/>
      <c r="C526" s="3606" t="s">
        <v>3476</v>
      </c>
      <c r="D526" s="3606"/>
      <c r="E526" s="3249" t="s">
        <v>3708</v>
      </c>
      <c r="F526" s="3249">
        <f>[2]Sheet2!F527</f>
        <v>35.99</v>
      </c>
      <c r="G526" s="3250" t="s">
        <v>3183</v>
      </c>
      <c r="H526" s="3253">
        <f t="shared" si="8"/>
        <v>7.39</v>
      </c>
    </row>
    <row r="527" spans="1:8">
      <c r="A527" s="3247">
        <v>525</v>
      </c>
      <c r="B527" s="3610"/>
      <c r="C527" s="3606" t="s">
        <v>3476</v>
      </c>
      <c r="D527" s="3606"/>
      <c r="E527" s="3249" t="s">
        <v>3709</v>
      </c>
      <c r="F527" s="3249">
        <f>[2]Sheet2!F528</f>
        <v>35.99</v>
      </c>
      <c r="G527" s="3250" t="s">
        <v>3183</v>
      </c>
      <c r="H527" s="3253">
        <f t="shared" si="8"/>
        <v>7.39</v>
      </c>
    </row>
    <row r="528" spans="1:8">
      <c r="A528" s="3247">
        <v>526</v>
      </c>
      <c r="B528" s="3610"/>
      <c r="C528" s="3606" t="s">
        <v>3476</v>
      </c>
      <c r="D528" s="3606"/>
      <c r="E528" s="3249" t="s">
        <v>3710</v>
      </c>
      <c r="F528" s="3249">
        <f>[2]Sheet2!F529</f>
        <v>35.99</v>
      </c>
      <c r="G528" s="3250" t="s">
        <v>3183</v>
      </c>
      <c r="H528" s="3253">
        <f t="shared" si="8"/>
        <v>7.39</v>
      </c>
    </row>
    <row r="529" spans="1:8">
      <c r="A529" s="3247">
        <v>527</v>
      </c>
      <c r="B529" s="3610"/>
      <c r="C529" s="3606" t="s">
        <v>3476</v>
      </c>
      <c r="D529" s="3606"/>
      <c r="E529" s="3249" t="s">
        <v>3711</v>
      </c>
      <c r="F529" s="3249">
        <f>[2]Sheet2!F530</f>
        <v>35.99</v>
      </c>
      <c r="G529" s="3250" t="s">
        <v>3183</v>
      </c>
      <c r="H529" s="3253">
        <f t="shared" si="8"/>
        <v>7.39</v>
      </c>
    </row>
    <row r="530" spans="1:8">
      <c r="A530" s="3247">
        <v>528</v>
      </c>
      <c r="B530" s="3610"/>
      <c r="C530" s="3606" t="s">
        <v>3476</v>
      </c>
      <c r="D530" s="3606"/>
      <c r="E530" s="3249" t="s">
        <v>3712</v>
      </c>
      <c r="F530" s="3249">
        <f>[2]Sheet2!F531</f>
        <v>35.99</v>
      </c>
      <c r="G530" s="3250" t="s">
        <v>3183</v>
      </c>
      <c r="H530" s="3253">
        <f t="shared" si="8"/>
        <v>7.39</v>
      </c>
    </row>
    <row r="531" spans="1:8">
      <c r="A531" s="3247">
        <v>529</v>
      </c>
      <c r="B531" s="3610"/>
      <c r="C531" s="3606" t="s">
        <v>3476</v>
      </c>
      <c r="D531" s="3606"/>
      <c r="E531" s="3249" t="s">
        <v>3713</v>
      </c>
      <c r="F531" s="3249">
        <f>[2]Sheet2!F532</f>
        <v>35.99</v>
      </c>
      <c r="G531" s="3250" t="s">
        <v>3183</v>
      </c>
      <c r="H531" s="3253">
        <f t="shared" si="8"/>
        <v>7.39</v>
      </c>
    </row>
    <row r="532" spans="1:8">
      <c r="A532" s="3247">
        <v>530</v>
      </c>
      <c r="B532" s="3610"/>
      <c r="C532" s="3606" t="s">
        <v>3476</v>
      </c>
      <c r="D532" s="3606"/>
      <c r="E532" s="3249" t="s">
        <v>3714</v>
      </c>
      <c r="F532" s="3249">
        <f>[2]Sheet2!F533</f>
        <v>35.99</v>
      </c>
      <c r="G532" s="3250" t="s">
        <v>3183</v>
      </c>
      <c r="H532" s="3253">
        <f t="shared" si="8"/>
        <v>7.39</v>
      </c>
    </row>
    <row r="533" spans="1:8">
      <c r="A533" s="3247">
        <v>531</v>
      </c>
      <c r="B533" s="3610"/>
      <c r="C533" s="3606" t="s">
        <v>3476</v>
      </c>
      <c r="D533" s="3606"/>
      <c r="E533" s="3249" t="s">
        <v>3715</v>
      </c>
      <c r="F533" s="3249">
        <f>[2]Sheet2!F534</f>
        <v>35.99</v>
      </c>
      <c r="G533" s="3250" t="s">
        <v>3183</v>
      </c>
      <c r="H533" s="3253">
        <f t="shared" si="8"/>
        <v>7.39</v>
      </c>
    </row>
    <row r="534" spans="1:8">
      <c r="A534" s="3247">
        <v>532</v>
      </c>
      <c r="B534" s="3610"/>
      <c r="C534" s="3606" t="s">
        <v>3476</v>
      </c>
      <c r="D534" s="3606"/>
      <c r="E534" s="3249" t="s">
        <v>3716</v>
      </c>
      <c r="F534" s="3249">
        <f>[2]Sheet2!F535</f>
        <v>35.99</v>
      </c>
      <c r="G534" s="3250" t="s">
        <v>3183</v>
      </c>
      <c r="H534" s="3253">
        <f t="shared" si="8"/>
        <v>7.39</v>
      </c>
    </row>
    <row r="535" spans="1:8">
      <c r="A535" s="3247">
        <v>533</v>
      </c>
      <c r="B535" s="3610"/>
      <c r="C535" s="3606" t="s">
        <v>3476</v>
      </c>
      <c r="D535" s="3606"/>
      <c r="E535" s="3249" t="s">
        <v>3717</v>
      </c>
      <c r="F535" s="3249">
        <f>[2]Sheet2!F536</f>
        <v>33.65</v>
      </c>
      <c r="G535" s="3250" t="s">
        <v>3183</v>
      </c>
      <c r="H535" s="3253">
        <f t="shared" si="8"/>
        <v>6.91</v>
      </c>
    </row>
    <row r="536" spans="1:8">
      <c r="A536" s="3247">
        <v>534</v>
      </c>
      <c r="B536" s="3610"/>
      <c r="C536" s="3606" t="s">
        <v>3476</v>
      </c>
      <c r="D536" s="3606"/>
      <c r="E536" s="3249" t="s">
        <v>3718</v>
      </c>
      <c r="F536" s="3249">
        <f>[2]Sheet2!F537</f>
        <v>37.49</v>
      </c>
      <c r="G536" s="3250" t="s">
        <v>3183</v>
      </c>
      <c r="H536" s="3253">
        <f t="shared" si="8"/>
        <v>7.69</v>
      </c>
    </row>
    <row r="537" spans="1:8">
      <c r="A537" s="3247">
        <v>535</v>
      </c>
      <c r="B537" s="3610"/>
      <c r="C537" s="3606" t="s">
        <v>3476</v>
      </c>
      <c r="D537" s="3606"/>
      <c r="E537" s="3249" t="s">
        <v>3719</v>
      </c>
      <c r="F537" s="3249">
        <f>[2]Sheet2!F538</f>
        <v>37.49</v>
      </c>
      <c r="G537" s="3250" t="s">
        <v>3183</v>
      </c>
      <c r="H537" s="3253">
        <f t="shared" si="8"/>
        <v>7.69</v>
      </c>
    </row>
    <row r="538" spans="1:8">
      <c r="A538" s="3247">
        <v>536</v>
      </c>
      <c r="B538" s="3610"/>
      <c r="C538" s="3606" t="s">
        <v>3476</v>
      </c>
      <c r="D538" s="3606"/>
      <c r="E538" s="3249" t="s">
        <v>3720</v>
      </c>
      <c r="F538" s="3249">
        <f>[2]Sheet2!F539</f>
        <v>37.49</v>
      </c>
      <c r="G538" s="3250" t="s">
        <v>3183</v>
      </c>
      <c r="H538" s="3253">
        <f t="shared" si="8"/>
        <v>7.69</v>
      </c>
    </row>
    <row r="539" spans="1:8">
      <c r="A539" s="3247">
        <v>537</v>
      </c>
      <c r="B539" s="3610"/>
      <c r="C539" s="3606" t="s">
        <v>3476</v>
      </c>
      <c r="D539" s="3606"/>
      <c r="E539" s="3249" t="s">
        <v>3721</v>
      </c>
      <c r="F539" s="3249">
        <f>[2]Sheet2!F540</f>
        <v>37.49</v>
      </c>
      <c r="G539" s="3250" t="s">
        <v>3183</v>
      </c>
      <c r="H539" s="3253">
        <f t="shared" si="8"/>
        <v>7.69</v>
      </c>
    </row>
    <row r="540" spans="1:8">
      <c r="A540" s="3247">
        <v>538</v>
      </c>
      <c r="B540" s="3610"/>
      <c r="C540" s="3606" t="s">
        <v>3476</v>
      </c>
      <c r="D540" s="3606"/>
      <c r="E540" s="3249" t="s">
        <v>3722</v>
      </c>
      <c r="F540" s="3249">
        <f>[2]Sheet2!F541</f>
        <v>37.49</v>
      </c>
      <c r="G540" s="3250" t="s">
        <v>3183</v>
      </c>
      <c r="H540" s="3253">
        <f t="shared" si="8"/>
        <v>7.69</v>
      </c>
    </row>
    <row r="541" spans="1:8">
      <c r="A541" s="3247">
        <v>539</v>
      </c>
      <c r="B541" s="3610"/>
      <c r="C541" s="3606" t="s">
        <v>3476</v>
      </c>
      <c r="D541" s="3606"/>
      <c r="E541" s="3249" t="s">
        <v>3723</v>
      </c>
      <c r="F541" s="3249">
        <f>[2]Sheet2!F542</f>
        <v>37.49</v>
      </c>
      <c r="G541" s="3250" t="s">
        <v>3183</v>
      </c>
      <c r="H541" s="3253">
        <f t="shared" si="8"/>
        <v>7.69</v>
      </c>
    </row>
    <row r="542" spans="1:8">
      <c r="A542" s="3247">
        <v>540</v>
      </c>
      <c r="B542" s="3610"/>
      <c r="C542" s="3606" t="s">
        <v>3476</v>
      </c>
      <c r="D542" s="3606"/>
      <c r="E542" s="3249" t="s">
        <v>3724</v>
      </c>
      <c r="F542" s="3249">
        <f>[2]Sheet2!F543</f>
        <v>37.49</v>
      </c>
      <c r="G542" s="3250" t="s">
        <v>3183</v>
      </c>
      <c r="H542" s="3253">
        <f t="shared" si="8"/>
        <v>7.69</v>
      </c>
    </row>
    <row r="543" spans="1:8">
      <c r="A543" s="3247">
        <v>541</v>
      </c>
      <c r="B543" s="3610"/>
      <c r="C543" s="3606" t="s">
        <v>3476</v>
      </c>
      <c r="D543" s="3606"/>
      <c r="E543" s="3249" t="s">
        <v>3725</v>
      </c>
      <c r="F543" s="3249">
        <f>[2]Sheet2!F544</f>
        <v>37.49</v>
      </c>
      <c r="G543" s="3250" t="s">
        <v>3183</v>
      </c>
      <c r="H543" s="3253">
        <f t="shared" si="8"/>
        <v>7.69</v>
      </c>
    </row>
    <row r="544" spans="1:8">
      <c r="A544" s="3247">
        <v>542</v>
      </c>
      <c r="B544" s="3610"/>
      <c r="C544" s="3606" t="s">
        <v>3476</v>
      </c>
      <c r="D544" s="3606"/>
      <c r="E544" s="3249" t="s">
        <v>3726</v>
      </c>
      <c r="F544" s="3249">
        <f>[2]Sheet2!F545</f>
        <v>37.49</v>
      </c>
      <c r="G544" s="3250" t="s">
        <v>3183</v>
      </c>
      <c r="H544" s="3253">
        <f t="shared" si="8"/>
        <v>7.69</v>
      </c>
    </row>
    <row r="545" spans="1:8">
      <c r="A545" s="3247">
        <v>543</v>
      </c>
      <c r="B545" s="3610"/>
      <c r="C545" s="3606" t="s">
        <v>3476</v>
      </c>
      <c r="D545" s="3606"/>
      <c r="E545" s="3249" t="s">
        <v>3727</v>
      </c>
      <c r="F545" s="3249">
        <f>[2]Sheet2!F546</f>
        <v>37.49</v>
      </c>
      <c r="G545" s="3250" t="s">
        <v>3183</v>
      </c>
      <c r="H545" s="3253">
        <f t="shared" si="8"/>
        <v>7.69</v>
      </c>
    </row>
    <row r="546" spans="1:8">
      <c r="A546" s="3247">
        <v>544</v>
      </c>
      <c r="B546" s="3610"/>
      <c r="C546" s="3606" t="s">
        <v>3476</v>
      </c>
      <c r="D546" s="3606"/>
      <c r="E546" s="3249" t="s">
        <v>3728</v>
      </c>
      <c r="F546" s="3249">
        <f>[2]Sheet2!F547</f>
        <v>37.49</v>
      </c>
      <c r="G546" s="3250" t="s">
        <v>3183</v>
      </c>
      <c r="H546" s="3253">
        <f t="shared" si="8"/>
        <v>7.69</v>
      </c>
    </row>
    <row r="547" spans="1:8">
      <c r="A547" s="3247">
        <v>545</v>
      </c>
      <c r="B547" s="3610"/>
      <c r="C547" s="3606" t="s">
        <v>3476</v>
      </c>
      <c r="D547" s="3606"/>
      <c r="E547" s="3249" t="s">
        <v>3729</v>
      </c>
      <c r="F547" s="3249">
        <f>[2]Sheet2!F548</f>
        <v>37.49</v>
      </c>
      <c r="G547" s="3250" t="s">
        <v>3183</v>
      </c>
      <c r="H547" s="3253">
        <f t="shared" si="8"/>
        <v>7.69</v>
      </c>
    </row>
    <row r="548" spans="1:8">
      <c r="A548" s="3247">
        <v>546</v>
      </c>
      <c r="B548" s="3610"/>
      <c r="C548" s="3606" t="s">
        <v>3476</v>
      </c>
      <c r="D548" s="3606"/>
      <c r="E548" s="3249" t="s">
        <v>3730</v>
      </c>
      <c r="F548" s="3249">
        <f>[2]Sheet2!F549</f>
        <v>37.49</v>
      </c>
      <c r="G548" s="3250" t="s">
        <v>3183</v>
      </c>
      <c r="H548" s="3253">
        <f t="shared" si="8"/>
        <v>7.69</v>
      </c>
    </row>
    <row r="549" spans="1:8">
      <c r="A549" s="3247">
        <v>547</v>
      </c>
      <c r="B549" s="3610"/>
      <c r="C549" s="3606" t="s">
        <v>3476</v>
      </c>
      <c r="D549" s="3606"/>
      <c r="E549" s="3249" t="s">
        <v>3731</v>
      </c>
      <c r="F549" s="3249">
        <f>[2]Sheet2!F550</f>
        <v>37.49</v>
      </c>
      <c r="G549" s="3250" t="s">
        <v>3183</v>
      </c>
      <c r="H549" s="3253">
        <f t="shared" si="8"/>
        <v>7.69</v>
      </c>
    </row>
    <row r="550" spans="1:8">
      <c r="A550" s="3247">
        <v>548</v>
      </c>
      <c r="B550" s="3610"/>
      <c r="C550" s="3606" t="s">
        <v>3476</v>
      </c>
      <c r="D550" s="3606"/>
      <c r="E550" s="3249" t="s">
        <v>3732</v>
      </c>
      <c r="F550" s="3249">
        <f>[2]Sheet2!F551</f>
        <v>37.49</v>
      </c>
      <c r="G550" s="3250" t="s">
        <v>3183</v>
      </c>
      <c r="H550" s="3253">
        <f t="shared" si="8"/>
        <v>7.69</v>
      </c>
    </row>
    <row r="551" spans="1:8">
      <c r="A551" s="3247">
        <v>549</v>
      </c>
      <c r="B551" s="3610"/>
      <c r="C551" s="3606" t="s">
        <v>3476</v>
      </c>
      <c r="D551" s="3606"/>
      <c r="E551" s="3249" t="s">
        <v>3733</v>
      </c>
      <c r="F551" s="3249">
        <f>[2]Sheet2!F552</f>
        <v>37.49</v>
      </c>
      <c r="G551" s="3250" t="s">
        <v>3183</v>
      </c>
      <c r="H551" s="3253">
        <f t="shared" si="8"/>
        <v>7.69</v>
      </c>
    </row>
    <row r="552" spans="1:8">
      <c r="A552" s="3247">
        <v>550</v>
      </c>
      <c r="B552" s="3610"/>
      <c r="C552" s="3606" t="s">
        <v>3476</v>
      </c>
      <c r="D552" s="3606"/>
      <c r="E552" s="3249" t="s">
        <v>3734</v>
      </c>
      <c r="F552" s="3249">
        <f>[2]Sheet2!F553</f>
        <v>37.49</v>
      </c>
      <c r="G552" s="3250" t="s">
        <v>3183</v>
      </c>
      <c r="H552" s="3253">
        <f t="shared" ref="H552:H615" si="9">ROUND(F552/$J$5*$K$5,2)</f>
        <v>7.69</v>
      </c>
    </row>
    <row r="553" spans="1:8">
      <c r="A553" s="3247">
        <v>551</v>
      </c>
      <c r="B553" s="3610"/>
      <c r="C553" s="3606" t="s">
        <v>3476</v>
      </c>
      <c r="D553" s="3606"/>
      <c r="E553" s="3249" t="s">
        <v>3735</v>
      </c>
      <c r="F553" s="3249">
        <f>[2]Sheet2!F554</f>
        <v>37.520000000000003</v>
      </c>
      <c r="G553" s="3250" t="s">
        <v>3183</v>
      </c>
      <c r="H553" s="3253">
        <f t="shared" si="9"/>
        <v>7.7</v>
      </c>
    </row>
    <row r="554" spans="1:8">
      <c r="A554" s="3247">
        <v>552</v>
      </c>
      <c r="B554" s="3610"/>
      <c r="C554" s="3606" t="s">
        <v>3476</v>
      </c>
      <c r="D554" s="3606"/>
      <c r="E554" s="3249" t="s">
        <v>3736</v>
      </c>
      <c r="F554" s="3249">
        <f>[2]Sheet2!F555</f>
        <v>37.520000000000003</v>
      </c>
      <c r="G554" s="3250" t="s">
        <v>3183</v>
      </c>
      <c r="H554" s="3253">
        <f t="shared" si="9"/>
        <v>7.7</v>
      </c>
    </row>
    <row r="555" spans="1:8">
      <c r="A555" s="3247">
        <v>553</v>
      </c>
      <c r="B555" s="3610"/>
      <c r="C555" s="3606" t="s">
        <v>3476</v>
      </c>
      <c r="D555" s="3606"/>
      <c r="E555" s="3249" t="s">
        <v>3737</v>
      </c>
      <c r="F555" s="3249">
        <f>[2]Sheet2!F556</f>
        <v>37.520000000000003</v>
      </c>
      <c r="G555" s="3250" t="s">
        <v>3183</v>
      </c>
      <c r="H555" s="3253">
        <f t="shared" si="9"/>
        <v>7.7</v>
      </c>
    </row>
    <row r="556" spans="1:8">
      <c r="A556" s="3247">
        <v>554</v>
      </c>
      <c r="B556" s="3610"/>
      <c r="C556" s="3606" t="s">
        <v>3476</v>
      </c>
      <c r="D556" s="3606"/>
      <c r="E556" s="3249" t="s">
        <v>3738</v>
      </c>
      <c r="F556" s="3249">
        <f>[2]Sheet2!F557</f>
        <v>37.520000000000003</v>
      </c>
      <c r="G556" s="3250" t="s">
        <v>3183</v>
      </c>
      <c r="H556" s="3253">
        <f t="shared" si="9"/>
        <v>7.7</v>
      </c>
    </row>
    <row r="557" spans="1:8">
      <c r="A557" s="3247">
        <v>555</v>
      </c>
      <c r="B557" s="3610"/>
      <c r="C557" s="3606" t="s">
        <v>3476</v>
      </c>
      <c r="D557" s="3606"/>
      <c r="E557" s="3249" t="s">
        <v>3739</v>
      </c>
      <c r="F557" s="3249">
        <f>[2]Sheet2!F558</f>
        <v>37.520000000000003</v>
      </c>
      <c r="G557" s="3250" t="s">
        <v>3183</v>
      </c>
      <c r="H557" s="3253">
        <f t="shared" si="9"/>
        <v>7.7</v>
      </c>
    </row>
    <row r="558" spans="1:8">
      <c r="A558" s="3247">
        <v>556</v>
      </c>
      <c r="B558" s="3610"/>
      <c r="C558" s="3606" t="s">
        <v>3476</v>
      </c>
      <c r="D558" s="3606"/>
      <c r="E558" s="3249" t="s">
        <v>3740</v>
      </c>
      <c r="F558" s="3249">
        <f>[2]Sheet2!F559</f>
        <v>37.520000000000003</v>
      </c>
      <c r="G558" s="3250" t="s">
        <v>3183</v>
      </c>
      <c r="H558" s="3253">
        <f t="shared" si="9"/>
        <v>7.7</v>
      </c>
    </row>
    <row r="559" spans="1:8">
      <c r="A559" s="3247">
        <v>557</v>
      </c>
      <c r="B559" s="3610"/>
      <c r="C559" s="3606" t="s">
        <v>3476</v>
      </c>
      <c r="D559" s="3606"/>
      <c r="E559" s="3249" t="s">
        <v>3741</v>
      </c>
      <c r="F559" s="3249">
        <f>[2]Sheet2!F560</f>
        <v>37.520000000000003</v>
      </c>
      <c r="G559" s="3250" t="s">
        <v>3183</v>
      </c>
      <c r="H559" s="3253">
        <f t="shared" si="9"/>
        <v>7.7</v>
      </c>
    </row>
    <row r="560" spans="1:8">
      <c r="A560" s="3247">
        <v>558</v>
      </c>
      <c r="B560" s="3610"/>
      <c r="C560" s="3606" t="s">
        <v>3476</v>
      </c>
      <c r="D560" s="3606"/>
      <c r="E560" s="3249" t="s">
        <v>3742</v>
      </c>
      <c r="F560" s="3249">
        <f>[2]Sheet2!F561</f>
        <v>37.520000000000003</v>
      </c>
      <c r="G560" s="3250" t="s">
        <v>3183</v>
      </c>
      <c r="H560" s="3253">
        <f t="shared" si="9"/>
        <v>7.7</v>
      </c>
    </row>
    <row r="561" spans="1:8">
      <c r="A561" s="3247">
        <v>559</v>
      </c>
      <c r="B561" s="3610"/>
      <c r="C561" s="3606" t="s">
        <v>3476</v>
      </c>
      <c r="D561" s="3606"/>
      <c r="E561" s="3249" t="s">
        <v>3743</v>
      </c>
      <c r="F561" s="3249">
        <f>[2]Sheet2!F562</f>
        <v>37.520000000000003</v>
      </c>
      <c r="G561" s="3250" t="s">
        <v>3183</v>
      </c>
      <c r="H561" s="3253">
        <f t="shared" si="9"/>
        <v>7.7</v>
      </c>
    </row>
    <row r="562" spans="1:8">
      <c r="A562" s="3247">
        <v>560</v>
      </c>
      <c r="B562" s="3610"/>
      <c r="C562" s="3606" t="s">
        <v>3476</v>
      </c>
      <c r="D562" s="3606"/>
      <c r="E562" s="3249" t="s">
        <v>3744</v>
      </c>
      <c r="F562" s="3249">
        <f>[2]Sheet2!F563</f>
        <v>37.520000000000003</v>
      </c>
      <c r="G562" s="3250" t="s">
        <v>3183</v>
      </c>
      <c r="H562" s="3253">
        <f t="shared" si="9"/>
        <v>7.7</v>
      </c>
    </row>
    <row r="563" spans="1:8">
      <c r="A563" s="3247">
        <v>561</v>
      </c>
      <c r="B563" s="3610"/>
      <c r="C563" s="3606" t="s">
        <v>3476</v>
      </c>
      <c r="D563" s="3606"/>
      <c r="E563" s="3249" t="s">
        <v>3745</v>
      </c>
      <c r="F563" s="3249">
        <f>[2]Sheet2!F564</f>
        <v>37.520000000000003</v>
      </c>
      <c r="G563" s="3250" t="s">
        <v>3183</v>
      </c>
      <c r="H563" s="3253">
        <f t="shared" si="9"/>
        <v>7.7</v>
      </c>
    </row>
    <row r="564" spans="1:8">
      <c r="A564" s="3247">
        <v>562</v>
      </c>
      <c r="B564" s="3610"/>
      <c r="C564" s="3606" t="s">
        <v>3476</v>
      </c>
      <c r="D564" s="3606"/>
      <c r="E564" s="3249" t="s">
        <v>3746</v>
      </c>
      <c r="F564" s="3249">
        <f>[2]Sheet2!F565</f>
        <v>35.96</v>
      </c>
      <c r="G564" s="3250" t="s">
        <v>3183</v>
      </c>
      <c r="H564" s="3253">
        <f t="shared" si="9"/>
        <v>7.38</v>
      </c>
    </row>
    <row r="565" spans="1:8">
      <c r="A565" s="3247">
        <v>563</v>
      </c>
      <c r="B565" s="3610"/>
      <c r="C565" s="3606" t="s">
        <v>3476</v>
      </c>
      <c r="D565" s="3606"/>
      <c r="E565" s="3249" t="s">
        <v>3747</v>
      </c>
      <c r="F565" s="3249">
        <f>[2]Sheet2!F566</f>
        <v>35.96</v>
      </c>
      <c r="G565" s="3250" t="s">
        <v>3183</v>
      </c>
      <c r="H565" s="3253">
        <f t="shared" si="9"/>
        <v>7.38</v>
      </c>
    </row>
    <row r="566" spans="1:8">
      <c r="A566" s="3247">
        <v>564</v>
      </c>
      <c r="B566" s="3610"/>
      <c r="C566" s="3606" t="s">
        <v>3476</v>
      </c>
      <c r="D566" s="3606"/>
      <c r="E566" s="3249" t="s">
        <v>3748</v>
      </c>
      <c r="F566" s="3249">
        <f>[2]Sheet2!F567</f>
        <v>31.27</v>
      </c>
      <c r="G566" s="3250" t="s">
        <v>3183</v>
      </c>
      <c r="H566" s="3253">
        <f t="shared" si="9"/>
        <v>6.42</v>
      </c>
    </row>
    <row r="567" spans="1:8">
      <c r="A567" s="3247">
        <v>565</v>
      </c>
      <c r="B567" s="3610"/>
      <c r="C567" s="3606" t="s">
        <v>3476</v>
      </c>
      <c r="D567" s="3606"/>
      <c r="E567" s="3249" t="s">
        <v>3749</v>
      </c>
      <c r="F567" s="3249">
        <f>[2]Sheet2!F568</f>
        <v>39.090000000000003</v>
      </c>
      <c r="G567" s="3250" t="s">
        <v>3183</v>
      </c>
      <c r="H567" s="3253">
        <f t="shared" si="9"/>
        <v>8.02</v>
      </c>
    </row>
    <row r="568" spans="1:8">
      <c r="A568" s="3247">
        <v>566</v>
      </c>
      <c r="B568" s="3610"/>
      <c r="C568" s="3606" t="s">
        <v>3476</v>
      </c>
      <c r="D568" s="3606"/>
      <c r="E568" s="3249" t="s">
        <v>3750</v>
      </c>
      <c r="F568" s="3249">
        <f>[2]Sheet2!F569</f>
        <v>35.96</v>
      </c>
      <c r="G568" s="3250" t="s">
        <v>3183</v>
      </c>
      <c r="H568" s="3253">
        <f t="shared" si="9"/>
        <v>7.38</v>
      </c>
    </row>
    <row r="569" spans="1:8">
      <c r="A569" s="3247">
        <v>567</v>
      </c>
      <c r="B569" s="3610"/>
      <c r="C569" s="3606" t="s">
        <v>3476</v>
      </c>
      <c r="D569" s="3606"/>
      <c r="E569" s="3249" t="s">
        <v>3751</v>
      </c>
      <c r="F569" s="3249">
        <f>[2]Sheet2!F570</f>
        <v>35.96</v>
      </c>
      <c r="G569" s="3250" t="s">
        <v>3183</v>
      </c>
      <c r="H569" s="3253">
        <f t="shared" si="9"/>
        <v>7.38</v>
      </c>
    </row>
    <row r="570" spans="1:8">
      <c r="A570" s="3247">
        <v>568</v>
      </c>
      <c r="B570" s="3610"/>
      <c r="C570" s="3606" t="s">
        <v>3476</v>
      </c>
      <c r="D570" s="3606"/>
      <c r="E570" s="3249" t="s">
        <v>3752</v>
      </c>
      <c r="F570" s="3249">
        <f>[2]Sheet2!F571</f>
        <v>39.090000000000003</v>
      </c>
      <c r="G570" s="3250" t="s">
        <v>3183</v>
      </c>
      <c r="H570" s="3253">
        <f t="shared" si="9"/>
        <v>8.02</v>
      </c>
    </row>
    <row r="571" spans="1:8">
      <c r="A571" s="3247">
        <v>569</v>
      </c>
      <c r="B571" s="3610"/>
      <c r="C571" s="3606" t="s">
        <v>3476</v>
      </c>
      <c r="D571" s="3606"/>
      <c r="E571" s="3249" t="s">
        <v>3753</v>
      </c>
      <c r="F571" s="3249">
        <f>[2]Sheet2!F572</f>
        <v>39.090000000000003</v>
      </c>
      <c r="G571" s="3250" t="s">
        <v>3183</v>
      </c>
      <c r="H571" s="3253">
        <f t="shared" si="9"/>
        <v>8.02</v>
      </c>
    </row>
    <row r="572" spans="1:8">
      <c r="A572" s="3247">
        <v>570</v>
      </c>
      <c r="B572" s="3610"/>
      <c r="C572" s="3606" t="s">
        <v>3476</v>
      </c>
      <c r="D572" s="3606"/>
      <c r="E572" s="3249" t="s">
        <v>3754</v>
      </c>
      <c r="F572" s="3249">
        <f>[2]Sheet2!F573</f>
        <v>39.090000000000003</v>
      </c>
      <c r="G572" s="3250" t="s">
        <v>3183</v>
      </c>
      <c r="H572" s="3253">
        <f t="shared" si="9"/>
        <v>8.02</v>
      </c>
    </row>
    <row r="573" spans="1:8">
      <c r="A573" s="3247">
        <v>571</v>
      </c>
      <c r="B573" s="3610"/>
      <c r="C573" s="3606" t="s">
        <v>3476</v>
      </c>
      <c r="D573" s="3606"/>
      <c r="E573" s="3249" t="s">
        <v>3755</v>
      </c>
      <c r="F573" s="3249">
        <f>[2]Sheet2!F574</f>
        <v>39.090000000000003</v>
      </c>
      <c r="G573" s="3250" t="s">
        <v>3183</v>
      </c>
      <c r="H573" s="3253">
        <f t="shared" si="9"/>
        <v>8.02</v>
      </c>
    </row>
    <row r="574" spans="1:8">
      <c r="A574" s="3247">
        <v>572</v>
      </c>
      <c r="B574" s="3610"/>
      <c r="C574" s="3606" t="s">
        <v>3476</v>
      </c>
      <c r="D574" s="3606"/>
      <c r="E574" s="3249" t="s">
        <v>3756</v>
      </c>
      <c r="F574" s="3249">
        <f>[2]Sheet2!F575</f>
        <v>37.520000000000003</v>
      </c>
      <c r="G574" s="3250" t="s">
        <v>3183</v>
      </c>
      <c r="H574" s="3253">
        <f t="shared" si="9"/>
        <v>7.7</v>
      </c>
    </row>
    <row r="575" spans="1:8">
      <c r="A575" s="3247">
        <v>573</v>
      </c>
      <c r="B575" s="3610"/>
      <c r="C575" s="3606" t="s">
        <v>3476</v>
      </c>
      <c r="D575" s="3606"/>
      <c r="E575" s="3249" t="s">
        <v>3757</v>
      </c>
      <c r="F575" s="3249">
        <f>[2]Sheet2!F576</f>
        <v>37.520000000000003</v>
      </c>
      <c r="G575" s="3250" t="s">
        <v>3183</v>
      </c>
      <c r="H575" s="3253">
        <f t="shared" si="9"/>
        <v>7.7</v>
      </c>
    </row>
    <row r="576" spans="1:8">
      <c r="A576" s="3247">
        <v>574</v>
      </c>
      <c r="B576" s="3610"/>
      <c r="C576" s="3606" t="s">
        <v>3476</v>
      </c>
      <c r="D576" s="3606"/>
      <c r="E576" s="3249" t="s">
        <v>3758</v>
      </c>
      <c r="F576" s="3249">
        <f>[2]Sheet2!F577</f>
        <v>37.520000000000003</v>
      </c>
      <c r="G576" s="3250" t="s">
        <v>3183</v>
      </c>
      <c r="H576" s="3253">
        <f t="shared" si="9"/>
        <v>7.7</v>
      </c>
    </row>
    <row r="577" spans="1:8">
      <c r="A577" s="3247">
        <v>575</v>
      </c>
      <c r="B577" s="3610"/>
      <c r="C577" s="3606" t="s">
        <v>3476</v>
      </c>
      <c r="D577" s="3606"/>
      <c r="E577" s="3249" t="s">
        <v>3759</v>
      </c>
      <c r="F577" s="3249">
        <f>[2]Sheet2!F578</f>
        <v>37.520000000000003</v>
      </c>
      <c r="G577" s="3250" t="s">
        <v>3183</v>
      </c>
      <c r="H577" s="3253">
        <f t="shared" si="9"/>
        <v>7.7</v>
      </c>
    </row>
    <row r="578" spans="1:8">
      <c r="A578" s="3247">
        <v>576</v>
      </c>
      <c r="B578" s="3610"/>
      <c r="C578" s="3606" t="s">
        <v>3476</v>
      </c>
      <c r="D578" s="3606"/>
      <c r="E578" s="3249" t="s">
        <v>3760</v>
      </c>
      <c r="F578" s="3249">
        <f>[2]Sheet2!F579</f>
        <v>37.520000000000003</v>
      </c>
      <c r="G578" s="3250" t="s">
        <v>3183</v>
      </c>
      <c r="H578" s="3253">
        <f t="shared" si="9"/>
        <v>7.7</v>
      </c>
    </row>
    <row r="579" spans="1:8">
      <c r="A579" s="3247">
        <v>577</v>
      </c>
      <c r="B579" s="3610"/>
      <c r="C579" s="3606" t="s">
        <v>3476</v>
      </c>
      <c r="D579" s="3606"/>
      <c r="E579" s="3249" t="s">
        <v>3761</v>
      </c>
      <c r="F579" s="3249">
        <f>[2]Sheet2!F580</f>
        <v>37.520000000000003</v>
      </c>
      <c r="G579" s="3250" t="s">
        <v>3183</v>
      </c>
      <c r="H579" s="3253">
        <f t="shared" si="9"/>
        <v>7.7</v>
      </c>
    </row>
    <row r="580" spans="1:8">
      <c r="A580" s="3247">
        <v>578</v>
      </c>
      <c r="B580" s="3610"/>
      <c r="C580" s="3606" t="s">
        <v>3476</v>
      </c>
      <c r="D580" s="3606"/>
      <c r="E580" s="3249" t="s">
        <v>3762</v>
      </c>
      <c r="F580" s="3249">
        <f>[2]Sheet2!F581</f>
        <v>37.520000000000003</v>
      </c>
      <c r="G580" s="3250" t="s">
        <v>3183</v>
      </c>
      <c r="H580" s="3253">
        <f t="shared" si="9"/>
        <v>7.7</v>
      </c>
    </row>
    <row r="581" spans="1:8">
      <c r="A581" s="3247">
        <v>579</v>
      </c>
      <c r="B581" s="3610"/>
      <c r="C581" s="3606" t="s">
        <v>3476</v>
      </c>
      <c r="D581" s="3606"/>
      <c r="E581" s="3249" t="s">
        <v>3763</v>
      </c>
      <c r="F581" s="3249">
        <f>[2]Sheet2!F582</f>
        <v>37.520000000000003</v>
      </c>
      <c r="G581" s="3250" t="s">
        <v>3183</v>
      </c>
      <c r="H581" s="3253">
        <f t="shared" si="9"/>
        <v>7.7</v>
      </c>
    </row>
    <row r="582" spans="1:8">
      <c r="A582" s="3247">
        <v>580</v>
      </c>
      <c r="B582" s="3610"/>
      <c r="C582" s="3606" t="s">
        <v>3476</v>
      </c>
      <c r="D582" s="3606"/>
      <c r="E582" s="3249" t="s">
        <v>3764</v>
      </c>
      <c r="F582" s="3249">
        <f>[2]Sheet2!F583</f>
        <v>37.520000000000003</v>
      </c>
      <c r="G582" s="3250" t="s">
        <v>3183</v>
      </c>
      <c r="H582" s="3253">
        <f t="shared" si="9"/>
        <v>7.7</v>
      </c>
    </row>
    <row r="583" spans="1:8">
      <c r="A583" s="3247">
        <v>581</v>
      </c>
      <c r="B583" s="3610"/>
      <c r="C583" s="3606" t="s">
        <v>3476</v>
      </c>
      <c r="D583" s="3606"/>
      <c r="E583" s="3249" t="s">
        <v>3765</v>
      </c>
      <c r="F583" s="3249">
        <f>[2]Sheet2!F584</f>
        <v>37.520000000000003</v>
      </c>
      <c r="G583" s="3250" t="s">
        <v>3183</v>
      </c>
      <c r="H583" s="3253">
        <f t="shared" si="9"/>
        <v>7.7</v>
      </c>
    </row>
    <row r="584" spans="1:8">
      <c r="A584" s="3247">
        <v>582</v>
      </c>
      <c r="B584" s="3610"/>
      <c r="C584" s="3606" t="s">
        <v>3476</v>
      </c>
      <c r="D584" s="3606"/>
      <c r="E584" s="3249" t="s">
        <v>3766</v>
      </c>
      <c r="F584" s="3249">
        <f>[2]Sheet2!F585</f>
        <v>37.520000000000003</v>
      </c>
      <c r="G584" s="3250" t="s">
        <v>3183</v>
      </c>
      <c r="H584" s="3253">
        <f t="shared" si="9"/>
        <v>7.7</v>
      </c>
    </row>
    <row r="585" spans="1:8">
      <c r="A585" s="3247">
        <v>583</v>
      </c>
      <c r="B585" s="3610"/>
      <c r="C585" s="3606" t="s">
        <v>3476</v>
      </c>
      <c r="D585" s="3606"/>
      <c r="E585" s="3249" t="s">
        <v>3767</v>
      </c>
      <c r="F585" s="3249">
        <f>[2]Sheet2!F586</f>
        <v>37.520000000000003</v>
      </c>
      <c r="G585" s="3250" t="s">
        <v>3183</v>
      </c>
      <c r="H585" s="3253">
        <f t="shared" si="9"/>
        <v>7.7</v>
      </c>
    </row>
    <row r="586" spans="1:8">
      <c r="A586" s="3247">
        <v>584</v>
      </c>
      <c r="B586" s="3610"/>
      <c r="C586" s="3606" t="s">
        <v>3476</v>
      </c>
      <c r="D586" s="3606"/>
      <c r="E586" s="3249" t="s">
        <v>3768</v>
      </c>
      <c r="F586" s="3249">
        <f>[2]Sheet2!F587</f>
        <v>37.520000000000003</v>
      </c>
      <c r="G586" s="3250" t="s">
        <v>3183</v>
      </c>
      <c r="H586" s="3253">
        <f t="shared" si="9"/>
        <v>7.7</v>
      </c>
    </row>
    <row r="587" spans="1:8">
      <c r="A587" s="3247">
        <v>585</v>
      </c>
      <c r="B587" s="3610"/>
      <c r="C587" s="3606" t="s">
        <v>3476</v>
      </c>
      <c r="D587" s="3606"/>
      <c r="E587" s="3249" t="s">
        <v>3769</v>
      </c>
      <c r="F587" s="3249">
        <f>[2]Sheet2!F588</f>
        <v>37.520000000000003</v>
      </c>
      <c r="G587" s="3250" t="s">
        <v>3183</v>
      </c>
      <c r="H587" s="3253">
        <f t="shared" si="9"/>
        <v>7.7</v>
      </c>
    </row>
    <row r="588" spans="1:8">
      <c r="A588" s="3247">
        <v>586</v>
      </c>
      <c r="B588" s="3610"/>
      <c r="C588" s="3606" t="s">
        <v>3476</v>
      </c>
      <c r="D588" s="3606"/>
      <c r="E588" s="3249" t="s">
        <v>3770</v>
      </c>
      <c r="F588" s="3249">
        <f>[2]Sheet2!F589</f>
        <v>37.520000000000003</v>
      </c>
      <c r="G588" s="3250" t="s">
        <v>3183</v>
      </c>
      <c r="H588" s="3253">
        <f t="shared" si="9"/>
        <v>7.7</v>
      </c>
    </row>
    <row r="589" spans="1:8">
      <c r="A589" s="3247">
        <v>587</v>
      </c>
      <c r="B589" s="3610"/>
      <c r="C589" s="3606" t="s">
        <v>3476</v>
      </c>
      <c r="D589" s="3606"/>
      <c r="E589" s="3249" t="s">
        <v>3771</v>
      </c>
      <c r="F589" s="3249">
        <f>[2]Sheet2!F590</f>
        <v>37.520000000000003</v>
      </c>
      <c r="G589" s="3250" t="s">
        <v>3183</v>
      </c>
      <c r="H589" s="3253">
        <f t="shared" si="9"/>
        <v>7.7</v>
      </c>
    </row>
    <row r="590" spans="1:8">
      <c r="A590" s="3247">
        <v>588</v>
      </c>
      <c r="B590" s="3610"/>
      <c r="C590" s="3606" t="s">
        <v>3476</v>
      </c>
      <c r="D590" s="3606"/>
      <c r="E590" s="3249" t="s">
        <v>3772</v>
      </c>
      <c r="F590" s="3249">
        <f>[2]Sheet2!F591</f>
        <v>37.520000000000003</v>
      </c>
      <c r="G590" s="3250" t="s">
        <v>3183</v>
      </c>
      <c r="H590" s="3253">
        <f t="shared" si="9"/>
        <v>7.7</v>
      </c>
    </row>
    <row r="591" spans="1:8">
      <c r="A591" s="3247">
        <v>589</v>
      </c>
      <c r="B591" s="3610"/>
      <c r="C591" s="3606" t="s">
        <v>3476</v>
      </c>
      <c r="D591" s="3606"/>
      <c r="E591" s="3249" t="s">
        <v>3773</v>
      </c>
      <c r="F591" s="3249">
        <f>[2]Sheet2!F592</f>
        <v>37.520000000000003</v>
      </c>
      <c r="G591" s="3250" t="s">
        <v>3183</v>
      </c>
      <c r="H591" s="3253">
        <f t="shared" si="9"/>
        <v>7.7</v>
      </c>
    </row>
    <row r="592" spans="1:8">
      <c r="A592" s="3247">
        <v>590</v>
      </c>
      <c r="B592" s="3610"/>
      <c r="C592" s="3606" t="s">
        <v>3476</v>
      </c>
      <c r="D592" s="3606"/>
      <c r="E592" s="3249" t="s">
        <v>3774</v>
      </c>
      <c r="F592" s="3249">
        <f>[2]Sheet2!F593</f>
        <v>37.520000000000003</v>
      </c>
      <c r="G592" s="3250" t="s">
        <v>3183</v>
      </c>
      <c r="H592" s="3253">
        <f t="shared" si="9"/>
        <v>7.7</v>
      </c>
    </row>
    <row r="593" spans="1:8">
      <c r="A593" s="3247">
        <v>591</v>
      </c>
      <c r="B593" s="3610"/>
      <c r="C593" s="3606" t="s">
        <v>3476</v>
      </c>
      <c r="D593" s="3606"/>
      <c r="E593" s="3249" t="s">
        <v>3775</v>
      </c>
      <c r="F593" s="3249">
        <f>[2]Sheet2!F594</f>
        <v>37.520000000000003</v>
      </c>
      <c r="G593" s="3250" t="s">
        <v>3183</v>
      </c>
      <c r="H593" s="3253">
        <f t="shared" si="9"/>
        <v>7.7</v>
      </c>
    </row>
    <row r="594" spans="1:8">
      <c r="A594" s="3247">
        <v>592</v>
      </c>
      <c r="B594" s="3610"/>
      <c r="C594" s="3606" t="s">
        <v>3476</v>
      </c>
      <c r="D594" s="3606"/>
      <c r="E594" s="3249" t="s">
        <v>3776</v>
      </c>
      <c r="F594" s="3249">
        <f>[2]Sheet2!F595</f>
        <v>37.520000000000003</v>
      </c>
      <c r="G594" s="3250" t="s">
        <v>3183</v>
      </c>
      <c r="H594" s="3253">
        <f t="shared" si="9"/>
        <v>7.7</v>
      </c>
    </row>
    <row r="595" spans="1:8">
      <c r="A595" s="3247">
        <v>593</v>
      </c>
      <c r="B595" s="3610"/>
      <c r="C595" s="3606" t="s">
        <v>3476</v>
      </c>
      <c r="D595" s="3606"/>
      <c r="E595" s="3249" t="s">
        <v>3777</v>
      </c>
      <c r="F595" s="3249">
        <f>[2]Sheet2!F596</f>
        <v>37.520000000000003</v>
      </c>
      <c r="G595" s="3250" t="s">
        <v>3183</v>
      </c>
      <c r="H595" s="3253">
        <f t="shared" si="9"/>
        <v>7.7</v>
      </c>
    </row>
    <row r="596" spans="1:8">
      <c r="A596" s="3247">
        <v>594</v>
      </c>
      <c r="B596" s="3610"/>
      <c r="C596" s="3606" t="s">
        <v>3476</v>
      </c>
      <c r="D596" s="3606"/>
      <c r="E596" s="3249" t="s">
        <v>3778</v>
      </c>
      <c r="F596" s="3249">
        <f>[2]Sheet2!F597</f>
        <v>37.520000000000003</v>
      </c>
      <c r="G596" s="3250" t="s">
        <v>3183</v>
      </c>
      <c r="H596" s="3253">
        <f t="shared" si="9"/>
        <v>7.7</v>
      </c>
    </row>
    <row r="597" spans="1:8">
      <c r="A597" s="3247">
        <v>595</v>
      </c>
      <c r="B597" s="3610"/>
      <c r="C597" s="3606" t="s">
        <v>3476</v>
      </c>
      <c r="D597" s="3606"/>
      <c r="E597" s="3249" t="s">
        <v>3779</v>
      </c>
      <c r="F597" s="3249">
        <f>[2]Sheet2!F598</f>
        <v>37.520000000000003</v>
      </c>
      <c r="G597" s="3250" t="s">
        <v>3183</v>
      </c>
      <c r="H597" s="3253">
        <f t="shared" si="9"/>
        <v>7.7</v>
      </c>
    </row>
    <row r="598" spans="1:8">
      <c r="A598" s="3247">
        <v>596</v>
      </c>
      <c r="B598" s="3610"/>
      <c r="C598" s="3606" t="s">
        <v>3476</v>
      </c>
      <c r="D598" s="3606"/>
      <c r="E598" s="3249" t="s">
        <v>3780</v>
      </c>
      <c r="F598" s="3249">
        <f>[2]Sheet2!F599</f>
        <v>37.520000000000003</v>
      </c>
      <c r="G598" s="3250" t="s">
        <v>3183</v>
      </c>
      <c r="H598" s="3253">
        <f t="shared" si="9"/>
        <v>7.7</v>
      </c>
    </row>
    <row r="599" spans="1:8">
      <c r="A599" s="3247">
        <v>597</v>
      </c>
      <c r="B599" s="3610"/>
      <c r="C599" s="3606" t="s">
        <v>3476</v>
      </c>
      <c r="D599" s="3606"/>
      <c r="E599" s="3249" t="s">
        <v>3781</v>
      </c>
      <c r="F599" s="3249">
        <f>[2]Sheet2!F600</f>
        <v>37.520000000000003</v>
      </c>
      <c r="G599" s="3250" t="s">
        <v>3183</v>
      </c>
      <c r="H599" s="3253">
        <f t="shared" si="9"/>
        <v>7.7</v>
      </c>
    </row>
    <row r="600" spans="1:8">
      <c r="A600" s="3247">
        <v>598</v>
      </c>
      <c r="B600" s="3610"/>
      <c r="C600" s="3606" t="s">
        <v>3476</v>
      </c>
      <c r="D600" s="3606"/>
      <c r="E600" s="3249" t="s">
        <v>3782</v>
      </c>
      <c r="F600" s="3249">
        <f>[2]Sheet2!F601</f>
        <v>37.520000000000003</v>
      </c>
      <c r="G600" s="3250" t="s">
        <v>3183</v>
      </c>
      <c r="H600" s="3253">
        <f t="shared" si="9"/>
        <v>7.7</v>
      </c>
    </row>
    <row r="601" spans="1:8">
      <c r="A601" s="3247">
        <v>599</v>
      </c>
      <c r="B601" s="3610"/>
      <c r="C601" s="3606" t="s">
        <v>3476</v>
      </c>
      <c r="D601" s="3606"/>
      <c r="E601" s="3249" t="s">
        <v>3783</v>
      </c>
      <c r="F601" s="3249">
        <f>[2]Sheet2!F602</f>
        <v>37.520000000000003</v>
      </c>
      <c r="G601" s="3250" t="s">
        <v>3183</v>
      </c>
      <c r="H601" s="3253">
        <f t="shared" si="9"/>
        <v>7.7</v>
      </c>
    </row>
    <row r="602" spans="1:8">
      <c r="A602" s="3247">
        <v>600</v>
      </c>
      <c r="B602" s="3610"/>
      <c r="C602" s="3606" t="s">
        <v>3476</v>
      </c>
      <c r="D602" s="3606"/>
      <c r="E602" s="3249" t="s">
        <v>3784</v>
      </c>
      <c r="F602" s="3249">
        <f>[2]Sheet2!F603</f>
        <v>37.520000000000003</v>
      </c>
      <c r="G602" s="3250" t="s">
        <v>3183</v>
      </c>
      <c r="H602" s="3253">
        <f t="shared" si="9"/>
        <v>7.7</v>
      </c>
    </row>
    <row r="603" spans="1:8">
      <c r="A603" s="3247">
        <v>601</v>
      </c>
      <c r="B603" s="3610"/>
      <c r="C603" s="3606" t="s">
        <v>3476</v>
      </c>
      <c r="D603" s="3606"/>
      <c r="E603" s="3249" t="s">
        <v>3785</v>
      </c>
      <c r="F603" s="3249">
        <f>[2]Sheet2!F604</f>
        <v>37.520000000000003</v>
      </c>
      <c r="G603" s="3250" t="s">
        <v>3183</v>
      </c>
      <c r="H603" s="3253">
        <f t="shared" si="9"/>
        <v>7.7</v>
      </c>
    </row>
    <row r="604" spans="1:8">
      <c r="A604" s="3247">
        <v>602</v>
      </c>
      <c r="B604" s="3610"/>
      <c r="C604" s="3606" t="s">
        <v>3476</v>
      </c>
      <c r="D604" s="3606"/>
      <c r="E604" s="3249" t="s">
        <v>3786</v>
      </c>
      <c r="F604" s="3249">
        <f>[2]Sheet2!F605</f>
        <v>37.520000000000003</v>
      </c>
      <c r="G604" s="3250" t="s">
        <v>3183</v>
      </c>
      <c r="H604" s="3253">
        <f t="shared" si="9"/>
        <v>7.7</v>
      </c>
    </row>
    <row r="605" spans="1:8">
      <c r="A605" s="3247">
        <v>603</v>
      </c>
      <c r="B605" s="3610"/>
      <c r="C605" s="3606" t="s">
        <v>3476</v>
      </c>
      <c r="D605" s="3606"/>
      <c r="E605" s="3249" t="s">
        <v>3787</v>
      </c>
      <c r="F605" s="3249">
        <f>[2]Sheet2!F606</f>
        <v>37.520000000000003</v>
      </c>
      <c r="G605" s="3250" t="s">
        <v>3183</v>
      </c>
      <c r="H605" s="3253">
        <f t="shared" si="9"/>
        <v>7.7</v>
      </c>
    </row>
    <row r="606" spans="1:8">
      <c r="A606" s="3247">
        <v>604</v>
      </c>
      <c r="B606" s="3610"/>
      <c r="C606" s="3606" t="s">
        <v>3476</v>
      </c>
      <c r="D606" s="3606"/>
      <c r="E606" s="3249" t="s">
        <v>3788</v>
      </c>
      <c r="F606" s="3249">
        <f>[2]Sheet2!F607</f>
        <v>37.520000000000003</v>
      </c>
      <c r="G606" s="3250" t="s">
        <v>3183</v>
      </c>
      <c r="H606" s="3253">
        <f t="shared" si="9"/>
        <v>7.7</v>
      </c>
    </row>
    <row r="607" spans="1:8">
      <c r="A607" s="3247">
        <v>605</v>
      </c>
      <c r="B607" s="3610"/>
      <c r="C607" s="3606" t="s">
        <v>3476</v>
      </c>
      <c r="D607" s="3606"/>
      <c r="E607" s="3249" t="s">
        <v>3789</v>
      </c>
      <c r="F607" s="3249">
        <f>[2]Sheet2!F608</f>
        <v>37.520000000000003</v>
      </c>
      <c r="G607" s="3250" t="s">
        <v>3183</v>
      </c>
      <c r="H607" s="3253">
        <f t="shared" si="9"/>
        <v>7.7</v>
      </c>
    </row>
    <row r="608" spans="1:8">
      <c r="A608" s="3247">
        <v>606</v>
      </c>
      <c r="B608" s="3610"/>
      <c r="C608" s="3606" t="s">
        <v>3476</v>
      </c>
      <c r="D608" s="3606"/>
      <c r="E608" s="3249" t="s">
        <v>3790</v>
      </c>
      <c r="F608" s="3249">
        <f>[2]Sheet2!F609</f>
        <v>37.520000000000003</v>
      </c>
      <c r="G608" s="3250" t="s">
        <v>3183</v>
      </c>
      <c r="H608" s="3253">
        <f t="shared" si="9"/>
        <v>7.7</v>
      </c>
    </row>
    <row r="609" spans="1:8">
      <c r="A609" s="3247">
        <v>607</v>
      </c>
      <c r="B609" s="3610"/>
      <c r="C609" s="3606" t="s">
        <v>3476</v>
      </c>
      <c r="D609" s="3606"/>
      <c r="E609" s="3249" t="s">
        <v>3791</v>
      </c>
      <c r="F609" s="3249">
        <f>[2]Sheet2!F610</f>
        <v>37.520000000000003</v>
      </c>
      <c r="G609" s="3250" t="s">
        <v>3183</v>
      </c>
      <c r="H609" s="3253">
        <f t="shared" si="9"/>
        <v>7.7</v>
      </c>
    </row>
    <row r="610" spans="1:8">
      <c r="A610" s="3247">
        <v>608</v>
      </c>
      <c r="B610" s="3610"/>
      <c r="C610" s="3606" t="s">
        <v>3476</v>
      </c>
      <c r="D610" s="3606"/>
      <c r="E610" s="3249" t="s">
        <v>3792</v>
      </c>
      <c r="F610" s="3249">
        <f>[2]Sheet2!F611</f>
        <v>37.520000000000003</v>
      </c>
      <c r="G610" s="3250" t="s">
        <v>3183</v>
      </c>
      <c r="H610" s="3253">
        <f t="shared" si="9"/>
        <v>7.7</v>
      </c>
    </row>
    <row r="611" spans="1:8">
      <c r="A611" s="3247">
        <v>609</v>
      </c>
      <c r="B611" s="3610"/>
      <c r="C611" s="3606" t="s">
        <v>3476</v>
      </c>
      <c r="D611" s="3606"/>
      <c r="E611" s="3249" t="s">
        <v>3793</v>
      </c>
      <c r="F611" s="3249">
        <f>[2]Sheet2!F612</f>
        <v>37.520000000000003</v>
      </c>
      <c r="G611" s="3250" t="s">
        <v>3183</v>
      </c>
      <c r="H611" s="3253">
        <f t="shared" si="9"/>
        <v>7.7</v>
      </c>
    </row>
    <row r="612" spans="1:8">
      <c r="A612" s="3247">
        <v>610</v>
      </c>
      <c r="B612" s="3610"/>
      <c r="C612" s="3606" t="s">
        <v>3476</v>
      </c>
      <c r="D612" s="3606"/>
      <c r="E612" s="3249" t="s">
        <v>3794</v>
      </c>
      <c r="F612" s="3249">
        <f>[2]Sheet2!F613</f>
        <v>37.520000000000003</v>
      </c>
      <c r="G612" s="3250" t="s">
        <v>3183</v>
      </c>
      <c r="H612" s="3253">
        <f t="shared" si="9"/>
        <v>7.7</v>
      </c>
    </row>
    <row r="613" spans="1:8">
      <c r="A613" s="3247">
        <v>611</v>
      </c>
      <c r="B613" s="3610"/>
      <c r="C613" s="3606" t="s">
        <v>3476</v>
      </c>
      <c r="D613" s="3606"/>
      <c r="E613" s="3249" t="s">
        <v>3795</v>
      </c>
      <c r="F613" s="3249">
        <f>[2]Sheet2!F614</f>
        <v>37.520000000000003</v>
      </c>
      <c r="G613" s="3250" t="s">
        <v>3183</v>
      </c>
      <c r="H613" s="3253">
        <f t="shared" si="9"/>
        <v>7.7</v>
      </c>
    </row>
    <row r="614" spans="1:8">
      <c r="A614" s="3247">
        <v>612</v>
      </c>
      <c r="B614" s="3610"/>
      <c r="C614" s="3606" t="s">
        <v>3476</v>
      </c>
      <c r="D614" s="3606"/>
      <c r="E614" s="3249" t="s">
        <v>3796</v>
      </c>
      <c r="F614" s="3249">
        <f>[2]Sheet2!F615</f>
        <v>37.520000000000003</v>
      </c>
      <c r="G614" s="3250" t="s">
        <v>3183</v>
      </c>
      <c r="H614" s="3253">
        <f t="shared" si="9"/>
        <v>7.7</v>
      </c>
    </row>
    <row r="615" spans="1:8">
      <c r="A615" s="3247">
        <v>613</v>
      </c>
      <c r="B615" s="3610"/>
      <c r="C615" s="3606" t="s">
        <v>3476</v>
      </c>
      <c r="D615" s="3606"/>
      <c r="E615" s="3249" t="s">
        <v>3797</v>
      </c>
      <c r="F615" s="3249">
        <f>[2]Sheet2!F616</f>
        <v>37.520000000000003</v>
      </c>
      <c r="G615" s="3250" t="s">
        <v>3183</v>
      </c>
      <c r="H615" s="3253">
        <f t="shared" si="9"/>
        <v>7.7</v>
      </c>
    </row>
    <row r="616" spans="1:8">
      <c r="A616" s="3247">
        <v>614</v>
      </c>
      <c r="B616" s="3610"/>
      <c r="C616" s="3606" t="s">
        <v>3476</v>
      </c>
      <c r="D616" s="3606"/>
      <c r="E616" s="3249" t="s">
        <v>3798</v>
      </c>
      <c r="F616" s="3249">
        <f>[2]Sheet2!F617</f>
        <v>37.520000000000003</v>
      </c>
      <c r="G616" s="3250" t="s">
        <v>3183</v>
      </c>
      <c r="H616" s="3253">
        <f t="shared" ref="H616:H679" si="10">ROUND(F616/$J$5*$K$5,2)</f>
        <v>7.7</v>
      </c>
    </row>
    <row r="617" spans="1:8">
      <c r="A617" s="3247">
        <v>615</v>
      </c>
      <c r="B617" s="3610"/>
      <c r="C617" s="3606" t="s">
        <v>3476</v>
      </c>
      <c r="D617" s="3606"/>
      <c r="E617" s="3249" t="s">
        <v>3799</v>
      </c>
      <c r="F617" s="3249">
        <f>[2]Sheet2!F618</f>
        <v>37.520000000000003</v>
      </c>
      <c r="G617" s="3250" t="s">
        <v>3183</v>
      </c>
      <c r="H617" s="3253">
        <f t="shared" si="10"/>
        <v>7.7</v>
      </c>
    </row>
    <row r="618" spans="1:8">
      <c r="A618" s="3247">
        <v>616</v>
      </c>
      <c r="B618" s="3610"/>
      <c r="C618" s="3606" t="s">
        <v>3476</v>
      </c>
      <c r="D618" s="3606"/>
      <c r="E618" s="3249" t="s">
        <v>3800</v>
      </c>
      <c r="F618" s="3249">
        <f>[2]Sheet2!F619</f>
        <v>37.520000000000003</v>
      </c>
      <c r="G618" s="3250" t="s">
        <v>3183</v>
      </c>
      <c r="H618" s="3253">
        <f t="shared" si="10"/>
        <v>7.7</v>
      </c>
    </row>
    <row r="619" spans="1:8">
      <c r="A619" s="3247">
        <v>617</v>
      </c>
      <c r="B619" s="3610"/>
      <c r="C619" s="3606" t="s">
        <v>3476</v>
      </c>
      <c r="D619" s="3606"/>
      <c r="E619" s="3249" t="s">
        <v>3801</v>
      </c>
      <c r="F619" s="3249">
        <f>[2]Sheet2!F620</f>
        <v>37.520000000000003</v>
      </c>
      <c r="G619" s="3250" t="s">
        <v>3183</v>
      </c>
      <c r="H619" s="3253">
        <f t="shared" si="10"/>
        <v>7.7</v>
      </c>
    </row>
    <row r="620" spans="1:8">
      <c r="A620" s="3247">
        <v>618</v>
      </c>
      <c r="B620" s="3610"/>
      <c r="C620" s="3606" t="s">
        <v>3476</v>
      </c>
      <c r="D620" s="3606"/>
      <c r="E620" s="3249" t="s">
        <v>3802</v>
      </c>
      <c r="F620" s="3249">
        <f>[2]Sheet2!F621</f>
        <v>37.520000000000003</v>
      </c>
      <c r="G620" s="3250" t="s">
        <v>3183</v>
      </c>
      <c r="H620" s="3253">
        <f t="shared" si="10"/>
        <v>7.7</v>
      </c>
    </row>
    <row r="621" spans="1:8">
      <c r="A621" s="3247">
        <v>619</v>
      </c>
      <c r="B621" s="3610"/>
      <c r="C621" s="3606" t="s">
        <v>3476</v>
      </c>
      <c r="D621" s="3606"/>
      <c r="E621" s="3249" t="s">
        <v>3803</v>
      </c>
      <c r="F621" s="3249">
        <f>[2]Sheet2!F622</f>
        <v>37.520000000000003</v>
      </c>
      <c r="G621" s="3250" t="s">
        <v>3183</v>
      </c>
      <c r="H621" s="3253">
        <f t="shared" si="10"/>
        <v>7.7</v>
      </c>
    </row>
    <row r="622" spans="1:8">
      <c r="A622" s="3247">
        <v>620</v>
      </c>
      <c r="B622" s="3610"/>
      <c r="C622" s="3606" t="s">
        <v>3476</v>
      </c>
      <c r="D622" s="3606"/>
      <c r="E622" s="3249" t="s">
        <v>3804</v>
      </c>
      <c r="F622" s="3249">
        <f>[2]Sheet2!F623</f>
        <v>37.520000000000003</v>
      </c>
      <c r="G622" s="3250" t="s">
        <v>3183</v>
      </c>
      <c r="H622" s="3253">
        <f t="shared" si="10"/>
        <v>7.7</v>
      </c>
    </row>
    <row r="623" spans="1:8">
      <c r="A623" s="3247">
        <v>621</v>
      </c>
      <c r="B623" s="3610"/>
      <c r="C623" s="3606" t="s">
        <v>3476</v>
      </c>
      <c r="D623" s="3606"/>
      <c r="E623" s="3249" t="s">
        <v>3805</v>
      </c>
      <c r="F623" s="3249">
        <f>[2]Sheet2!F624</f>
        <v>37.520000000000003</v>
      </c>
      <c r="G623" s="3250" t="s">
        <v>3183</v>
      </c>
      <c r="H623" s="3253">
        <f t="shared" si="10"/>
        <v>7.7</v>
      </c>
    </row>
    <row r="624" spans="1:8">
      <c r="A624" s="3247">
        <v>622</v>
      </c>
      <c r="B624" s="3610"/>
      <c r="C624" s="3606" t="s">
        <v>3476</v>
      </c>
      <c r="D624" s="3606"/>
      <c r="E624" s="3249" t="s">
        <v>3806</v>
      </c>
      <c r="F624" s="3249">
        <f>[2]Sheet2!F625</f>
        <v>37.520000000000003</v>
      </c>
      <c r="G624" s="3250" t="s">
        <v>3183</v>
      </c>
      <c r="H624" s="3253">
        <f t="shared" si="10"/>
        <v>7.7</v>
      </c>
    </row>
    <row r="625" spans="1:8">
      <c r="A625" s="3247">
        <v>623</v>
      </c>
      <c r="B625" s="3610"/>
      <c r="C625" s="3606" t="s">
        <v>3476</v>
      </c>
      <c r="D625" s="3606"/>
      <c r="E625" s="3249" t="s">
        <v>3807</v>
      </c>
      <c r="F625" s="3249">
        <f>[2]Sheet2!F626</f>
        <v>37.520000000000003</v>
      </c>
      <c r="G625" s="3250" t="s">
        <v>3183</v>
      </c>
      <c r="H625" s="3253">
        <f t="shared" si="10"/>
        <v>7.7</v>
      </c>
    </row>
    <row r="626" spans="1:8">
      <c r="A626" s="3247">
        <v>624</v>
      </c>
      <c r="B626" s="3610"/>
      <c r="C626" s="3606" t="s">
        <v>3476</v>
      </c>
      <c r="D626" s="3606"/>
      <c r="E626" s="3249" t="s">
        <v>3808</v>
      </c>
      <c r="F626" s="3249">
        <f>[2]Sheet2!F627</f>
        <v>37.520000000000003</v>
      </c>
      <c r="G626" s="3250" t="s">
        <v>3183</v>
      </c>
      <c r="H626" s="3253">
        <f t="shared" si="10"/>
        <v>7.7</v>
      </c>
    </row>
    <row r="627" spans="1:8">
      <c r="A627" s="3247">
        <v>625</v>
      </c>
      <c r="B627" s="3610"/>
      <c r="C627" s="3606" t="s">
        <v>3476</v>
      </c>
      <c r="D627" s="3606"/>
      <c r="E627" s="3249" t="s">
        <v>3809</v>
      </c>
      <c r="F627" s="3249">
        <f>[2]Sheet2!F628</f>
        <v>37.520000000000003</v>
      </c>
      <c r="G627" s="3250" t="s">
        <v>3183</v>
      </c>
      <c r="H627" s="3253">
        <f t="shared" si="10"/>
        <v>7.7</v>
      </c>
    </row>
    <row r="628" spans="1:8">
      <c r="A628" s="3247">
        <v>626</v>
      </c>
      <c r="B628" s="3610"/>
      <c r="C628" s="3606" t="s">
        <v>3476</v>
      </c>
      <c r="D628" s="3606"/>
      <c r="E628" s="3249" t="s">
        <v>3810</v>
      </c>
      <c r="F628" s="3249">
        <f>[2]Sheet2!F629</f>
        <v>37.520000000000003</v>
      </c>
      <c r="G628" s="3250" t="s">
        <v>3183</v>
      </c>
      <c r="H628" s="3253">
        <f t="shared" si="10"/>
        <v>7.7</v>
      </c>
    </row>
    <row r="629" spans="1:8">
      <c r="A629" s="3247">
        <v>627</v>
      </c>
      <c r="B629" s="3610"/>
      <c r="C629" s="3606" t="s">
        <v>3476</v>
      </c>
      <c r="D629" s="3606"/>
      <c r="E629" s="3249" t="s">
        <v>3811</v>
      </c>
      <c r="F629" s="3249">
        <f>[2]Sheet2!F630</f>
        <v>37.520000000000003</v>
      </c>
      <c r="G629" s="3250" t="s">
        <v>3183</v>
      </c>
      <c r="H629" s="3253">
        <f t="shared" si="10"/>
        <v>7.7</v>
      </c>
    </row>
    <row r="630" spans="1:8">
      <c r="A630" s="3247">
        <v>628</v>
      </c>
      <c r="B630" s="3610"/>
      <c r="C630" s="3606" t="s">
        <v>3476</v>
      </c>
      <c r="D630" s="3606"/>
      <c r="E630" s="3249" t="s">
        <v>3812</v>
      </c>
      <c r="F630" s="3249">
        <f>[2]Sheet2!F631</f>
        <v>37.520000000000003</v>
      </c>
      <c r="G630" s="3250" t="s">
        <v>3183</v>
      </c>
      <c r="H630" s="3253">
        <f t="shared" si="10"/>
        <v>7.7</v>
      </c>
    </row>
    <row r="631" spans="1:8">
      <c r="A631" s="3247">
        <v>629</v>
      </c>
      <c r="B631" s="3610"/>
      <c r="C631" s="3606" t="s">
        <v>3476</v>
      </c>
      <c r="D631" s="3606"/>
      <c r="E631" s="3249" t="s">
        <v>3813</v>
      </c>
      <c r="F631" s="3249">
        <f>[2]Sheet2!F632</f>
        <v>37.520000000000003</v>
      </c>
      <c r="G631" s="3250" t="s">
        <v>3183</v>
      </c>
      <c r="H631" s="3253">
        <f t="shared" si="10"/>
        <v>7.7</v>
      </c>
    </row>
    <row r="632" spans="1:8">
      <c r="A632" s="3247">
        <v>630</v>
      </c>
      <c r="B632" s="3610"/>
      <c r="C632" s="3606" t="s">
        <v>3476</v>
      </c>
      <c r="D632" s="3606"/>
      <c r="E632" s="3249" t="s">
        <v>3814</v>
      </c>
      <c r="F632" s="3249">
        <f>[2]Sheet2!F633</f>
        <v>37.520000000000003</v>
      </c>
      <c r="G632" s="3250" t="s">
        <v>3183</v>
      </c>
      <c r="H632" s="3253">
        <f t="shared" si="10"/>
        <v>7.7</v>
      </c>
    </row>
    <row r="633" spans="1:8">
      <c r="A633" s="3247">
        <v>631</v>
      </c>
      <c r="B633" s="3610"/>
      <c r="C633" s="3606" t="s">
        <v>3476</v>
      </c>
      <c r="D633" s="3606"/>
      <c r="E633" s="3249" t="s">
        <v>3815</v>
      </c>
      <c r="F633" s="3249">
        <f>[2]Sheet2!F634</f>
        <v>37.520000000000003</v>
      </c>
      <c r="G633" s="3250" t="s">
        <v>3183</v>
      </c>
      <c r="H633" s="3253">
        <f t="shared" si="10"/>
        <v>7.7</v>
      </c>
    </row>
    <row r="634" spans="1:8">
      <c r="A634" s="3247">
        <v>632</v>
      </c>
      <c r="B634" s="3610"/>
      <c r="C634" s="3606" t="s">
        <v>3476</v>
      </c>
      <c r="D634" s="3606"/>
      <c r="E634" s="3249" t="s">
        <v>3816</v>
      </c>
      <c r="F634" s="3249">
        <f>[2]Sheet2!F635</f>
        <v>37.520000000000003</v>
      </c>
      <c r="G634" s="3250" t="s">
        <v>3183</v>
      </c>
      <c r="H634" s="3253">
        <f t="shared" si="10"/>
        <v>7.7</v>
      </c>
    </row>
    <row r="635" spans="1:8">
      <c r="A635" s="3247">
        <v>633</v>
      </c>
      <c r="B635" s="3610"/>
      <c r="C635" s="3606" t="s">
        <v>3476</v>
      </c>
      <c r="D635" s="3606"/>
      <c r="E635" s="3249" t="s">
        <v>3817</v>
      </c>
      <c r="F635" s="3249">
        <f>[2]Sheet2!F636</f>
        <v>37.520000000000003</v>
      </c>
      <c r="G635" s="3250" t="s">
        <v>3183</v>
      </c>
      <c r="H635" s="3253">
        <f t="shared" si="10"/>
        <v>7.7</v>
      </c>
    </row>
    <row r="636" spans="1:8">
      <c r="A636" s="3247">
        <v>634</v>
      </c>
      <c r="B636" s="3610"/>
      <c r="C636" s="3606" t="s">
        <v>3476</v>
      </c>
      <c r="D636" s="3606"/>
      <c r="E636" s="3249" t="s">
        <v>3818</v>
      </c>
      <c r="F636" s="3249">
        <f>[2]Sheet2!F637</f>
        <v>37.520000000000003</v>
      </c>
      <c r="G636" s="3250" t="s">
        <v>3183</v>
      </c>
      <c r="H636" s="3253">
        <f t="shared" si="10"/>
        <v>7.7</v>
      </c>
    </row>
    <row r="637" spans="1:8">
      <c r="A637" s="3247">
        <v>635</v>
      </c>
      <c r="B637" s="3610"/>
      <c r="C637" s="3606" t="s">
        <v>3476</v>
      </c>
      <c r="D637" s="3606"/>
      <c r="E637" s="3249" t="s">
        <v>3819</v>
      </c>
      <c r="F637" s="3249">
        <f>[2]Sheet2!F638</f>
        <v>37.520000000000003</v>
      </c>
      <c r="G637" s="3250" t="s">
        <v>3183</v>
      </c>
      <c r="H637" s="3253">
        <f t="shared" si="10"/>
        <v>7.7</v>
      </c>
    </row>
    <row r="638" spans="1:8">
      <c r="A638" s="3247">
        <v>636</v>
      </c>
      <c r="B638" s="3610"/>
      <c r="C638" s="3606" t="s">
        <v>3476</v>
      </c>
      <c r="D638" s="3606"/>
      <c r="E638" s="3249" t="s">
        <v>3820</v>
      </c>
      <c r="F638" s="3249">
        <f>[2]Sheet2!F639</f>
        <v>39.090000000000003</v>
      </c>
      <c r="G638" s="3250" t="s">
        <v>3183</v>
      </c>
      <c r="H638" s="3253">
        <f t="shared" si="10"/>
        <v>8.02</v>
      </c>
    </row>
    <row r="639" spans="1:8">
      <c r="A639" s="3247">
        <v>637</v>
      </c>
      <c r="B639" s="3610"/>
      <c r="C639" s="3606" t="s">
        <v>3476</v>
      </c>
      <c r="D639" s="3606"/>
      <c r="E639" s="3249" t="s">
        <v>3821</v>
      </c>
      <c r="F639" s="3249">
        <f>[2]Sheet2!F640</f>
        <v>39.090000000000003</v>
      </c>
      <c r="G639" s="3250" t="s">
        <v>3183</v>
      </c>
      <c r="H639" s="3253">
        <f t="shared" si="10"/>
        <v>8.02</v>
      </c>
    </row>
    <row r="640" spans="1:8">
      <c r="A640" s="3247">
        <v>638</v>
      </c>
      <c r="B640" s="3610"/>
      <c r="C640" s="3606" t="s">
        <v>3476</v>
      </c>
      <c r="D640" s="3606"/>
      <c r="E640" s="3249" t="s">
        <v>3822</v>
      </c>
      <c r="F640" s="3249">
        <f>[2]Sheet2!F641</f>
        <v>39.090000000000003</v>
      </c>
      <c r="G640" s="3250" t="s">
        <v>3183</v>
      </c>
      <c r="H640" s="3253">
        <f t="shared" si="10"/>
        <v>8.02</v>
      </c>
    </row>
    <row r="641" spans="1:8">
      <c r="A641" s="3247">
        <v>639</v>
      </c>
      <c r="B641" s="3610"/>
      <c r="C641" s="3606" t="s">
        <v>3476</v>
      </c>
      <c r="D641" s="3606"/>
      <c r="E641" s="3249" t="s">
        <v>3823</v>
      </c>
      <c r="F641" s="3249">
        <f>[2]Sheet2!F642</f>
        <v>37.520000000000003</v>
      </c>
      <c r="G641" s="3250" t="s">
        <v>3183</v>
      </c>
      <c r="H641" s="3253">
        <f t="shared" si="10"/>
        <v>7.7</v>
      </c>
    </row>
    <row r="642" spans="1:8">
      <c r="A642" s="3247">
        <v>640</v>
      </c>
      <c r="B642" s="3610"/>
      <c r="C642" s="3606" t="s">
        <v>3476</v>
      </c>
      <c r="D642" s="3606"/>
      <c r="E642" s="3249" t="s">
        <v>3824</v>
      </c>
      <c r="F642" s="3249">
        <f>[2]Sheet2!F643</f>
        <v>36.020000000000003</v>
      </c>
      <c r="G642" s="3250" t="s">
        <v>3183</v>
      </c>
      <c r="H642" s="3253">
        <f t="shared" si="10"/>
        <v>7.39</v>
      </c>
    </row>
    <row r="643" spans="1:8">
      <c r="A643" s="3247">
        <v>641</v>
      </c>
      <c r="B643" s="3610"/>
      <c r="C643" s="3606" t="s">
        <v>3476</v>
      </c>
      <c r="D643" s="3606"/>
      <c r="E643" s="3249" t="s">
        <v>3825</v>
      </c>
      <c r="F643" s="3249">
        <f>[2]Sheet2!F644</f>
        <v>36.020000000000003</v>
      </c>
      <c r="G643" s="3250" t="s">
        <v>3183</v>
      </c>
      <c r="H643" s="3253">
        <f t="shared" si="10"/>
        <v>7.39</v>
      </c>
    </row>
    <row r="644" spans="1:8">
      <c r="A644" s="3247">
        <v>642</v>
      </c>
      <c r="B644" s="3610"/>
      <c r="C644" s="3606" t="s">
        <v>3476</v>
      </c>
      <c r="D644" s="3606"/>
      <c r="E644" s="3249" t="s">
        <v>3826</v>
      </c>
      <c r="F644" s="3249">
        <f>[2]Sheet2!F645</f>
        <v>36.020000000000003</v>
      </c>
      <c r="G644" s="3250" t="s">
        <v>3183</v>
      </c>
      <c r="H644" s="3253">
        <f t="shared" si="10"/>
        <v>7.39</v>
      </c>
    </row>
    <row r="645" spans="1:8">
      <c r="A645" s="3247">
        <v>643</v>
      </c>
      <c r="B645" s="3610"/>
      <c r="C645" s="3606" t="s">
        <v>3476</v>
      </c>
      <c r="D645" s="3606"/>
      <c r="E645" s="3249" t="s">
        <v>3827</v>
      </c>
      <c r="F645" s="3249">
        <f>[2]Sheet2!F646</f>
        <v>36.020000000000003</v>
      </c>
      <c r="G645" s="3250" t="s">
        <v>3183</v>
      </c>
      <c r="H645" s="3253">
        <f t="shared" si="10"/>
        <v>7.39</v>
      </c>
    </row>
    <row r="646" spans="1:8">
      <c r="A646" s="3247">
        <v>644</v>
      </c>
      <c r="B646" s="3610"/>
      <c r="C646" s="3606" t="s">
        <v>3476</v>
      </c>
      <c r="D646" s="3606"/>
      <c r="E646" s="3249" t="s">
        <v>3828</v>
      </c>
      <c r="F646" s="3249">
        <f>[2]Sheet2!F647</f>
        <v>36.020000000000003</v>
      </c>
      <c r="G646" s="3250" t="s">
        <v>3183</v>
      </c>
      <c r="H646" s="3253">
        <f t="shared" si="10"/>
        <v>7.39</v>
      </c>
    </row>
    <row r="647" spans="1:8">
      <c r="A647" s="3247">
        <v>645</v>
      </c>
      <c r="B647" s="3610"/>
      <c r="C647" s="3606" t="s">
        <v>3476</v>
      </c>
      <c r="D647" s="3606"/>
      <c r="E647" s="3249" t="s">
        <v>3829</v>
      </c>
      <c r="F647" s="3249">
        <f>[2]Sheet2!F648</f>
        <v>36.020000000000003</v>
      </c>
      <c r="G647" s="3250" t="s">
        <v>3183</v>
      </c>
      <c r="H647" s="3253">
        <f t="shared" si="10"/>
        <v>7.39</v>
      </c>
    </row>
    <row r="648" spans="1:8">
      <c r="A648" s="3247">
        <v>646</v>
      </c>
      <c r="B648" s="3610"/>
      <c r="C648" s="3606" t="s">
        <v>3476</v>
      </c>
      <c r="D648" s="3606"/>
      <c r="E648" s="3249" t="s">
        <v>3830</v>
      </c>
      <c r="F648" s="3249">
        <f>[2]Sheet2!F649</f>
        <v>36.020000000000003</v>
      </c>
      <c r="G648" s="3250" t="s">
        <v>3183</v>
      </c>
      <c r="H648" s="3253">
        <f t="shared" si="10"/>
        <v>7.39</v>
      </c>
    </row>
    <row r="649" spans="1:8">
      <c r="A649" s="3247">
        <v>647</v>
      </c>
      <c r="B649" s="3610"/>
      <c r="C649" s="3606" t="s">
        <v>3476</v>
      </c>
      <c r="D649" s="3606"/>
      <c r="E649" s="3249" t="s">
        <v>3831</v>
      </c>
      <c r="F649" s="3249">
        <f>[2]Sheet2!F650</f>
        <v>36.020000000000003</v>
      </c>
      <c r="G649" s="3250" t="s">
        <v>3183</v>
      </c>
      <c r="H649" s="3253">
        <f t="shared" si="10"/>
        <v>7.39</v>
      </c>
    </row>
    <row r="650" spans="1:8">
      <c r="A650" s="3247">
        <v>648</v>
      </c>
      <c r="B650" s="3610"/>
      <c r="C650" s="3606" t="s">
        <v>3476</v>
      </c>
      <c r="D650" s="3606"/>
      <c r="E650" s="3249" t="s">
        <v>3832</v>
      </c>
      <c r="F650" s="3249">
        <f>[2]Sheet2!F651</f>
        <v>36.020000000000003</v>
      </c>
      <c r="G650" s="3250" t="s">
        <v>3183</v>
      </c>
      <c r="H650" s="3253">
        <f t="shared" si="10"/>
        <v>7.39</v>
      </c>
    </row>
    <row r="651" spans="1:8">
      <c r="A651" s="3247">
        <v>649</v>
      </c>
      <c r="B651" s="3610"/>
      <c r="C651" s="3606" t="s">
        <v>3476</v>
      </c>
      <c r="D651" s="3606"/>
      <c r="E651" s="3249" t="s">
        <v>3833</v>
      </c>
      <c r="F651" s="3249">
        <f>[2]Sheet2!F652</f>
        <v>36.020000000000003</v>
      </c>
      <c r="G651" s="3250" t="s">
        <v>3183</v>
      </c>
      <c r="H651" s="3253">
        <f t="shared" si="10"/>
        <v>7.39</v>
      </c>
    </row>
    <row r="652" spans="1:8">
      <c r="A652" s="3247">
        <v>650</v>
      </c>
      <c r="B652" s="3610"/>
      <c r="C652" s="3606" t="s">
        <v>3476</v>
      </c>
      <c r="D652" s="3606"/>
      <c r="E652" s="3249" t="s">
        <v>3834</v>
      </c>
      <c r="F652" s="3249">
        <f>[2]Sheet2!F653</f>
        <v>36.020000000000003</v>
      </c>
      <c r="G652" s="3250" t="s">
        <v>3183</v>
      </c>
      <c r="H652" s="3253">
        <f t="shared" si="10"/>
        <v>7.39</v>
      </c>
    </row>
    <row r="653" spans="1:8">
      <c r="A653" s="3247">
        <v>651</v>
      </c>
      <c r="B653" s="3610"/>
      <c r="C653" s="3606" t="s">
        <v>3476</v>
      </c>
      <c r="D653" s="3606"/>
      <c r="E653" s="3249" t="s">
        <v>3835</v>
      </c>
      <c r="F653" s="3249">
        <f>[2]Sheet2!F654</f>
        <v>36.020000000000003</v>
      </c>
      <c r="G653" s="3250" t="s">
        <v>3183</v>
      </c>
      <c r="H653" s="3253">
        <f t="shared" si="10"/>
        <v>7.39</v>
      </c>
    </row>
    <row r="654" spans="1:8">
      <c r="A654" s="3247">
        <v>652</v>
      </c>
      <c r="B654" s="3610"/>
      <c r="C654" s="3606" t="s">
        <v>3476</v>
      </c>
      <c r="D654" s="3606"/>
      <c r="E654" s="3249" t="s">
        <v>3836</v>
      </c>
      <c r="F654" s="3249">
        <f>[2]Sheet2!F655</f>
        <v>37.520000000000003</v>
      </c>
      <c r="G654" s="3250" t="s">
        <v>3183</v>
      </c>
      <c r="H654" s="3253">
        <f t="shared" si="10"/>
        <v>7.7</v>
      </c>
    </row>
    <row r="655" spans="1:8">
      <c r="A655" s="3247">
        <v>653</v>
      </c>
      <c r="B655" s="3610"/>
      <c r="C655" s="3606" t="s">
        <v>3476</v>
      </c>
      <c r="D655" s="3606"/>
      <c r="E655" s="3249" t="s">
        <v>3837</v>
      </c>
      <c r="F655" s="3249">
        <f>[2]Sheet2!F656</f>
        <v>37.520000000000003</v>
      </c>
      <c r="G655" s="3250" t="s">
        <v>3183</v>
      </c>
      <c r="H655" s="3253">
        <f t="shared" si="10"/>
        <v>7.7</v>
      </c>
    </row>
    <row r="656" spans="1:8">
      <c r="A656" s="3247">
        <v>654</v>
      </c>
      <c r="B656" s="3610"/>
      <c r="C656" s="3606" t="s">
        <v>3476</v>
      </c>
      <c r="D656" s="3606"/>
      <c r="E656" s="3249" t="s">
        <v>3838</v>
      </c>
      <c r="F656" s="3249">
        <f>[2]Sheet2!F657</f>
        <v>37.520000000000003</v>
      </c>
      <c r="G656" s="3250" t="s">
        <v>3183</v>
      </c>
      <c r="H656" s="3253">
        <f t="shared" si="10"/>
        <v>7.7</v>
      </c>
    </row>
    <row r="657" spans="1:8">
      <c r="A657" s="3247">
        <v>655</v>
      </c>
      <c r="B657" s="3610"/>
      <c r="C657" s="3606" t="s">
        <v>3476</v>
      </c>
      <c r="D657" s="3606"/>
      <c r="E657" s="3249" t="s">
        <v>3839</v>
      </c>
      <c r="F657" s="3249">
        <f>[2]Sheet2!F658</f>
        <v>42.21</v>
      </c>
      <c r="G657" s="3250" t="s">
        <v>3183</v>
      </c>
      <c r="H657" s="3253">
        <f t="shared" si="10"/>
        <v>8.66</v>
      </c>
    </row>
    <row r="658" spans="1:8">
      <c r="A658" s="3247">
        <v>656</v>
      </c>
      <c r="B658" s="3610"/>
      <c r="C658" s="3606" t="s">
        <v>3476</v>
      </c>
      <c r="D658" s="3606"/>
      <c r="E658" s="3249" t="s">
        <v>3840</v>
      </c>
      <c r="F658" s="3249">
        <f>[2]Sheet2!F659</f>
        <v>39.090000000000003</v>
      </c>
      <c r="G658" s="3250" t="s">
        <v>3183</v>
      </c>
      <c r="H658" s="3253">
        <f t="shared" si="10"/>
        <v>8.02</v>
      </c>
    </row>
    <row r="659" spans="1:8">
      <c r="A659" s="3247">
        <v>657</v>
      </c>
      <c r="B659" s="3610"/>
      <c r="C659" s="3606" t="s">
        <v>3476</v>
      </c>
      <c r="D659" s="3606"/>
      <c r="E659" s="3249" t="s">
        <v>3841</v>
      </c>
      <c r="F659" s="3249">
        <f>[2]Sheet2!F660</f>
        <v>39.090000000000003</v>
      </c>
      <c r="G659" s="3250" t="s">
        <v>3183</v>
      </c>
      <c r="H659" s="3253">
        <f t="shared" si="10"/>
        <v>8.02</v>
      </c>
    </row>
    <row r="660" spans="1:8">
      <c r="A660" s="3247">
        <v>658</v>
      </c>
      <c r="B660" s="3610"/>
      <c r="C660" s="3606" t="s">
        <v>3476</v>
      </c>
      <c r="D660" s="3606"/>
      <c r="E660" s="3249" t="s">
        <v>3842</v>
      </c>
      <c r="F660" s="3249">
        <f>[2]Sheet2!F661</f>
        <v>39.090000000000003</v>
      </c>
      <c r="G660" s="3250" t="s">
        <v>3183</v>
      </c>
      <c r="H660" s="3253">
        <f t="shared" si="10"/>
        <v>8.02</v>
      </c>
    </row>
    <row r="661" spans="1:8">
      <c r="A661" s="3247">
        <v>659</v>
      </c>
      <c r="B661" s="3610"/>
      <c r="C661" s="3606" t="s">
        <v>3476</v>
      </c>
      <c r="D661" s="3606"/>
      <c r="E661" s="3249" t="s">
        <v>3843</v>
      </c>
      <c r="F661" s="3249">
        <f>[2]Sheet2!F662</f>
        <v>37.520000000000003</v>
      </c>
      <c r="G661" s="3250" t="s">
        <v>3183</v>
      </c>
      <c r="H661" s="3253">
        <f t="shared" si="10"/>
        <v>7.7</v>
      </c>
    </row>
    <row r="662" spans="1:8">
      <c r="A662" s="3247">
        <v>660</v>
      </c>
      <c r="B662" s="3610"/>
      <c r="C662" s="3606" t="s">
        <v>3476</v>
      </c>
      <c r="D662" s="3606"/>
      <c r="E662" s="3249" t="s">
        <v>3844</v>
      </c>
      <c r="F662" s="3249">
        <f>[2]Sheet2!F663</f>
        <v>37.520000000000003</v>
      </c>
      <c r="G662" s="3250" t="s">
        <v>3183</v>
      </c>
      <c r="H662" s="3253">
        <f t="shared" si="10"/>
        <v>7.7</v>
      </c>
    </row>
    <row r="663" spans="1:8">
      <c r="A663" s="3247">
        <v>661</v>
      </c>
      <c r="B663" s="3610"/>
      <c r="C663" s="3606" t="s">
        <v>3476</v>
      </c>
      <c r="D663" s="3606"/>
      <c r="E663" s="3249" t="s">
        <v>3845</v>
      </c>
      <c r="F663" s="3249">
        <f>[2]Sheet2!F664</f>
        <v>37.520000000000003</v>
      </c>
      <c r="G663" s="3250" t="s">
        <v>3183</v>
      </c>
      <c r="H663" s="3253">
        <f t="shared" si="10"/>
        <v>7.7</v>
      </c>
    </row>
    <row r="664" spans="1:8">
      <c r="A664" s="3247">
        <v>662</v>
      </c>
      <c r="B664" s="3610"/>
      <c r="C664" s="3606" t="s">
        <v>3476</v>
      </c>
      <c r="D664" s="3606"/>
      <c r="E664" s="3249" t="s">
        <v>3846</v>
      </c>
      <c r="F664" s="3249">
        <f>[2]Sheet2!F665</f>
        <v>39.090000000000003</v>
      </c>
      <c r="G664" s="3250" t="s">
        <v>3183</v>
      </c>
      <c r="H664" s="3253">
        <f t="shared" si="10"/>
        <v>8.02</v>
      </c>
    </row>
    <row r="665" spans="1:8">
      <c r="A665" s="3247">
        <v>663</v>
      </c>
      <c r="B665" s="3610"/>
      <c r="C665" s="3606" t="s">
        <v>3476</v>
      </c>
      <c r="D665" s="3606"/>
      <c r="E665" s="3249" t="s">
        <v>3847</v>
      </c>
      <c r="F665" s="3249">
        <f>[2]Sheet2!F666</f>
        <v>39.090000000000003</v>
      </c>
      <c r="G665" s="3250" t="s">
        <v>3183</v>
      </c>
      <c r="H665" s="3253">
        <f t="shared" si="10"/>
        <v>8.02</v>
      </c>
    </row>
    <row r="666" spans="1:8">
      <c r="A666" s="3247">
        <v>664</v>
      </c>
      <c r="B666" s="3610"/>
      <c r="C666" s="3606" t="s">
        <v>3476</v>
      </c>
      <c r="D666" s="3606"/>
      <c r="E666" s="3249" t="s">
        <v>3848</v>
      </c>
      <c r="F666" s="3249">
        <f>[2]Sheet2!F667</f>
        <v>39.090000000000003</v>
      </c>
      <c r="G666" s="3250" t="s">
        <v>3183</v>
      </c>
      <c r="H666" s="3253">
        <f t="shared" si="10"/>
        <v>8.02</v>
      </c>
    </row>
    <row r="667" spans="1:8">
      <c r="A667" s="3247">
        <v>665</v>
      </c>
      <c r="B667" s="3610"/>
      <c r="C667" s="3606" t="s">
        <v>3476</v>
      </c>
      <c r="D667" s="3606"/>
      <c r="E667" s="3249" t="s">
        <v>3849</v>
      </c>
      <c r="F667" s="3249">
        <f>[2]Sheet2!F668</f>
        <v>39.090000000000003</v>
      </c>
      <c r="G667" s="3250" t="s">
        <v>3183</v>
      </c>
      <c r="H667" s="3253">
        <f t="shared" si="10"/>
        <v>8.02</v>
      </c>
    </row>
    <row r="668" spans="1:8">
      <c r="A668" s="3247">
        <v>666</v>
      </c>
      <c r="B668" s="3610"/>
      <c r="C668" s="3606" t="s">
        <v>3476</v>
      </c>
      <c r="D668" s="3606"/>
      <c r="E668" s="3249" t="s">
        <v>3850</v>
      </c>
      <c r="F668" s="3249">
        <f>[2]Sheet2!F669</f>
        <v>39.090000000000003</v>
      </c>
      <c r="G668" s="3250" t="s">
        <v>3183</v>
      </c>
      <c r="H668" s="3253">
        <f t="shared" si="10"/>
        <v>8.02</v>
      </c>
    </row>
    <row r="669" spans="1:8">
      <c r="A669" s="3247">
        <v>667</v>
      </c>
      <c r="B669" s="3610"/>
      <c r="C669" s="3606" t="s">
        <v>3476</v>
      </c>
      <c r="D669" s="3606"/>
      <c r="E669" s="3249" t="s">
        <v>3851</v>
      </c>
      <c r="F669" s="3249">
        <f>[2]Sheet2!F670</f>
        <v>37.520000000000003</v>
      </c>
      <c r="G669" s="3250" t="s">
        <v>3183</v>
      </c>
      <c r="H669" s="3253">
        <f t="shared" si="10"/>
        <v>7.7</v>
      </c>
    </row>
    <row r="670" spans="1:8">
      <c r="A670" s="3247">
        <v>668</v>
      </c>
      <c r="B670" s="3610"/>
      <c r="C670" s="3606" t="s">
        <v>3476</v>
      </c>
      <c r="D670" s="3606"/>
      <c r="E670" s="3249" t="s">
        <v>3852</v>
      </c>
      <c r="F670" s="3249">
        <f>[2]Sheet2!F671</f>
        <v>37.520000000000003</v>
      </c>
      <c r="G670" s="3250" t="s">
        <v>3183</v>
      </c>
      <c r="H670" s="3253">
        <f t="shared" si="10"/>
        <v>7.7</v>
      </c>
    </row>
    <row r="671" spans="1:8">
      <c r="A671" s="3247">
        <v>669</v>
      </c>
      <c r="B671" s="3610"/>
      <c r="C671" s="3606" t="s">
        <v>3476</v>
      </c>
      <c r="D671" s="3606"/>
      <c r="E671" s="3249" t="s">
        <v>3853</v>
      </c>
      <c r="F671" s="3249">
        <f>[2]Sheet2!F672</f>
        <v>39.090000000000003</v>
      </c>
      <c r="G671" s="3250" t="s">
        <v>3183</v>
      </c>
      <c r="H671" s="3253">
        <f t="shared" si="10"/>
        <v>8.02</v>
      </c>
    </row>
    <row r="672" spans="1:8">
      <c r="A672" s="3247">
        <v>670</v>
      </c>
      <c r="B672" s="3610"/>
      <c r="C672" s="3606" t="s">
        <v>3476</v>
      </c>
      <c r="D672" s="3606"/>
      <c r="E672" s="3249" t="s">
        <v>3854</v>
      </c>
      <c r="F672" s="3249">
        <f>[2]Sheet2!F673</f>
        <v>37.520000000000003</v>
      </c>
      <c r="G672" s="3250" t="s">
        <v>3183</v>
      </c>
      <c r="H672" s="3253">
        <f t="shared" si="10"/>
        <v>7.7</v>
      </c>
    </row>
    <row r="673" spans="1:8">
      <c r="A673" s="3247">
        <v>671</v>
      </c>
      <c r="B673" s="3610"/>
      <c r="C673" s="3606" t="s">
        <v>3476</v>
      </c>
      <c r="D673" s="3606"/>
      <c r="E673" s="3249" t="s">
        <v>3855</v>
      </c>
      <c r="F673" s="3249">
        <f>[2]Sheet2!F674</f>
        <v>37.520000000000003</v>
      </c>
      <c r="G673" s="3250" t="s">
        <v>3183</v>
      </c>
      <c r="H673" s="3253">
        <f t="shared" si="10"/>
        <v>7.7</v>
      </c>
    </row>
    <row r="674" spans="1:8">
      <c r="A674" s="3247">
        <v>672</v>
      </c>
      <c r="B674" s="3610"/>
      <c r="C674" s="3606" t="s">
        <v>3476</v>
      </c>
      <c r="D674" s="3606"/>
      <c r="E674" s="3249" t="s">
        <v>3856</v>
      </c>
      <c r="F674" s="3249">
        <f>[2]Sheet2!F675</f>
        <v>37.520000000000003</v>
      </c>
      <c r="G674" s="3250" t="s">
        <v>3183</v>
      </c>
      <c r="H674" s="3253">
        <f t="shared" si="10"/>
        <v>7.7</v>
      </c>
    </row>
    <row r="675" spans="1:8">
      <c r="A675" s="3247">
        <v>673</v>
      </c>
      <c r="B675" s="3610"/>
      <c r="C675" s="3606" t="s">
        <v>3476</v>
      </c>
      <c r="D675" s="3606"/>
      <c r="E675" s="3249" t="s">
        <v>3857</v>
      </c>
      <c r="F675" s="3249">
        <f>[2]Sheet2!F676</f>
        <v>37.520000000000003</v>
      </c>
      <c r="G675" s="3250" t="s">
        <v>3183</v>
      </c>
      <c r="H675" s="3253">
        <f t="shared" si="10"/>
        <v>7.7</v>
      </c>
    </row>
    <row r="676" spans="1:8">
      <c r="A676" s="3247">
        <v>674</v>
      </c>
      <c r="B676" s="3610"/>
      <c r="C676" s="3606" t="s">
        <v>3476</v>
      </c>
      <c r="D676" s="3606"/>
      <c r="E676" s="3249" t="s">
        <v>3858</v>
      </c>
      <c r="F676" s="3249">
        <f>[2]Sheet2!F677</f>
        <v>37.520000000000003</v>
      </c>
      <c r="G676" s="3250" t="s">
        <v>3183</v>
      </c>
      <c r="H676" s="3253">
        <f t="shared" si="10"/>
        <v>7.7</v>
      </c>
    </row>
    <row r="677" spans="1:8">
      <c r="A677" s="3247">
        <v>675</v>
      </c>
      <c r="B677" s="3610"/>
      <c r="C677" s="3606" t="s">
        <v>3476</v>
      </c>
      <c r="D677" s="3606"/>
      <c r="E677" s="3249" t="s">
        <v>3859</v>
      </c>
      <c r="F677" s="3249">
        <f>[2]Sheet2!F678</f>
        <v>37.520000000000003</v>
      </c>
      <c r="G677" s="3250" t="s">
        <v>3183</v>
      </c>
      <c r="H677" s="3253">
        <f t="shared" si="10"/>
        <v>7.7</v>
      </c>
    </row>
    <row r="678" spans="1:8">
      <c r="A678" s="3247">
        <v>676</v>
      </c>
      <c r="B678" s="3610"/>
      <c r="C678" s="3606" t="s">
        <v>3476</v>
      </c>
      <c r="D678" s="3606"/>
      <c r="E678" s="3249" t="s">
        <v>3860</v>
      </c>
      <c r="F678" s="3249">
        <f>[2]Sheet2!F679</f>
        <v>39.090000000000003</v>
      </c>
      <c r="G678" s="3250" t="s">
        <v>3183</v>
      </c>
      <c r="H678" s="3253">
        <f t="shared" si="10"/>
        <v>8.02</v>
      </c>
    </row>
    <row r="679" spans="1:8">
      <c r="A679" s="3247">
        <v>677</v>
      </c>
      <c r="B679" s="3610"/>
      <c r="C679" s="3606" t="s">
        <v>3476</v>
      </c>
      <c r="D679" s="3606"/>
      <c r="E679" s="3249" t="s">
        <v>3861</v>
      </c>
      <c r="F679" s="3249">
        <f>[2]Sheet2!F680</f>
        <v>39.090000000000003</v>
      </c>
      <c r="G679" s="3250" t="s">
        <v>3183</v>
      </c>
      <c r="H679" s="3253">
        <f t="shared" si="10"/>
        <v>8.02</v>
      </c>
    </row>
    <row r="680" spans="1:8">
      <c r="A680" s="3247">
        <v>678</v>
      </c>
      <c r="B680" s="3610"/>
      <c r="C680" s="3606" t="s">
        <v>3476</v>
      </c>
      <c r="D680" s="3606"/>
      <c r="E680" s="3249" t="s">
        <v>3862</v>
      </c>
      <c r="F680" s="3249">
        <f>[2]Sheet2!F681</f>
        <v>37.520000000000003</v>
      </c>
      <c r="G680" s="3250" t="s">
        <v>3183</v>
      </c>
      <c r="H680" s="3253">
        <f t="shared" ref="H680:H743" si="11">ROUND(F680/$J$5*$K$5,2)</f>
        <v>7.7</v>
      </c>
    </row>
    <row r="681" spans="1:8">
      <c r="A681" s="3247">
        <v>679</v>
      </c>
      <c r="B681" s="3610"/>
      <c r="C681" s="3606" t="s">
        <v>3476</v>
      </c>
      <c r="D681" s="3606"/>
      <c r="E681" s="3249" t="s">
        <v>3863</v>
      </c>
      <c r="F681" s="3249">
        <f>[2]Sheet2!F682</f>
        <v>37.520000000000003</v>
      </c>
      <c r="G681" s="3250" t="s">
        <v>3183</v>
      </c>
      <c r="H681" s="3253">
        <f t="shared" si="11"/>
        <v>7.7</v>
      </c>
    </row>
    <row r="682" spans="1:8">
      <c r="A682" s="3247">
        <v>680</v>
      </c>
      <c r="B682" s="3610"/>
      <c r="C682" s="3606" t="s">
        <v>3476</v>
      </c>
      <c r="D682" s="3606"/>
      <c r="E682" s="3249" t="s">
        <v>3864</v>
      </c>
      <c r="F682" s="3249">
        <f>[2]Sheet2!F683</f>
        <v>48.78</v>
      </c>
      <c r="G682" s="3250" t="s">
        <v>3183</v>
      </c>
      <c r="H682" s="3253">
        <f t="shared" si="11"/>
        <v>10.01</v>
      </c>
    </row>
    <row r="683" spans="1:8">
      <c r="A683" s="3247">
        <v>681</v>
      </c>
      <c r="B683" s="3610"/>
      <c r="C683" s="3606" t="s">
        <v>3476</v>
      </c>
      <c r="D683" s="3606"/>
      <c r="E683" s="3249" t="s">
        <v>3865</v>
      </c>
      <c r="F683" s="3249">
        <f>[2]Sheet2!F684</f>
        <v>36.020000000000003</v>
      </c>
      <c r="G683" s="3250" t="s">
        <v>3183</v>
      </c>
      <c r="H683" s="3253">
        <f t="shared" si="11"/>
        <v>7.39</v>
      </c>
    </row>
    <row r="684" spans="1:8">
      <c r="A684" s="3247">
        <v>682</v>
      </c>
      <c r="B684" s="3610"/>
      <c r="C684" s="3606" t="s">
        <v>3476</v>
      </c>
      <c r="D684" s="3606"/>
      <c r="E684" s="3249" t="s">
        <v>3866</v>
      </c>
      <c r="F684" s="3249">
        <f>[2]Sheet2!F685</f>
        <v>36.020000000000003</v>
      </c>
      <c r="G684" s="3250" t="s">
        <v>3183</v>
      </c>
      <c r="H684" s="3253">
        <f t="shared" si="11"/>
        <v>7.39</v>
      </c>
    </row>
    <row r="685" spans="1:8">
      <c r="A685" s="3247">
        <v>683</v>
      </c>
      <c r="B685" s="3610"/>
      <c r="C685" s="3606" t="s">
        <v>3476</v>
      </c>
      <c r="D685" s="3606"/>
      <c r="E685" s="3249" t="s">
        <v>3867</v>
      </c>
      <c r="F685" s="3249">
        <f>[2]Sheet2!F686</f>
        <v>36.020000000000003</v>
      </c>
      <c r="G685" s="3250" t="s">
        <v>3183</v>
      </c>
      <c r="H685" s="3253">
        <f t="shared" si="11"/>
        <v>7.39</v>
      </c>
    </row>
    <row r="686" spans="1:8">
      <c r="A686" s="3247">
        <v>684</v>
      </c>
      <c r="B686" s="3610"/>
      <c r="C686" s="3606" t="s">
        <v>3476</v>
      </c>
      <c r="D686" s="3606"/>
      <c r="E686" s="3249" t="s">
        <v>3868</v>
      </c>
      <c r="F686" s="3249">
        <f>[2]Sheet2!F687</f>
        <v>36.020000000000003</v>
      </c>
      <c r="G686" s="3250" t="s">
        <v>3183</v>
      </c>
      <c r="H686" s="3253">
        <f t="shared" si="11"/>
        <v>7.39</v>
      </c>
    </row>
    <row r="687" spans="1:8">
      <c r="A687" s="3247">
        <v>685</v>
      </c>
      <c r="B687" s="3610"/>
      <c r="C687" s="3606" t="s">
        <v>3476</v>
      </c>
      <c r="D687" s="3606"/>
      <c r="E687" s="3249" t="s">
        <v>3869</v>
      </c>
      <c r="F687" s="3249">
        <f>[2]Sheet2!F688</f>
        <v>36.020000000000003</v>
      </c>
      <c r="G687" s="3250" t="s">
        <v>3183</v>
      </c>
      <c r="H687" s="3253">
        <f t="shared" si="11"/>
        <v>7.39</v>
      </c>
    </row>
    <row r="688" spans="1:8">
      <c r="A688" s="3247">
        <v>686</v>
      </c>
      <c r="B688" s="3610"/>
      <c r="C688" s="3606" t="s">
        <v>3476</v>
      </c>
      <c r="D688" s="3606"/>
      <c r="E688" s="3249" t="s">
        <v>3870</v>
      </c>
      <c r="F688" s="3249">
        <f>[2]Sheet2!F689</f>
        <v>36.020000000000003</v>
      </c>
      <c r="G688" s="3250" t="s">
        <v>3183</v>
      </c>
      <c r="H688" s="3253">
        <f t="shared" si="11"/>
        <v>7.39</v>
      </c>
    </row>
    <row r="689" spans="1:8">
      <c r="A689" s="3247">
        <v>687</v>
      </c>
      <c r="B689" s="3610"/>
      <c r="C689" s="3606" t="s">
        <v>3476</v>
      </c>
      <c r="D689" s="3606"/>
      <c r="E689" s="3249" t="s">
        <v>3871</v>
      </c>
      <c r="F689" s="3249">
        <f>[2]Sheet2!F690</f>
        <v>37.520000000000003</v>
      </c>
      <c r="G689" s="3250" t="s">
        <v>3183</v>
      </c>
      <c r="H689" s="3253">
        <f t="shared" si="11"/>
        <v>7.7</v>
      </c>
    </row>
    <row r="690" spans="1:8">
      <c r="A690" s="3247">
        <v>688</v>
      </c>
      <c r="B690" s="3610"/>
      <c r="C690" s="3606" t="s">
        <v>3476</v>
      </c>
      <c r="D690" s="3606"/>
      <c r="E690" s="3249" t="s">
        <v>3872</v>
      </c>
      <c r="F690" s="3249">
        <f>[2]Sheet2!F691</f>
        <v>37.520000000000003</v>
      </c>
      <c r="G690" s="3250" t="s">
        <v>3183</v>
      </c>
      <c r="H690" s="3253">
        <f t="shared" si="11"/>
        <v>7.7</v>
      </c>
    </row>
    <row r="691" spans="1:8">
      <c r="A691" s="3247">
        <v>689</v>
      </c>
      <c r="B691" s="3610"/>
      <c r="C691" s="3606" t="s">
        <v>3476</v>
      </c>
      <c r="D691" s="3606"/>
      <c r="E691" s="3249" t="s">
        <v>3873</v>
      </c>
      <c r="F691" s="3249">
        <f>[2]Sheet2!F692</f>
        <v>37.520000000000003</v>
      </c>
      <c r="G691" s="3250" t="s">
        <v>3183</v>
      </c>
      <c r="H691" s="3253">
        <f t="shared" si="11"/>
        <v>7.7</v>
      </c>
    </row>
    <row r="692" spans="1:8">
      <c r="A692" s="3247">
        <v>690</v>
      </c>
      <c r="B692" s="3610"/>
      <c r="C692" s="3606" t="s">
        <v>3476</v>
      </c>
      <c r="D692" s="3606"/>
      <c r="E692" s="3249" t="s">
        <v>3874</v>
      </c>
      <c r="F692" s="3249">
        <f>[2]Sheet2!F693</f>
        <v>39.090000000000003</v>
      </c>
      <c r="G692" s="3250" t="s">
        <v>3183</v>
      </c>
      <c r="H692" s="3253">
        <f t="shared" si="11"/>
        <v>8.02</v>
      </c>
    </row>
    <row r="693" spans="1:8">
      <c r="A693" s="3247">
        <v>691</v>
      </c>
      <c r="B693" s="3610"/>
      <c r="C693" s="3606" t="s">
        <v>3476</v>
      </c>
      <c r="D693" s="3606"/>
      <c r="E693" s="3249" t="s">
        <v>3875</v>
      </c>
      <c r="F693" s="3249">
        <f>[2]Sheet2!F694</f>
        <v>39.090000000000003</v>
      </c>
      <c r="G693" s="3250" t="s">
        <v>3183</v>
      </c>
      <c r="H693" s="3253">
        <f t="shared" si="11"/>
        <v>8.02</v>
      </c>
    </row>
    <row r="694" spans="1:8">
      <c r="A694" s="3247">
        <v>692</v>
      </c>
      <c r="B694" s="3610"/>
      <c r="C694" s="3606" t="s">
        <v>3476</v>
      </c>
      <c r="D694" s="3606"/>
      <c r="E694" s="3249" t="s">
        <v>3876</v>
      </c>
      <c r="F694" s="3249">
        <f>[2]Sheet2!F695</f>
        <v>39.090000000000003</v>
      </c>
      <c r="G694" s="3250" t="s">
        <v>3183</v>
      </c>
      <c r="H694" s="3253">
        <f t="shared" si="11"/>
        <v>8.02</v>
      </c>
    </row>
    <row r="695" spans="1:8">
      <c r="A695" s="3247">
        <v>693</v>
      </c>
      <c r="B695" s="3610"/>
      <c r="C695" s="3606" t="s">
        <v>3476</v>
      </c>
      <c r="D695" s="3606"/>
      <c r="E695" s="3249" t="s">
        <v>3877</v>
      </c>
      <c r="F695" s="3249">
        <f>[2]Sheet2!F696</f>
        <v>37.4</v>
      </c>
      <c r="G695" s="3250" t="s">
        <v>3183</v>
      </c>
      <c r="H695" s="3253">
        <f t="shared" si="11"/>
        <v>7.68</v>
      </c>
    </row>
    <row r="696" spans="1:8">
      <c r="A696" s="3247">
        <v>694</v>
      </c>
      <c r="B696" s="3610"/>
      <c r="C696" s="3606" t="s">
        <v>3476</v>
      </c>
      <c r="D696" s="3606"/>
      <c r="E696" s="3249" t="s">
        <v>3878</v>
      </c>
      <c r="F696" s="3249">
        <f>[2]Sheet2!F697</f>
        <v>39.840000000000003</v>
      </c>
      <c r="G696" s="3250" t="s">
        <v>3183</v>
      </c>
      <c r="H696" s="3253">
        <f t="shared" si="11"/>
        <v>8.18</v>
      </c>
    </row>
    <row r="697" spans="1:8">
      <c r="A697" s="3247">
        <v>695</v>
      </c>
      <c r="B697" s="3610"/>
      <c r="C697" s="3606" t="s">
        <v>3476</v>
      </c>
      <c r="D697" s="3606"/>
      <c r="E697" s="3249" t="s">
        <v>3879</v>
      </c>
      <c r="F697" s="3249">
        <f>[2]Sheet2!F698</f>
        <v>45.34</v>
      </c>
      <c r="G697" s="3250" t="s">
        <v>3183</v>
      </c>
      <c r="H697" s="3253">
        <f t="shared" si="11"/>
        <v>9.31</v>
      </c>
    </row>
    <row r="698" spans="1:8">
      <c r="A698" s="3247">
        <v>696</v>
      </c>
      <c r="B698" s="3610"/>
      <c r="C698" s="3606" t="s">
        <v>3476</v>
      </c>
      <c r="D698" s="3606"/>
      <c r="E698" s="3249" t="s">
        <v>3880</v>
      </c>
      <c r="F698" s="3249">
        <f>[2]Sheet2!F699</f>
        <v>45.34</v>
      </c>
      <c r="G698" s="3250" t="s">
        <v>3183</v>
      </c>
      <c r="H698" s="3253">
        <f t="shared" si="11"/>
        <v>9.31</v>
      </c>
    </row>
    <row r="699" spans="1:8">
      <c r="A699" s="3247">
        <v>697</v>
      </c>
      <c r="B699" s="3610"/>
      <c r="C699" s="3606" t="s">
        <v>3476</v>
      </c>
      <c r="D699" s="3606"/>
      <c r="E699" s="3249" t="s">
        <v>3881</v>
      </c>
      <c r="F699" s="3249">
        <f>[2]Sheet2!F700</f>
        <v>45.34</v>
      </c>
      <c r="G699" s="3250" t="s">
        <v>3183</v>
      </c>
      <c r="H699" s="3253">
        <f t="shared" si="11"/>
        <v>9.31</v>
      </c>
    </row>
    <row r="700" spans="1:8">
      <c r="A700" s="3247">
        <v>698</v>
      </c>
      <c r="B700" s="3610"/>
      <c r="C700" s="3606" t="s">
        <v>3476</v>
      </c>
      <c r="D700" s="3606"/>
      <c r="E700" s="3249" t="s">
        <v>3882</v>
      </c>
      <c r="F700" s="3249">
        <f>[2]Sheet2!F701</f>
        <v>36.020000000000003</v>
      </c>
      <c r="G700" s="3250" t="s">
        <v>3183</v>
      </c>
      <c r="H700" s="3253">
        <f t="shared" si="11"/>
        <v>7.39</v>
      </c>
    </row>
    <row r="701" spans="1:8">
      <c r="A701" s="3247">
        <v>699</v>
      </c>
      <c r="B701" s="3610"/>
      <c r="C701" s="3606" t="s">
        <v>3476</v>
      </c>
      <c r="D701" s="3606"/>
      <c r="E701" s="3249" t="s">
        <v>3883</v>
      </c>
      <c r="F701" s="3249">
        <f>[2]Sheet2!F702</f>
        <v>36.020000000000003</v>
      </c>
      <c r="G701" s="3250" t="s">
        <v>3183</v>
      </c>
      <c r="H701" s="3253">
        <f t="shared" si="11"/>
        <v>7.39</v>
      </c>
    </row>
    <row r="702" spans="1:8">
      <c r="A702" s="3247">
        <v>700</v>
      </c>
      <c r="B702" s="3610"/>
      <c r="C702" s="3606" t="s">
        <v>3476</v>
      </c>
      <c r="D702" s="3606"/>
      <c r="E702" s="3249" t="s">
        <v>3884</v>
      </c>
      <c r="F702" s="3249">
        <f>[2]Sheet2!F703</f>
        <v>36.020000000000003</v>
      </c>
      <c r="G702" s="3250" t="s">
        <v>3183</v>
      </c>
      <c r="H702" s="3253">
        <f t="shared" si="11"/>
        <v>7.39</v>
      </c>
    </row>
    <row r="703" spans="1:8">
      <c r="A703" s="3247">
        <v>701</v>
      </c>
      <c r="B703" s="3610"/>
      <c r="C703" s="3606" t="s">
        <v>3476</v>
      </c>
      <c r="D703" s="3606"/>
      <c r="E703" s="3249" t="s">
        <v>3885</v>
      </c>
      <c r="F703" s="3249">
        <f>[2]Sheet2!F704</f>
        <v>36.020000000000003</v>
      </c>
      <c r="G703" s="3250" t="s">
        <v>3183</v>
      </c>
      <c r="H703" s="3253">
        <f t="shared" si="11"/>
        <v>7.39</v>
      </c>
    </row>
    <row r="704" spans="1:8">
      <c r="A704" s="3247">
        <v>702</v>
      </c>
      <c r="B704" s="3610"/>
      <c r="C704" s="3606" t="s">
        <v>3476</v>
      </c>
      <c r="D704" s="3606"/>
      <c r="E704" s="3249" t="s">
        <v>3886</v>
      </c>
      <c r="F704" s="3249">
        <f>[2]Sheet2!F705</f>
        <v>36.020000000000003</v>
      </c>
      <c r="G704" s="3250" t="s">
        <v>3183</v>
      </c>
      <c r="H704" s="3253">
        <f t="shared" si="11"/>
        <v>7.39</v>
      </c>
    </row>
    <row r="705" spans="1:8">
      <c r="A705" s="3247">
        <v>703</v>
      </c>
      <c r="B705" s="3610"/>
      <c r="C705" s="3606" t="s">
        <v>3476</v>
      </c>
      <c r="D705" s="3606"/>
      <c r="E705" s="3249" t="s">
        <v>3887</v>
      </c>
      <c r="F705" s="3249">
        <f>[2]Sheet2!F706</f>
        <v>36.020000000000003</v>
      </c>
      <c r="G705" s="3250" t="s">
        <v>3183</v>
      </c>
      <c r="H705" s="3253">
        <f t="shared" si="11"/>
        <v>7.39</v>
      </c>
    </row>
    <row r="706" spans="1:8">
      <c r="A706" s="3247">
        <v>704</v>
      </c>
      <c r="B706" s="3610"/>
      <c r="C706" s="3606" t="s">
        <v>3476</v>
      </c>
      <c r="D706" s="3606"/>
      <c r="E706" s="3249" t="s">
        <v>3888</v>
      </c>
      <c r="F706" s="3249">
        <f>[2]Sheet2!F707</f>
        <v>36.020000000000003</v>
      </c>
      <c r="G706" s="3250" t="s">
        <v>3183</v>
      </c>
      <c r="H706" s="3253">
        <f t="shared" si="11"/>
        <v>7.39</v>
      </c>
    </row>
    <row r="707" spans="1:8">
      <c r="A707" s="3247">
        <v>705</v>
      </c>
      <c r="B707" s="3610"/>
      <c r="C707" s="3606" t="s">
        <v>3476</v>
      </c>
      <c r="D707" s="3606"/>
      <c r="E707" s="3249" t="s">
        <v>3889</v>
      </c>
      <c r="F707" s="3249">
        <f>[2]Sheet2!F708</f>
        <v>36.020000000000003</v>
      </c>
      <c r="G707" s="3250" t="s">
        <v>3183</v>
      </c>
      <c r="H707" s="3253">
        <f t="shared" si="11"/>
        <v>7.39</v>
      </c>
    </row>
    <row r="708" spans="1:8">
      <c r="A708" s="3247">
        <v>706</v>
      </c>
      <c r="B708" s="3610"/>
      <c r="C708" s="3606" t="s">
        <v>3476</v>
      </c>
      <c r="D708" s="3606"/>
      <c r="E708" s="3249" t="s">
        <v>3890</v>
      </c>
      <c r="F708" s="3249">
        <f>[2]Sheet2!F709</f>
        <v>36.020000000000003</v>
      </c>
      <c r="G708" s="3250" t="s">
        <v>3183</v>
      </c>
      <c r="H708" s="3253">
        <f t="shared" si="11"/>
        <v>7.39</v>
      </c>
    </row>
    <row r="709" spans="1:8">
      <c r="A709" s="3247">
        <v>707</v>
      </c>
      <c r="B709" s="3610"/>
      <c r="C709" s="3606" t="s">
        <v>3476</v>
      </c>
      <c r="D709" s="3606"/>
      <c r="E709" s="3249" t="s">
        <v>3891</v>
      </c>
      <c r="F709" s="3249">
        <f>[2]Sheet2!F710</f>
        <v>36.020000000000003</v>
      </c>
      <c r="G709" s="3250" t="s">
        <v>3183</v>
      </c>
      <c r="H709" s="3253">
        <f t="shared" si="11"/>
        <v>7.39</v>
      </c>
    </row>
    <row r="710" spans="1:8">
      <c r="A710" s="3247">
        <v>708</v>
      </c>
      <c r="B710" s="3610"/>
      <c r="C710" s="3606" t="s">
        <v>3476</v>
      </c>
      <c r="D710" s="3606"/>
      <c r="E710" s="3249" t="s">
        <v>3892</v>
      </c>
      <c r="F710" s="3249">
        <f>[2]Sheet2!F711</f>
        <v>36.020000000000003</v>
      </c>
      <c r="G710" s="3250" t="s">
        <v>3183</v>
      </c>
      <c r="H710" s="3253">
        <f t="shared" si="11"/>
        <v>7.39</v>
      </c>
    </row>
    <row r="711" spans="1:8">
      <c r="A711" s="3247">
        <v>709</v>
      </c>
      <c r="B711" s="3610"/>
      <c r="C711" s="3606" t="s">
        <v>3476</v>
      </c>
      <c r="D711" s="3606"/>
      <c r="E711" s="3249" t="s">
        <v>3893</v>
      </c>
      <c r="F711" s="3249">
        <f>[2]Sheet2!F712</f>
        <v>36.020000000000003</v>
      </c>
      <c r="G711" s="3250" t="s">
        <v>3183</v>
      </c>
      <c r="H711" s="3253">
        <f t="shared" si="11"/>
        <v>7.39</v>
      </c>
    </row>
    <row r="712" spans="1:8">
      <c r="A712" s="3247">
        <v>710</v>
      </c>
      <c r="B712" s="3610"/>
      <c r="C712" s="3606" t="s">
        <v>3476</v>
      </c>
      <c r="D712" s="3606"/>
      <c r="E712" s="3249" t="s">
        <v>3894</v>
      </c>
      <c r="F712" s="3249">
        <f>[2]Sheet2!F713</f>
        <v>39.090000000000003</v>
      </c>
      <c r="G712" s="3250" t="s">
        <v>3183</v>
      </c>
      <c r="H712" s="3253">
        <f t="shared" si="11"/>
        <v>8.02</v>
      </c>
    </row>
    <row r="713" spans="1:8">
      <c r="A713" s="3247">
        <v>711</v>
      </c>
      <c r="B713" s="3610"/>
      <c r="C713" s="3606" t="s">
        <v>3476</v>
      </c>
      <c r="D713" s="3606"/>
      <c r="E713" s="3249" t="s">
        <v>3895</v>
      </c>
      <c r="F713" s="3249">
        <f>[2]Sheet2!F714</f>
        <v>39.090000000000003</v>
      </c>
      <c r="G713" s="3250" t="s">
        <v>3183</v>
      </c>
      <c r="H713" s="3253">
        <f t="shared" si="11"/>
        <v>8.02</v>
      </c>
    </row>
    <row r="714" spans="1:8">
      <c r="A714" s="3247">
        <v>712</v>
      </c>
      <c r="B714" s="3610"/>
      <c r="C714" s="3606" t="s">
        <v>3476</v>
      </c>
      <c r="D714" s="3606"/>
      <c r="E714" s="3249" t="s">
        <v>3896</v>
      </c>
      <c r="F714" s="3249">
        <f>[2]Sheet2!F715</f>
        <v>39.090000000000003</v>
      </c>
      <c r="G714" s="3250" t="s">
        <v>3183</v>
      </c>
      <c r="H714" s="3253">
        <f t="shared" si="11"/>
        <v>8.02</v>
      </c>
    </row>
    <row r="715" spans="1:8">
      <c r="A715" s="3247">
        <v>713</v>
      </c>
      <c r="B715" s="3610"/>
      <c r="C715" s="3606" t="s">
        <v>3476</v>
      </c>
      <c r="D715" s="3606"/>
      <c r="E715" s="3249" t="s">
        <v>3897</v>
      </c>
      <c r="F715" s="3249">
        <f>[2]Sheet2!F716</f>
        <v>36.020000000000003</v>
      </c>
      <c r="G715" s="3250" t="s">
        <v>3183</v>
      </c>
      <c r="H715" s="3253">
        <f t="shared" si="11"/>
        <v>7.39</v>
      </c>
    </row>
    <row r="716" spans="1:8">
      <c r="A716" s="3247">
        <v>714</v>
      </c>
      <c r="B716" s="3610"/>
      <c r="C716" s="3606" t="s">
        <v>3476</v>
      </c>
      <c r="D716" s="3606"/>
      <c r="E716" s="3249" t="s">
        <v>3898</v>
      </c>
      <c r="F716" s="3249">
        <f>[2]Sheet2!F717</f>
        <v>36.020000000000003</v>
      </c>
      <c r="G716" s="3250" t="s">
        <v>3183</v>
      </c>
      <c r="H716" s="3253">
        <f t="shared" si="11"/>
        <v>7.39</v>
      </c>
    </row>
    <row r="717" spans="1:8">
      <c r="A717" s="3247">
        <v>715</v>
      </c>
      <c r="B717" s="3610"/>
      <c r="C717" s="3606" t="s">
        <v>3476</v>
      </c>
      <c r="D717" s="3606"/>
      <c r="E717" s="3249" t="s">
        <v>3899</v>
      </c>
      <c r="F717" s="3249">
        <f>[2]Sheet2!F718</f>
        <v>36.020000000000003</v>
      </c>
      <c r="G717" s="3250" t="s">
        <v>3183</v>
      </c>
      <c r="H717" s="3253">
        <f t="shared" si="11"/>
        <v>7.39</v>
      </c>
    </row>
    <row r="718" spans="1:8">
      <c r="A718" s="3247">
        <v>716</v>
      </c>
      <c r="B718" s="3610"/>
      <c r="C718" s="3606" t="s">
        <v>3476</v>
      </c>
      <c r="D718" s="3606"/>
      <c r="E718" s="3249" t="s">
        <v>3900</v>
      </c>
      <c r="F718" s="3249">
        <f>[2]Sheet2!F719</f>
        <v>39.090000000000003</v>
      </c>
      <c r="G718" s="3250" t="s">
        <v>3183</v>
      </c>
      <c r="H718" s="3253">
        <f t="shared" si="11"/>
        <v>8.02</v>
      </c>
    </row>
    <row r="719" spans="1:8">
      <c r="A719" s="3247">
        <v>717</v>
      </c>
      <c r="B719" s="3610"/>
      <c r="C719" s="3606" t="s">
        <v>3476</v>
      </c>
      <c r="D719" s="3606"/>
      <c r="E719" s="3249" t="s">
        <v>3901</v>
      </c>
      <c r="F719" s="3249">
        <f>[2]Sheet2!F720</f>
        <v>39.090000000000003</v>
      </c>
      <c r="G719" s="3250" t="s">
        <v>3183</v>
      </c>
      <c r="H719" s="3253">
        <f t="shared" si="11"/>
        <v>8.02</v>
      </c>
    </row>
    <row r="720" spans="1:8">
      <c r="A720" s="3247">
        <v>718</v>
      </c>
      <c r="B720" s="3610"/>
      <c r="C720" s="3606" t="s">
        <v>3476</v>
      </c>
      <c r="D720" s="3606"/>
      <c r="E720" s="3249" t="s">
        <v>3902</v>
      </c>
      <c r="F720" s="3249">
        <f>[2]Sheet2!F721</f>
        <v>39.090000000000003</v>
      </c>
      <c r="G720" s="3250" t="s">
        <v>3183</v>
      </c>
      <c r="H720" s="3253">
        <f t="shared" si="11"/>
        <v>8.02</v>
      </c>
    </row>
    <row r="721" spans="1:8">
      <c r="A721" s="3247">
        <v>719</v>
      </c>
      <c r="B721" s="3610"/>
      <c r="C721" s="3606" t="s">
        <v>3476</v>
      </c>
      <c r="D721" s="3606"/>
      <c r="E721" s="3249" t="s">
        <v>3903</v>
      </c>
      <c r="F721" s="3249">
        <f>[2]Sheet2!F722</f>
        <v>39.090000000000003</v>
      </c>
      <c r="G721" s="3250" t="s">
        <v>3183</v>
      </c>
      <c r="H721" s="3253">
        <f t="shared" si="11"/>
        <v>8.02</v>
      </c>
    </row>
    <row r="722" spans="1:8">
      <c r="A722" s="3247">
        <v>720</v>
      </c>
      <c r="B722" s="3610"/>
      <c r="C722" s="3606" t="s">
        <v>3476</v>
      </c>
      <c r="D722" s="3606"/>
      <c r="E722" s="3249" t="s">
        <v>3904</v>
      </c>
      <c r="F722" s="3249">
        <f>[2]Sheet2!F723</f>
        <v>39.090000000000003</v>
      </c>
      <c r="G722" s="3250" t="s">
        <v>3183</v>
      </c>
      <c r="H722" s="3253">
        <f t="shared" si="11"/>
        <v>8.02</v>
      </c>
    </row>
    <row r="723" spans="1:8">
      <c r="A723" s="3247">
        <v>721</v>
      </c>
      <c r="B723" s="3610"/>
      <c r="C723" s="3606" t="s">
        <v>3476</v>
      </c>
      <c r="D723" s="3606"/>
      <c r="E723" s="3249" t="s">
        <v>3905</v>
      </c>
      <c r="F723" s="3249">
        <f>[2]Sheet2!F724</f>
        <v>36.74</v>
      </c>
      <c r="G723" s="3250" t="s">
        <v>3183</v>
      </c>
      <c r="H723" s="3253">
        <f t="shared" si="11"/>
        <v>7.54</v>
      </c>
    </row>
    <row r="724" spans="1:8">
      <c r="A724" s="3247">
        <v>722</v>
      </c>
      <c r="B724" s="3610"/>
      <c r="C724" s="3606" t="s">
        <v>3476</v>
      </c>
      <c r="D724" s="3606"/>
      <c r="E724" s="3249" t="s">
        <v>3906</v>
      </c>
      <c r="F724" s="3249">
        <f>[2]Sheet2!F725</f>
        <v>36.74</v>
      </c>
      <c r="G724" s="3250" t="s">
        <v>3183</v>
      </c>
      <c r="H724" s="3253">
        <f t="shared" si="11"/>
        <v>7.54</v>
      </c>
    </row>
    <row r="725" spans="1:8">
      <c r="A725" s="3247">
        <v>723</v>
      </c>
      <c r="B725" s="3610"/>
      <c r="C725" s="3606" t="s">
        <v>3476</v>
      </c>
      <c r="D725" s="3606"/>
      <c r="E725" s="3249" t="s">
        <v>3907</v>
      </c>
      <c r="F725" s="3249">
        <f>[2]Sheet2!F726</f>
        <v>36.74</v>
      </c>
      <c r="G725" s="3250" t="s">
        <v>3183</v>
      </c>
      <c r="H725" s="3253">
        <f t="shared" si="11"/>
        <v>7.54</v>
      </c>
    </row>
    <row r="726" spans="1:8">
      <c r="A726" s="3247">
        <v>724</v>
      </c>
      <c r="B726" s="3610"/>
      <c r="C726" s="3606" t="s">
        <v>3476</v>
      </c>
      <c r="D726" s="3606"/>
      <c r="E726" s="3249" t="s">
        <v>3908</v>
      </c>
      <c r="F726" s="3249">
        <f>[2]Sheet2!F727</f>
        <v>36.74</v>
      </c>
      <c r="G726" s="3250" t="s">
        <v>3183</v>
      </c>
      <c r="H726" s="3253">
        <f t="shared" si="11"/>
        <v>7.54</v>
      </c>
    </row>
    <row r="727" spans="1:8">
      <c r="A727" s="3247">
        <v>725</v>
      </c>
      <c r="B727" s="3610"/>
      <c r="C727" s="3606" t="s">
        <v>3476</v>
      </c>
      <c r="D727" s="3606"/>
      <c r="E727" s="3249" t="s">
        <v>3909</v>
      </c>
      <c r="F727" s="3249">
        <f>[2]Sheet2!F728</f>
        <v>36.74</v>
      </c>
      <c r="G727" s="3250" t="s">
        <v>3183</v>
      </c>
      <c r="H727" s="3253">
        <f t="shared" si="11"/>
        <v>7.54</v>
      </c>
    </row>
    <row r="728" spans="1:8">
      <c r="A728" s="3247">
        <v>726</v>
      </c>
      <c r="B728" s="3610"/>
      <c r="C728" s="3606" t="s">
        <v>3476</v>
      </c>
      <c r="D728" s="3606"/>
      <c r="E728" s="3249" t="s">
        <v>3910</v>
      </c>
      <c r="F728" s="3249">
        <f>[2]Sheet2!F729</f>
        <v>37.520000000000003</v>
      </c>
      <c r="G728" s="3250" t="s">
        <v>3183</v>
      </c>
      <c r="H728" s="3253">
        <f t="shared" si="11"/>
        <v>7.7</v>
      </c>
    </row>
    <row r="729" spans="1:8">
      <c r="A729" s="3247">
        <v>727</v>
      </c>
      <c r="B729" s="3610"/>
      <c r="C729" s="3606" t="s">
        <v>3476</v>
      </c>
      <c r="D729" s="3606"/>
      <c r="E729" s="3249" t="s">
        <v>3911</v>
      </c>
      <c r="F729" s="3249">
        <f>[2]Sheet2!F730</f>
        <v>37.520000000000003</v>
      </c>
      <c r="G729" s="3250" t="s">
        <v>3183</v>
      </c>
      <c r="H729" s="3253">
        <f t="shared" si="11"/>
        <v>7.7</v>
      </c>
    </row>
    <row r="730" spans="1:8">
      <c r="A730" s="3247">
        <v>728</v>
      </c>
      <c r="B730" s="3610"/>
      <c r="C730" s="3606" t="s">
        <v>3476</v>
      </c>
      <c r="D730" s="3606"/>
      <c r="E730" s="3249" t="s">
        <v>3912</v>
      </c>
      <c r="F730" s="3249">
        <f>[2]Sheet2!F731</f>
        <v>37.520000000000003</v>
      </c>
      <c r="G730" s="3250" t="s">
        <v>3183</v>
      </c>
      <c r="H730" s="3253">
        <f t="shared" si="11"/>
        <v>7.7</v>
      </c>
    </row>
    <row r="731" spans="1:8">
      <c r="A731" s="3247">
        <v>729</v>
      </c>
      <c r="B731" s="3610"/>
      <c r="C731" s="3606" t="s">
        <v>3476</v>
      </c>
      <c r="D731" s="3606"/>
      <c r="E731" s="3249" t="s">
        <v>3913</v>
      </c>
      <c r="F731" s="3249">
        <f>[2]Sheet2!F732</f>
        <v>37.520000000000003</v>
      </c>
      <c r="G731" s="3250" t="s">
        <v>3183</v>
      </c>
      <c r="H731" s="3253">
        <f t="shared" si="11"/>
        <v>7.7</v>
      </c>
    </row>
    <row r="732" spans="1:8">
      <c r="A732" s="3247">
        <v>730</v>
      </c>
      <c r="B732" s="3610"/>
      <c r="C732" s="3606" t="s">
        <v>3476</v>
      </c>
      <c r="D732" s="3606"/>
      <c r="E732" s="3249" t="s">
        <v>3914</v>
      </c>
      <c r="F732" s="3249">
        <f>[2]Sheet2!F733</f>
        <v>37.520000000000003</v>
      </c>
      <c r="G732" s="3250" t="s">
        <v>3183</v>
      </c>
      <c r="H732" s="3253">
        <f t="shared" si="11"/>
        <v>7.7</v>
      </c>
    </row>
    <row r="733" spans="1:8">
      <c r="A733" s="3247">
        <v>731</v>
      </c>
      <c r="B733" s="3610"/>
      <c r="C733" s="3606" t="s">
        <v>3476</v>
      </c>
      <c r="D733" s="3606"/>
      <c r="E733" s="3249" t="s">
        <v>3915</v>
      </c>
      <c r="F733" s="3249">
        <f>[2]Sheet2!F734</f>
        <v>37.520000000000003</v>
      </c>
      <c r="G733" s="3250" t="s">
        <v>3183</v>
      </c>
      <c r="H733" s="3253">
        <f t="shared" si="11"/>
        <v>7.7</v>
      </c>
    </row>
    <row r="734" spans="1:8">
      <c r="A734" s="3247">
        <v>732</v>
      </c>
      <c r="B734" s="3610"/>
      <c r="C734" s="3606" t="s">
        <v>3476</v>
      </c>
      <c r="D734" s="3606"/>
      <c r="E734" s="3249" t="s">
        <v>3916</v>
      </c>
      <c r="F734" s="3249">
        <f>[2]Sheet2!F735</f>
        <v>37.520000000000003</v>
      </c>
      <c r="G734" s="3250" t="s">
        <v>3183</v>
      </c>
      <c r="H734" s="3253">
        <f t="shared" si="11"/>
        <v>7.7</v>
      </c>
    </row>
    <row r="735" spans="1:8">
      <c r="A735" s="3247">
        <v>733</v>
      </c>
      <c r="B735" s="3610"/>
      <c r="C735" s="3606" t="s">
        <v>3476</v>
      </c>
      <c r="D735" s="3606"/>
      <c r="E735" s="3249" t="s">
        <v>3917</v>
      </c>
      <c r="F735" s="3249">
        <f>[2]Sheet2!F736</f>
        <v>37.520000000000003</v>
      </c>
      <c r="G735" s="3250" t="s">
        <v>3183</v>
      </c>
      <c r="H735" s="3253">
        <f t="shared" si="11"/>
        <v>7.7</v>
      </c>
    </row>
    <row r="736" spans="1:8">
      <c r="A736" s="3247">
        <v>734</v>
      </c>
      <c r="B736" s="3610"/>
      <c r="C736" s="3606" t="s">
        <v>3476</v>
      </c>
      <c r="D736" s="3606"/>
      <c r="E736" s="3249" t="s">
        <v>3918</v>
      </c>
      <c r="F736" s="3249">
        <f>[2]Sheet2!F737</f>
        <v>37.520000000000003</v>
      </c>
      <c r="G736" s="3250" t="s">
        <v>3183</v>
      </c>
      <c r="H736" s="3253">
        <f t="shared" si="11"/>
        <v>7.7</v>
      </c>
    </row>
    <row r="737" spans="1:8">
      <c r="A737" s="3247">
        <v>735</v>
      </c>
      <c r="B737" s="3610"/>
      <c r="C737" s="3606" t="s">
        <v>3476</v>
      </c>
      <c r="D737" s="3606"/>
      <c r="E737" s="3249" t="s">
        <v>3919</v>
      </c>
      <c r="F737" s="3249">
        <f>[2]Sheet2!F738</f>
        <v>37.520000000000003</v>
      </c>
      <c r="G737" s="3250" t="s">
        <v>3183</v>
      </c>
      <c r="H737" s="3253">
        <f t="shared" si="11"/>
        <v>7.7</v>
      </c>
    </row>
    <row r="738" spans="1:8">
      <c r="A738" s="3247">
        <v>736</v>
      </c>
      <c r="B738" s="3610"/>
      <c r="C738" s="3606" t="s">
        <v>3476</v>
      </c>
      <c r="D738" s="3606"/>
      <c r="E738" s="3249" t="s">
        <v>3920</v>
      </c>
      <c r="F738" s="3249">
        <f>[2]Sheet2!F739</f>
        <v>37.520000000000003</v>
      </c>
      <c r="G738" s="3250" t="s">
        <v>3183</v>
      </c>
      <c r="H738" s="3253">
        <f t="shared" si="11"/>
        <v>7.7</v>
      </c>
    </row>
    <row r="739" spans="1:8">
      <c r="A739" s="3247">
        <v>737</v>
      </c>
      <c r="B739" s="3610"/>
      <c r="C739" s="3606" t="s">
        <v>3476</v>
      </c>
      <c r="D739" s="3606"/>
      <c r="E739" s="3249" t="s">
        <v>3921</v>
      </c>
      <c r="F739" s="3249">
        <f>[2]Sheet2!F740</f>
        <v>37.520000000000003</v>
      </c>
      <c r="G739" s="3250" t="s">
        <v>3183</v>
      </c>
      <c r="H739" s="3253">
        <f t="shared" si="11"/>
        <v>7.7</v>
      </c>
    </row>
    <row r="740" spans="1:8">
      <c r="A740" s="3247">
        <v>738</v>
      </c>
      <c r="B740" s="3610"/>
      <c r="C740" s="3606" t="s">
        <v>3476</v>
      </c>
      <c r="D740" s="3606"/>
      <c r="E740" s="3249" t="s">
        <v>3922</v>
      </c>
      <c r="F740" s="3249">
        <f>[2]Sheet2!F741</f>
        <v>37.520000000000003</v>
      </c>
      <c r="G740" s="3250" t="s">
        <v>3183</v>
      </c>
      <c r="H740" s="3253">
        <f t="shared" si="11"/>
        <v>7.7</v>
      </c>
    </row>
    <row r="741" spans="1:8">
      <c r="A741" s="3247">
        <v>739</v>
      </c>
      <c r="B741" s="3610"/>
      <c r="C741" s="3606" t="s">
        <v>3476</v>
      </c>
      <c r="D741" s="3606"/>
      <c r="E741" s="3249" t="s">
        <v>3923</v>
      </c>
      <c r="F741" s="3249">
        <f>[2]Sheet2!F742</f>
        <v>37.520000000000003</v>
      </c>
      <c r="G741" s="3250" t="s">
        <v>3183</v>
      </c>
      <c r="H741" s="3253">
        <f t="shared" si="11"/>
        <v>7.7</v>
      </c>
    </row>
    <row r="742" spans="1:8">
      <c r="A742" s="3247">
        <v>740</v>
      </c>
      <c r="B742" s="3610"/>
      <c r="C742" s="3606" t="s">
        <v>3476</v>
      </c>
      <c r="D742" s="3606"/>
      <c r="E742" s="3249" t="s">
        <v>3924</v>
      </c>
      <c r="F742" s="3249">
        <f>[2]Sheet2!F743</f>
        <v>37.520000000000003</v>
      </c>
      <c r="G742" s="3250" t="s">
        <v>3183</v>
      </c>
      <c r="H742" s="3253">
        <f t="shared" si="11"/>
        <v>7.7</v>
      </c>
    </row>
    <row r="743" spans="1:8">
      <c r="A743" s="3247">
        <v>741</v>
      </c>
      <c r="B743" s="3610"/>
      <c r="C743" s="3606" t="s">
        <v>3476</v>
      </c>
      <c r="D743" s="3606"/>
      <c r="E743" s="3249" t="s">
        <v>3925</v>
      </c>
      <c r="F743" s="3249">
        <f>[2]Sheet2!F744</f>
        <v>37.520000000000003</v>
      </c>
      <c r="G743" s="3250" t="s">
        <v>3183</v>
      </c>
      <c r="H743" s="3253">
        <f t="shared" si="11"/>
        <v>7.7</v>
      </c>
    </row>
    <row r="744" spans="1:8">
      <c r="A744" s="3247">
        <v>742</v>
      </c>
      <c r="B744" s="3610"/>
      <c r="C744" s="3606" t="s">
        <v>3476</v>
      </c>
      <c r="D744" s="3606"/>
      <c r="E744" s="3249" t="s">
        <v>3926</v>
      </c>
      <c r="F744" s="3249">
        <f>[2]Sheet2!F745</f>
        <v>37.520000000000003</v>
      </c>
      <c r="G744" s="3250" t="s">
        <v>3183</v>
      </c>
      <c r="H744" s="3253">
        <f t="shared" ref="H744:H807" si="12">ROUND(F744/$J$5*$K$5,2)</f>
        <v>7.7</v>
      </c>
    </row>
    <row r="745" spans="1:8">
      <c r="A745" s="3247">
        <v>743</v>
      </c>
      <c r="B745" s="3610"/>
      <c r="C745" s="3606" t="s">
        <v>3476</v>
      </c>
      <c r="D745" s="3606"/>
      <c r="E745" s="3249" t="s">
        <v>3927</v>
      </c>
      <c r="F745" s="3249">
        <f>[2]Sheet2!F746</f>
        <v>37.520000000000003</v>
      </c>
      <c r="G745" s="3250" t="s">
        <v>3183</v>
      </c>
      <c r="H745" s="3253">
        <f t="shared" si="12"/>
        <v>7.7</v>
      </c>
    </row>
    <row r="746" spans="1:8">
      <c r="A746" s="3247">
        <v>744</v>
      </c>
      <c r="B746" s="3610"/>
      <c r="C746" s="3606" t="s">
        <v>3476</v>
      </c>
      <c r="D746" s="3606"/>
      <c r="E746" s="3249" t="s">
        <v>3928</v>
      </c>
      <c r="F746" s="3249">
        <f>[2]Sheet2!F747</f>
        <v>37.520000000000003</v>
      </c>
      <c r="G746" s="3250" t="s">
        <v>3183</v>
      </c>
      <c r="H746" s="3253">
        <f t="shared" si="12"/>
        <v>7.7</v>
      </c>
    </row>
    <row r="747" spans="1:8">
      <c r="A747" s="3247">
        <v>745</v>
      </c>
      <c r="B747" s="3610"/>
      <c r="C747" s="3606" t="s">
        <v>3476</v>
      </c>
      <c r="D747" s="3606"/>
      <c r="E747" s="3249" t="s">
        <v>3929</v>
      </c>
      <c r="F747" s="3249">
        <f>[2]Sheet2!F748</f>
        <v>39.090000000000003</v>
      </c>
      <c r="G747" s="3250" t="s">
        <v>3183</v>
      </c>
      <c r="H747" s="3253">
        <f t="shared" si="12"/>
        <v>8.02</v>
      </c>
    </row>
    <row r="748" spans="1:8">
      <c r="A748" s="3247">
        <v>746</v>
      </c>
      <c r="B748" s="3610"/>
      <c r="C748" s="3606" t="s">
        <v>3476</v>
      </c>
      <c r="D748" s="3606"/>
      <c r="E748" s="3249" t="s">
        <v>3930</v>
      </c>
      <c r="F748" s="3249">
        <f>[2]Sheet2!F749</f>
        <v>39.090000000000003</v>
      </c>
      <c r="G748" s="3250" t="s">
        <v>3183</v>
      </c>
      <c r="H748" s="3253">
        <f t="shared" si="12"/>
        <v>8.02</v>
      </c>
    </row>
    <row r="749" spans="1:8">
      <c r="A749" s="3247">
        <v>747</v>
      </c>
      <c r="B749" s="3610"/>
      <c r="C749" s="3606" t="s">
        <v>3476</v>
      </c>
      <c r="D749" s="3606"/>
      <c r="E749" s="3249" t="s">
        <v>3931</v>
      </c>
      <c r="F749" s="3249">
        <f>[2]Sheet2!F750</f>
        <v>46.91</v>
      </c>
      <c r="G749" s="3250" t="s">
        <v>3183</v>
      </c>
      <c r="H749" s="3253">
        <f t="shared" si="12"/>
        <v>9.6300000000000008</v>
      </c>
    </row>
    <row r="750" spans="1:8">
      <c r="A750" s="3247">
        <v>748</v>
      </c>
      <c r="B750" s="3610"/>
      <c r="C750" s="3606" t="s">
        <v>3476</v>
      </c>
      <c r="D750" s="3606"/>
      <c r="E750" s="3249" t="s">
        <v>3932</v>
      </c>
      <c r="F750" s="3249">
        <f>[2]Sheet2!F751</f>
        <v>46.91</v>
      </c>
      <c r="G750" s="3250" t="s">
        <v>3183</v>
      </c>
      <c r="H750" s="3253">
        <f t="shared" si="12"/>
        <v>9.6300000000000008</v>
      </c>
    </row>
    <row r="751" spans="1:8">
      <c r="A751" s="3247">
        <v>749</v>
      </c>
      <c r="B751" s="3610"/>
      <c r="C751" s="3606" t="s">
        <v>3476</v>
      </c>
      <c r="D751" s="3606"/>
      <c r="E751" s="3249" t="s">
        <v>3933</v>
      </c>
      <c r="F751" s="3249">
        <f>[2]Sheet2!F752</f>
        <v>46.91</v>
      </c>
      <c r="G751" s="3250" t="s">
        <v>3183</v>
      </c>
      <c r="H751" s="3253">
        <f t="shared" si="12"/>
        <v>9.6300000000000008</v>
      </c>
    </row>
    <row r="752" spans="1:8">
      <c r="A752" s="3247">
        <v>750</v>
      </c>
      <c r="B752" s="3610"/>
      <c r="C752" s="3606" t="s">
        <v>3476</v>
      </c>
      <c r="D752" s="3606"/>
      <c r="E752" s="3249" t="s">
        <v>3934</v>
      </c>
      <c r="F752" s="3249">
        <f>[2]Sheet2!F753</f>
        <v>46.91</v>
      </c>
      <c r="G752" s="3250" t="s">
        <v>3183</v>
      </c>
      <c r="H752" s="3253">
        <f t="shared" si="12"/>
        <v>9.6300000000000008</v>
      </c>
    </row>
    <row r="753" spans="1:8">
      <c r="A753" s="3247">
        <v>751</v>
      </c>
      <c r="B753" s="3610"/>
      <c r="C753" s="3606" t="s">
        <v>3476</v>
      </c>
      <c r="D753" s="3606"/>
      <c r="E753" s="3249" t="s">
        <v>3935</v>
      </c>
      <c r="F753" s="3249">
        <f>[2]Sheet2!F754</f>
        <v>46.91</v>
      </c>
      <c r="G753" s="3250" t="s">
        <v>3183</v>
      </c>
      <c r="H753" s="3253">
        <f t="shared" si="12"/>
        <v>9.6300000000000008</v>
      </c>
    </row>
    <row r="754" spans="1:8">
      <c r="A754" s="3247">
        <v>752</v>
      </c>
      <c r="B754" s="3610"/>
      <c r="C754" s="3606" t="s">
        <v>3476</v>
      </c>
      <c r="D754" s="3606"/>
      <c r="E754" s="3249" t="s">
        <v>3936</v>
      </c>
      <c r="F754" s="3249">
        <f>[2]Sheet2!F755</f>
        <v>46.91</v>
      </c>
      <c r="G754" s="3250" t="s">
        <v>3183</v>
      </c>
      <c r="H754" s="3253">
        <f t="shared" si="12"/>
        <v>9.6300000000000008</v>
      </c>
    </row>
    <row r="755" spans="1:8">
      <c r="A755" s="3247">
        <v>753</v>
      </c>
      <c r="B755" s="3610"/>
      <c r="C755" s="3606" t="s">
        <v>3476</v>
      </c>
      <c r="D755" s="3606"/>
      <c r="E755" s="3249" t="s">
        <v>3937</v>
      </c>
      <c r="F755" s="3249">
        <f>[2]Sheet2!F756</f>
        <v>46.91</v>
      </c>
      <c r="G755" s="3250" t="s">
        <v>3183</v>
      </c>
      <c r="H755" s="3253">
        <f t="shared" si="12"/>
        <v>9.6300000000000008</v>
      </c>
    </row>
    <row r="756" spans="1:8">
      <c r="A756" s="3247">
        <v>754</v>
      </c>
      <c r="B756" s="3610"/>
      <c r="C756" s="3606" t="s">
        <v>3476</v>
      </c>
      <c r="D756" s="3606"/>
      <c r="E756" s="3249" t="s">
        <v>3938</v>
      </c>
      <c r="F756" s="3249">
        <f>[2]Sheet2!F757</f>
        <v>48.78</v>
      </c>
      <c r="G756" s="3250" t="s">
        <v>3183</v>
      </c>
      <c r="H756" s="3253">
        <f t="shared" si="12"/>
        <v>10.01</v>
      </c>
    </row>
    <row r="757" spans="1:8">
      <c r="A757" s="3247">
        <v>755</v>
      </c>
      <c r="B757" s="3610"/>
      <c r="C757" s="3606" t="s">
        <v>3476</v>
      </c>
      <c r="D757" s="3606"/>
      <c r="E757" s="3249" t="s">
        <v>3939</v>
      </c>
      <c r="F757" s="3249">
        <f>[2]Sheet2!F758</f>
        <v>37.520000000000003</v>
      </c>
      <c r="G757" s="3250" t="s">
        <v>3183</v>
      </c>
      <c r="H757" s="3253">
        <f t="shared" si="12"/>
        <v>7.7</v>
      </c>
    </row>
    <row r="758" spans="1:8">
      <c r="A758" s="3247">
        <v>756</v>
      </c>
      <c r="B758" s="3610"/>
      <c r="C758" s="3606" t="s">
        <v>3476</v>
      </c>
      <c r="D758" s="3606"/>
      <c r="E758" s="3249" t="s">
        <v>3940</v>
      </c>
      <c r="F758" s="3249">
        <f>[2]Sheet2!F759</f>
        <v>37.520000000000003</v>
      </c>
      <c r="G758" s="3250" t="s">
        <v>3183</v>
      </c>
      <c r="H758" s="3253">
        <f t="shared" si="12"/>
        <v>7.7</v>
      </c>
    </row>
    <row r="759" spans="1:8">
      <c r="A759" s="3247">
        <v>757</v>
      </c>
      <c r="B759" s="3610"/>
      <c r="C759" s="3606" t="s">
        <v>3476</v>
      </c>
      <c r="D759" s="3606"/>
      <c r="E759" s="3249" t="s">
        <v>3941</v>
      </c>
      <c r="F759" s="3249">
        <f>[2]Sheet2!F760</f>
        <v>37.520000000000003</v>
      </c>
      <c r="G759" s="3250" t="s">
        <v>3183</v>
      </c>
      <c r="H759" s="3253">
        <f t="shared" si="12"/>
        <v>7.7</v>
      </c>
    </row>
    <row r="760" spans="1:8">
      <c r="A760" s="3247">
        <v>758</v>
      </c>
      <c r="B760" s="3610"/>
      <c r="C760" s="3606" t="s">
        <v>3476</v>
      </c>
      <c r="D760" s="3606"/>
      <c r="E760" s="3249" t="s">
        <v>3942</v>
      </c>
      <c r="F760" s="3249">
        <f>[2]Sheet2!F761</f>
        <v>37.520000000000003</v>
      </c>
      <c r="G760" s="3250" t="s">
        <v>3183</v>
      </c>
      <c r="H760" s="3253">
        <f t="shared" si="12"/>
        <v>7.7</v>
      </c>
    </row>
    <row r="761" spans="1:8">
      <c r="A761" s="3247">
        <v>759</v>
      </c>
      <c r="B761" s="3610"/>
      <c r="C761" s="3606" t="s">
        <v>3476</v>
      </c>
      <c r="D761" s="3606"/>
      <c r="E761" s="3249" t="s">
        <v>3943</v>
      </c>
      <c r="F761" s="3249">
        <f>[2]Sheet2!F762</f>
        <v>37.520000000000003</v>
      </c>
      <c r="G761" s="3250" t="s">
        <v>3183</v>
      </c>
      <c r="H761" s="3253">
        <f t="shared" si="12"/>
        <v>7.7</v>
      </c>
    </row>
    <row r="762" spans="1:8">
      <c r="A762" s="3247">
        <v>760</v>
      </c>
      <c r="B762" s="3610"/>
      <c r="C762" s="3606" t="s">
        <v>3476</v>
      </c>
      <c r="D762" s="3606"/>
      <c r="E762" s="3249" t="s">
        <v>3944</v>
      </c>
      <c r="F762" s="3249">
        <f>[2]Sheet2!F763</f>
        <v>37.520000000000003</v>
      </c>
      <c r="G762" s="3250" t="s">
        <v>3183</v>
      </c>
      <c r="H762" s="3253">
        <f t="shared" si="12"/>
        <v>7.7</v>
      </c>
    </row>
    <row r="763" spans="1:8">
      <c r="A763" s="3247">
        <v>761</v>
      </c>
      <c r="B763" s="3610"/>
      <c r="C763" s="3606" t="s">
        <v>3476</v>
      </c>
      <c r="D763" s="3606"/>
      <c r="E763" s="3249" t="s">
        <v>3945</v>
      </c>
      <c r="F763" s="3249">
        <f>[2]Sheet2!F764</f>
        <v>37.520000000000003</v>
      </c>
      <c r="G763" s="3250" t="s">
        <v>3183</v>
      </c>
      <c r="H763" s="3253">
        <f t="shared" si="12"/>
        <v>7.7</v>
      </c>
    </row>
    <row r="764" spans="1:8">
      <c r="A764" s="3247">
        <v>762</v>
      </c>
      <c r="B764" s="3610"/>
      <c r="C764" s="3606" t="s">
        <v>3476</v>
      </c>
      <c r="D764" s="3606"/>
      <c r="E764" s="3249" t="s">
        <v>3946</v>
      </c>
      <c r="F764" s="3249">
        <f>[2]Sheet2!F765</f>
        <v>37.520000000000003</v>
      </c>
      <c r="G764" s="3250" t="s">
        <v>3183</v>
      </c>
      <c r="H764" s="3253">
        <f t="shared" si="12"/>
        <v>7.7</v>
      </c>
    </row>
    <row r="765" spans="1:8">
      <c r="A765" s="3247">
        <v>763</v>
      </c>
      <c r="B765" s="3610"/>
      <c r="C765" s="3606" t="s">
        <v>3476</v>
      </c>
      <c r="D765" s="3606"/>
      <c r="E765" s="3249" t="s">
        <v>3947</v>
      </c>
      <c r="F765" s="3249">
        <f>[2]Sheet2!F766</f>
        <v>37.520000000000003</v>
      </c>
      <c r="G765" s="3250" t="s">
        <v>3183</v>
      </c>
      <c r="H765" s="3253">
        <f t="shared" si="12"/>
        <v>7.7</v>
      </c>
    </row>
    <row r="766" spans="1:8">
      <c r="A766" s="3247">
        <v>764</v>
      </c>
      <c r="B766" s="3610"/>
      <c r="C766" s="3606" t="s">
        <v>3476</v>
      </c>
      <c r="D766" s="3606"/>
      <c r="E766" s="3249" t="s">
        <v>3948</v>
      </c>
      <c r="F766" s="3249">
        <f>[2]Sheet2!F767</f>
        <v>37.520000000000003</v>
      </c>
      <c r="G766" s="3250" t="s">
        <v>3183</v>
      </c>
      <c r="H766" s="3253">
        <f t="shared" si="12"/>
        <v>7.7</v>
      </c>
    </row>
    <row r="767" spans="1:8">
      <c r="A767" s="3247">
        <v>765</v>
      </c>
      <c r="B767" s="3610"/>
      <c r="C767" s="3606" t="s">
        <v>3476</v>
      </c>
      <c r="D767" s="3606"/>
      <c r="E767" s="3249" t="s">
        <v>3949</v>
      </c>
      <c r="F767" s="3249">
        <f>[2]Sheet2!F768</f>
        <v>37.520000000000003</v>
      </c>
      <c r="G767" s="3250" t="s">
        <v>3183</v>
      </c>
      <c r="H767" s="3253">
        <f t="shared" si="12"/>
        <v>7.7</v>
      </c>
    </row>
    <row r="768" spans="1:8">
      <c r="A768" s="3247">
        <v>766</v>
      </c>
      <c r="B768" s="3610"/>
      <c r="C768" s="3606" t="s">
        <v>3476</v>
      </c>
      <c r="D768" s="3606"/>
      <c r="E768" s="3249" t="s">
        <v>3950</v>
      </c>
      <c r="F768" s="3249">
        <f>[2]Sheet2!F769</f>
        <v>39.090000000000003</v>
      </c>
      <c r="G768" s="3250" t="s">
        <v>3183</v>
      </c>
      <c r="H768" s="3253">
        <f t="shared" si="12"/>
        <v>8.02</v>
      </c>
    </row>
    <row r="769" spans="1:8">
      <c r="A769" s="3247">
        <v>767</v>
      </c>
      <c r="B769" s="3610"/>
      <c r="C769" s="3606" t="s">
        <v>3476</v>
      </c>
      <c r="D769" s="3606"/>
      <c r="E769" s="3249" t="s">
        <v>3951</v>
      </c>
      <c r="F769" s="3249">
        <f>[2]Sheet2!F770</f>
        <v>39.090000000000003</v>
      </c>
      <c r="G769" s="3250" t="s">
        <v>3183</v>
      </c>
      <c r="H769" s="3253">
        <f t="shared" si="12"/>
        <v>8.02</v>
      </c>
    </row>
    <row r="770" spans="1:8">
      <c r="A770" s="3247">
        <v>768</v>
      </c>
      <c r="B770" s="3610"/>
      <c r="C770" s="3606" t="s">
        <v>3476</v>
      </c>
      <c r="D770" s="3606"/>
      <c r="E770" s="3249" t="s">
        <v>3952</v>
      </c>
      <c r="F770" s="3249">
        <f>[2]Sheet2!F771</f>
        <v>39.090000000000003</v>
      </c>
      <c r="G770" s="3250" t="s">
        <v>3183</v>
      </c>
      <c r="H770" s="3253">
        <f t="shared" si="12"/>
        <v>8.02</v>
      </c>
    </row>
    <row r="771" spans="1:8">
      <c r="A771" s="3247">
        <v>769</v>
      </c>
      <c r="B771" s="3610"/>
      <c r="C771" s="3606" t="s">
        <v>3476</v>
      </c>
      <c r="D771" s="3606"/>
      <c r="E771" s="3249" t="s">
        <v>3953</v>
      </c>
      <c r="F771" s="3249">
        <f>[2]Sheet2!F772</f>
        <v>39.090000000000003</v>
      </c>
      <c r="G771" s="3250" t="s">
        <v>3183</v>
      </c>
      <c r="H771" s="3253">
        <f t="shared" si="12"/>
        <v>8.02</v>
      </c>
    </row>
    <row r="772" spans="1:8">
      <c r="A772" s="3247">
        <v>770</v>
      </c>
      <c r="B772" s="3610"/>
      <c r="C772" s="3606" t="s">
        <v>3476</v>
      </c>
      <c r="D772" s="3606"/>
      <c r="E772" s="3249" t="s">
        <v>3954</v>
      </c>
      <c r="F772" s="3249">
        <f>[2]Sheet2!F773</f>
        <v>39.090000000000003</v>
      </c>
      <c r="G772" s="3250" t="s">
        <v>3183</v>
      </c>
      <c r="H772" s="3253">
        <f t="shared" si="12"/>
        <v>8.02</v>
      </c>
    </row>
    <row r="773" spans="1:8">
      <c r="A773" s="3247">
        <v>771</v>
      </c>
      <c r="B773" s="3610"/>
      <c r="C773" s="3606" t="s">
        <v>3476</v>
      </c>
      <c r="D773" s="3606"/>
      <c r="E773" s="3249" t="s">
        <v>3955</v>
      </c>
      <c r="F773" s="3249">
        <f>[2]Sheet2!F774</f>
        <v>39.090000000000003</v>
      </c>
      <c r="G773" s="3250" t="s">
        <v>3183</v>
      </c>
      <c r="H773" s="3253">
        <f t="shared" si="12"/>
        <v>8.02</v>
      </c>
    </row>
    <row r="774" spans="1:8">
      <c r="A774" s="3247">
        <v>772</v>
      </c>
      <c r="B774" s="3610"/>
      <c r="C774" s="3606" t="s">
        <v>3476</v>
      </c>
      <c r="D774" s="3606"/>
      <c r="E774" s="3249" t="s">
        <v>3956</v>
      </c>
      <c r="F774" s="3249">
        <f>[2]Sheet2!F775</f>
        <v>39.090000000000003</v>
      </c>
      <c r="G774" s="3250" t="s">
        <v>3183</v>
      </c>
      <c r="H774" s="3253">
        <f t="shared" si="12"/>
        <v>8.02</v>
      </c>
    </row>
    <row r="775" spans="1:8">
      <c r="A775" s="3247">
        <v>773</v>
      </c>
      <c r="B775" s="3610"/>
      <c r="C775" s="3606" t="s">
        <v>3476</v>
      </c>
      <c r="D775" s="3606"/>
      <c r="E775" s="3249" t="s">
        <v>3957</v>
      </c>
      <c r="F775" s="3249">
        <f>[2]Sheet2!F776</f>
        <v>39.090000000000003</v>
      </c>
      <c r="G775" s="3250" t="s">
        <v>3183</v>
      </c>
      <c r="H775" s="3253">
        <f t="shared" si="12"/>
        <v>8.02</v>
      </c>
    </row>
    <row r="776" spans="1:8">
      <c r="A776" s="3247">
        <v>774</v>
      </c>
      <c r="B776" s="3610"/>
      <c r="C776" s="3606" t="s">
        <v>3476</v>
      </c>
      <c r="D776" s="3606"/>
      <c r="E776" s="3249" t="s">
        <v>3958</v>
      </c>
      <c r="F776" s="3249">
        <f>[2]Sheet2!F777</f>
        <v>39.090000000000003</v>
      </c>
      <c r="G776" s="3250" t="s">
        <v>3183</v>
      </c>
      <c r="H776" s="3253">
        <f t="shared" si="12"/>
        <v>8.02</v>
      </c>
    </row>
    <row r="777" spans="1:8">
      <c r="A777" s="3247">
        <v>775</v>
      </c>
      <c r="B777" s="3610"/>
      <c r="C777" s="3606" t="s">
        <v>3476</v>
      </c>
      <c r="D777" s="3606"/>
      <c r="E777" s="3249" t="s">
        <v>3959</v>
      </c>
      <c r="F777" s="3249">
        <f>[2]Sheet2!F778</f>
        <v>36.74</v>
      </c>
      <c r="G777" s="3250" t="s">
        <v>3183</v>
      </c>
      <c r="H777" s="3253">
        <f t="shared" si="12"/>
        <v>7.54</v>
      </c>
    </row>
    <row r="778" spans="1:8">
      <c r="A778" s="3247">
        <v>776</v>
      </c>
      <c r="B778" s="3610"/>
      <c r="C778" s="3606" t="s">
        <v>3476</v>
      </c>
      <c r="D778" s="3606"/>
      <c r="E778" s="3249" t="s">
        <v>3960</v>
      </c>
      <c r="F778" s="3249">
        <f>[2]Sheet2!F779</f>
        <v>36.74</v>
      </c>
      <c r="G778" s="3250" t="s">
        <v>3183</v>
      </c>
      <c r="H778" s="3253">
        <f t="shared" si="12"/>
        <v>7.54</v>
      </c>
    </row>
    <row r="779" spans="1:8">
      <c r="A779" s="3247">
        <v>777</v>
      </c>
      <c r="B779" s="3610"/>
      <c r="C779" s="3606" t="s">
        <v>3476</v>
      </c>
      <c r="D779" s="3606"/>
      <c r="E779" s="3249" t="s">
        <v>3961</v>
      </c>
      <c r="F779" s="3249">
        <f>[2]Sheet2!F780</f>
        <v>36.74</v>
      </c>
      <c r="G779" s="3250" t="s">
        <v>3183</v>
      </c>
      <c r="H779" s="3253">
        <f t="shared" si="12"/>
        <v>7.54</v>
      </c>
    </row>
    <row r="780" spans="1:8">
      <c r="A780" s="3247">
        <v>778</v>
      </c>
      <c r="B780" s="3610"/>
      <c r="C780" s="3606" t="s">
        <v>3476</v>
      </c>
      <c r="D780" s="3606"/>
      <c r="E780" s="3249" t="s">
        <v>3962</v>
      </c>
      <c r="F780" s="3249">
        <f>[2]Sheet2!F781</f>
        <v>36.74</v>
      </c>
      <c r="G780" s="3250" t="s">
        <v>3183</v>
      </c>
      <c r="H780" s="3253">
        <f t="shared" si="12"/>
        <v>7.54</v>
      </c>
    </row>
    <row r="781" spans="1:8">
      <c r="A781" s="3247">
        <v>779</v>
      </c>
      <c r="B781" s="3610"/>
      <c r="C781" s="3606" t="s">
        <v>3476</v>
      </c>
      <c r="D781" s="3606"/>
      <c r="E781" s="3249" t="s">
        <v>3963</v>
      </c>
      <c r="F781" s="3249">
        <f>[2]Sheet2!F782</f>
        <v>36.74</v>
      </c>
      <c r="G781" s="3250" t="s">
        <v>3183</v>
      </c>
      <c r="H781" s="3253">
        <f t="shared" si="12"/>
        <v>7.54</v>
      </c>
    </row>
    <row r="782" spans="1:8">
      <c r="A782" s="3247">
        <v>780</v>
      </c>
      <c r="B782" s="3610"/>
      <c r="C782" s="3606" t="s">
        <v>3476</v>
      </c>
      <c r="D782" s="3606"/>
      <c r="E782" s="3249" t="s">
        <v>3964</v>
      </c>
      <c r="F782" s="3249">
        <f>[2]Sheet2!F783</f>
        <v>36.74</v>
      </c>
      <c r="G782" s="3250" t="s">
        <v>3183</v>
      </c>
      <c r="H782" s="3253">
        <f t="shared" si="12"/>
        <v>7.54</v>
      </c>
    </row>
    <row r="783" spans="1:8">
      <c r="A783" s="3247">
        <v>781</v>
      </c>
      <c r="B783" s="3610"/>
      <c r="C783" s="3606" t="s">
        <v>3476</v>
      </c>
      <c r="D783" s="3606"/>
      <c r="E783" s="3249" t="s">
        <v>3965</v>
      </c>
      <c r="F783" s="3249">
        <f>[2]Sheet2!F784</f>
        <v>36.74</v>
      </c>
      <c r="G783" s="3250" t="s">
        <v>3183</v>
      </c>
      <c r="H783" s="3253">
        <f t="shared" si="12"/>
        <v>7.54</v>
      </c>
    </row>
    <row r="784" spans="1:8">
      <c r="A784" s="3247">
        <v>782</v>
      </c>
      <c r="B784" s="3610"/>
      <c r="C784" s="3606" t="s">
        <v>3476</v>
      </c>
      <c r="D784" s="3606"/>
      <c r="E784" s="3249" t="s">
        <v>3966</v>
      </c>
      <c r="F784" s="3249">
        <f>[2]Sheet2!F785</f>
        <v>36.74</v>
      </c>
      <c r="G784" s="3250" t="s">
        <v>3183</v>
      </c>
      <c r="H784" s="3253">
        <f t="shared" si="12"/>
        <v>7.54</v>
      </c>
    </row>
    <row r="785" spans="1:8">
      <c r="A785" s="3247">
        <v>783</v>
      </c>
      <c r="B785" s="3610"/>
      <c r="C785" s="3606" t="s">
        <v>3476</v>
      </c>
      <c r="D785" s="3606"/>
      <c r="E785" s="3249" t="s">
        <v>3967</v>
      </c>
      <c r="F785" s="3249">
        <f>[2]Sheet2!F786</f>
        <v>36.74</v>
      </c>
      <c r="G785" s="3250" t="s">
        <v>3183</v>
      </c>
      <c r="H785" s="3253">
        <f t="shared" si="12"/>
        <v>7.54</v>
      </c>
    </row>
    <row r="786" spans="1:8">
      <c r="A786" s="3247">
        <v>784</v>
      </c>
      <c r="B786" s="3610"/>
      <c r="C786" s="3606" t="s">
        <v>3476</v>
      </c>
      <c r="D786" s="3606"/>
      <c r="E786" s="3249" t="s">
        <v>3968</v>
      </c>
      <c r="F786" s="3249">
        <f>[2]Sheet2!F787</f>
        <v>39.090000000000003</v>
      </c>
      <c r="G786" s="3250" t="s">
        <v>3183</v>
      </c>
      <c r="H786" s="3253">
        <f t="shared" si="12"/>
        <v>8.02</v>
      </c>
    </row>
    <row r="787" spans="1:8">
      <c r="A787" s="3247">
        <v>785</v>
      </c>
      <c r="B787" s="3610"/>
      <c r="C787" s="3606" t="s">
        <v>3476</v>
      </c>
      <c r="D787" s="3606"/>
      <c r="E787" s="3249" t="s">
        <v>3969</v>
      </c>
      <c r="F787" s="3249">
        <f>[2]Sheet2!F788</f>
        <v>39.090000000000003</v>
      </c>
      <c r="G787" s="3250" t="s">
        <v>3183</v>
      </c>
      <c r="H787" s="3253">
        <f t="shared" si="12"/>
        <v>8.02</v>
      </c>
    </row>
    <row r="788" spans="1:8">
      <c r="A788" s="3247">
        <v>786</v>
      </c>
      <c r="B788" s="3610"/>
      <c r="C788" s="3606" t="s">
        <v>3476</v>
      </c>
      <c r="D788" s="3606"/>
      <c r="E788" s="3249" t="s">
        <v>3970</v>
      </c>
      <c r="F788" s="3249">
        <f>[2]Sheet2!F789</f>
        <v>39.090000000000003</v>
      </c>
      <c r="G788" s="3250" t="s">
        <v>3183</v>
      </c>
      <c r="H788" s="3253">
        <f t="shared" si="12"/>
        <v>8.02</v>
      </c>
    </row>
    <row r="789" spans="1:8">
      <c r="A789" s="3247">
        <v>787</v>
      </c>
      <c r="B789" s="3610"/>
      <c r="C789" s="3606" t="s">
        <v>3476</v>
      </c>
      <c r="D789" s="3606"/>
      <c r="E789" s="3249" t="s">
        <v>3971</v>
      </c>
      <c r="F789" s="3249">
        <f>[2]Sheet2!F790</f>
        <v>39.090000000000003</v>
      </c>
      <c r="G789" s="3250" t="s">
        <v>3183</v>
      </c>
      <c r="H789" s="3253">
        <f t="shared" si="12"/>
        <v>8.02</v>
      </c>
    </row>
    <row r="790" spans="1:8">
      <c r="A790" s="3247">
        <v>788</v>
      </c>
      <c r="B790" s="3610"/>
      <c r="C790" s="3606" t="s">
        <v>3476</v>
      </c>
      <c r="D790" s="3606"/>
      <c r="E790" s="3249" t="s">
        <v>3972</v>
      </c>
      <c r="F790" s="3249">
        <f>[2]Sheet2!F791</f>
        <v>39.090000000000003</v>
      </c>
      <c r="G790" s="3250" t="s">
        <v>3183</v>
      </c>
      <c r="H790" s="3253">
        <f t="shared" si="12"/>
        <v>8.02</v>
      </c>
    </row>
    <row r="791" spans="1:8">
      <c r="A791" s="3247">
        <v>789</v>
      </c>
      <c r="B791" s="3610"/>
      <c r="C791" s="3606" t="s">
        <v>3476</v>
      </c>
      <c r="D791" s="3606"/>
      <c r="E791" s="3249" t="s">
        <v>3973</v>
      </c>
      <c r="F791" s="3249">
        <f>[2]Sheet2!F792</f>
        <v>39.090000000000003</v>
      </c>
      <c r="G791" s="3250" t="s">
        <v>3183</v>
      </c>
      <c r="H791" s="3253">
        <f t="shared" si="12"/>
        <v>8.02</v>
      </c>
    </row>
    <row r="792" spans="1:8">
      <c r="A792" s="3247">
        <v>790</v>
      </c>
      <c r="B792" s="3610"/>
      <c r="C792" s="3606" t="s">
        <v>3476</v>
      </c>
      <c r="D792" s="3606"/>
      <c r="E792" s="3249" t="s">
        <v>3974</v>
      </c>
      <c r="F792" s="3249">
        <f>[2]Sheet2!F793</f>
        <v>39.090000000000003</v>
      </c>
      <c r="G792" s="3250" t="s">
        <v>3183</v>
      </c>
      <c r="H792" s="3253">
        <f t="shared" si="12"/>
        <v>8.02</v>
      </c>
    </row>
    <row r="793" spans="1:8">
      <c r="A793" s="3247">
        <v>791</v>
      </c>
      <c r="B793" s="3610"/>
      <c r="C793" s="3606" t="s">
        <v>3476</v>
      </c>
      <c r="D793" s="3606"/>
      <c r="E793" s="3249" t="s">
        <v>3975</v>
      </c>
      <c r="F793" s="3249">
        <f>[2]Sheet2!F794</f>
        <v>36.74</v>
      </c>
      <c r="G793" s="3250" t="s">
        <v>3183</v>
      </c>
      <c r="H793" s="3253">
        <f t="shared" si="12"/>
        <v>7.54</v>
      </c>
    </row>
    <row r="794" spans="1:8">
      <c r="A794" s="3247">
        <v>792</v>
      </c>
      <c r="B794" s="3610"/>
      <c r="C794" s="3606" t="s">
        <v>3476</v>
      </c>
      <c r="D794" s="3606"/>
      <c r="E794" s="3249" t="s">
        <v>3976</v>
      </c>
      <c r="F794" s="3249">
        <f>[2]Sheet2!F795</f>
        <v>36.74</v>
      </c>
      <c r="G794" s="3250" t="s">
        <v>3183</v>
      </c>
      <c r="H794" s="3253">
        <f t="shared" si="12"/>
        <v>7.54</v>
      </c>
    </row>
    <row r="795" spans="1:8">
      <c r="A795" s="3247">
        <v>793</v>
      </c>
      <c r="B795" s="3610"/>
      <c r="C795" s="3606" t="s">
        <v>3476</v>
      </c>
      <c r="D795" s="3606"/>
      <c r="E795" s="3249" t="s">
        <v>3977</v>
      </c>
      <c r="F795" s="3249">
        <f>[2]Sheet2!F796</f>
        <v>36.770000000000003</v>
      </c>
      <c r="G795" s="3250" t="s">
        <v>3183</v>
      </c>
      <c r="H795" s="3253">
        <f t="shared" si="12"/>
        <v>7.55</v>
      </c>
    </row>
    <row r="796" spans="1:8">
      <c r="A796" s="3247">
        <v>794</v>
      </c>
      <c r="B796" s="3610"/>
      <c r="C796" s="3606" t="s">
        <v>3476</v>
      </c>
      <c r="D796" s="3606"/>
      <c r="E796" s="3249" t="s">
        <v>3978</v>
      </c>
      <c r="F796" s="3249">
        <f>[2]Sheet2!F797</f>
        <v>36.770000000000003</v>
      </c>
      <c r="G796" s="3250" t="s">
        <v>3183</v>
      </c>
      <c r="H796" s="3253">
        <f t="shared" si="12"/>
        <v>7.55</v>
      </c>
    </row>
    <row r="797" spans="1:8">
      <c r="A797" s="3247">
        <v>795</v>
      </c>
      <c r="B797" s="3610"/>
      <c r="C797" s="3606" t="s">
        <v>3476</v>
      </c>
      <c r="D797" s="3606"/>
      <c r="E797" s="3249" t="s">
        <v>3979</v>
      </c>
      <c r="F797" s="3249">
        <f>[2]Sheet2!F798</f>
        <v>36.770000000000003</v>
      </c>
      <c r="G797" s="3250" t="s">
        <v>3183</v>
      </c>
      <c r="H797" s="3253">
        <f t="shared" si="12"/>
        <v>7.55</v>
      </c>
    </row>
    <row r="798" spans="1:8">
      <c r="A798" s="3247">
        <v>796</v>
      </c>
      <c r="B798" s="3610"/>
      <c r="C798" s="3606" t="s">
        <v>3476</v>
      </c>
      <c r="D798" s="3606"/>
      <c r="E798" s="3249" t="s">
        <v>3980</v>
      </c>
      <c r="F798" s="3249">
        <f>[2]Sheet2!F799</f>
        <v>40.65</v>
      </c>
      <c r="G798" s="3250" t="s">
        <v>3183</v>
      </c>
      <c r="H798" s="3253">
        <f t="shared" si="12"/>
        <v>8.34</v>
      </c>
    </row>
    <row r="799" spans="1:8">
      <c r="A799" s="3247">
        <v>797</v>
      </c>
      <c r="B799" s="3610"/>
      <c r="C799" s="3606" t="s">
        <v>3476</v>
      </c>
      <c r="D799" s="3606"/>
      <c r="E799" s="3249" t="s">
        <v>3981</v>
      </c>
      <c r="F799" s="3249">
        <f>[2]Sheet2!F800</f>
        <v>37.520000000000003</v>
      </c>
      <c r="G799" s="3250" t="s">
        <v>3183</v>
      </c>
      <c r="H799" s="3253">
        <f t="shared" si="12"/>
        <v>7.7</v>
      </c>
    </row>
    <row r="800" spans="1:8">
      <c r="A800" s="3247">
        <v>798</v>
      </c>
      <c r="B800" s="3610"/>
      <c r="C800" s="3606" t="s">
        <v>3476</v>
      </c>
      <c r="D800" s="3606"/>
      <c r="E800" s="3249" t="s">
        <v>3982</v>
      </c>
      <c r="F800" s="3249">
        <f>[2]Sheet2!F801</f>
        <v>37.520000000000003</v>
      </c>
      <c r="G800" s="3250" t="s">
        <v>3183</v>
      </c>
      <c r="H800" s="3253">
        <f t="shared" si="12"/>
        <v>7.7</v>
      </c>
    </row>
    <row r="801" spans="1:8">
      <c r="A801" s="3247">
        <v>799</v>
      </c>
      <c r="B801" s="3610"/>
      <c r="C801" s="3606" t="s">
        <v>3476</v>
      </c>
      <c r="D801" s="3606"/>
      <c r="E801" s="3249" t="s">
        <v>3983</v>
      </c>
      <c r="F801" s="3249">
        <f>[2]Sheet2!F802</f>
        <v>37.520000000000003</v>
      </c>
      <c r="G801" s="3250" t="s">
        <v>3183</v>
      </c>
      <c r="H801" s="3253">
        <f t="shared" si="12"/>
        <v>7.7</v>
      </c>
    </row>
    <row r="802" spans="1:8">
      <c r="A802" s="3247">
        <v>800</v>
      </c>
      <c r="B802" s="3610"/>
      <c r="C802" s="3606" t="s">
        <v>3476</v>
      </c>
      <c r="D802" s="3606"/>
      <c r="E802" s="3249" t="s">
        <v>3984</v>
      </c>
      <c r="F802" s="3249">
        <f>[2]Sheet2!F803</f>
        <v>37.520000000000003</v>
      </c>
      <c r="G802" s="3250" t="s">
        <v>3183</v>
      </c>
      <c r="H802" s="3253">
        <f t="shared" si="12"/>
        <v>7.7</v>
      </c>
    </row>
    <row r="803" spans="1:8">
      <c r="A803" s="3247">
        <v>801</v>
      </c>
      <c r="B803" s="3610"/>
      <c r="C803" s="3606" t="s">
        <v>3476</v>
      </c>
      <c r="D803" s="3606"/>
      <c r="E803" s="3249" t="s">
        <v>3985</v>
      </c>
      <c r="F803" s="3249">
        <f>[2]Sheet2!F804</f>
        <v>37.520000000000003</v>
      </c>
      <c r="G803" s="3250" t="s">
        <v>3183</v>
      </c>
      <c r="H803" s="3253">
        <f t="shared" si="12"/>
        <v>7.7</v>
      </c>
    </row>
    <row r="804" spans="1:8">
      <c r="A804" s="3247">
        <v>802</v>
      </c>
      <c r="B804" s="3610"/>
      <c r="C804" s="3606" t="s">
        <v>3476</v>
      </c>
      <c r="D804" s="3606"/>
      <c r="E804" s="3249" t="s">
        <v>3986</v>
      </c>
      <c r="F804" s="3249">
        <f>[2]Sheet2!F805</f>
        <v>37.520000000000003</v>
      </c>
      <c r="G804" s="3250" t="s">
        <v>3183</v>
      </c>
      <c r="H804" s="3253">
        <f t="shared" si="12"/>
        <v>7.7</v>
      </c>
    </row>
    <row r="805" spans="1:8">
      <c r="A805" s="3247">
        <v>803</v>
      </c>
      <c r="B805" s="3610"/>
      <c r="C805" s="3606" t="s">
        <v>3476</v>
      </c>
      <c r="D805" s="3606"/>
      <c r="E805" s="3249" t="s">
        <v>3987</v>
      </c>
      <c r="F805" s="3249">
        <f>[2]Sheet2!F806</f>
        <v>37.520000000000003</v>
      </c>
      <c r="G805" s="3250" t="s">
        <v>3183</v>
      </c>
      <c r="H805" s="3253">
        <f t="shared" si="12"/>
        <v>7.7</v>
      </c>
    </row>
    <row r="806" spans="1:8">
      <c r="A806" s="3247">
        <v>804</v>
      </c>
      <c r="B806" s="3610"/>
      <c r="C806" s="3606" t="s">
        <v>3476</v>
      </c>
      <c r="D806" s="3606"/>
      <c r="E806" s="3249" t="s">
        <v>3988</v>
      </c>
      <c r="F806" s="3249">
        <f>[2]Sheet2!F807</f>
        <v>37.520000000000003</v>
      </c>
      <c r="G806" s="3250" t="s">
        <v>3183</v>
      </c>
      <c r="H806" s="3253">
        <f t="shared" si="12"/>
        <v>7.7</v>
      </c>
    </row>
    <row r="807" spans="1:8">
      <c r="A807" s="3247">
        <v>805</v>
      </c>
      <c r="B807" s="3610"/>
      <c r="C807" s="3606" t="s">
        <v>3476</v>
      </c>
      <c r="D807" s="3606"/>
      <c r="E807" s="3249" t="s">
        <v>3989</v>
      </c>
      <c r="F807" s="3249">
        <f>[2]Sheet2!F808</f>
        <v>36.020000000000003</v>
      </c>
      <c r="G807" s="3250" t="s">
        <v>3183</v>
      </c>
      <c r="H807" s="3253">
        <f t="shared" si="12"/>
        <v>7.39</v>
      </c>
    </row>
    <row r="808" spans="1:8">
      <c r="A808" s="3247">
        <v>806</v>
      </c>
      <c r="B808" s="3610"/>
      <c r="C808" s="3606" t="s">
        <v>3476</v>
      </c>
      <c r="D808" s="3606"/>
      <c r="E808" s="3249" t="s">
        <v>3990</v>
      </c>
      <c r="F808" s="3249">
        <f>[2]Sheet2!F809</f>
        <v>36.020000000000003</v>
      </c>
      <c r="G808" s="3250" t="s">
        <v>3183</v>
      </c>
      <c r="H808" s="3253">
        <f t="shared" ref="H808:H871" si="13">ROUND(F808/$J$5*$K$5,2)</f>
        <v>7.39</v>
      </c>
    </row>
    <row r="809" spans="1:8">
      <c r="A809" s="3247">
        <v>807</v>
      </c>
      <c r="B809" s="3610"/>
      <c r="C809" s="3606" t="s">
        <v>3476</v>
      </c>
      <c r="D809" s="3606"/>
      <c r="E809" s="3249" t="s">
        <v>3991</v>
      </c>
      <c r="F809" s="3249">
        <f>[2]Sheet2!F810</f>
        <v>36.020000000000003</v>
      </c>
      <c r="G809" s="3250" t="s">
        <v>3183</v>
      </c>
      <c r="H809" s="3253">
        <f t="shared" si="13"/>
        <v>7.39</v>
      </c>
    </row>
    <row r="810" spans="1:8">
      <c r="A810" s="3247">
        <v>808</v>
      </c>
      <c r="B810" s="3610"/>
      <c r="C810" s="3606" t="s">
        <v>3476</v>
      </c>
      <c r="D810" s="3606"/>
      <c r="E810" s="3249" t="s">
        <v>3992</v>
      </c>
      <c r="F810" s="3249">
        <f>[2]Sheet2!F811</f>
        <v>36.020000000000003</v>
      </c>
      <c r="G810" s="3250" t="s">
        <v>3183</v>
      </c>
      <c r="H810" s="3253">
        <f t="shared" si="13"/>
        <v>7.39</v>
      </c>
    </row>
    <row r="811" spans="1:8">
      <c r="A811" s="3247">
        <v>809</v>
      </c>
      <c r="B811" s="3610"/>
      <c r="C811" s="3606" t="s">
        <v>3476</v>
      </c>
      <c r="D811" s="3606"/>
      <c r="E811" s="3249" t="s">
        <v>3993</v>
      </c>
      <c r="F811" s="3249">
        <f>[2]Sheet2!F812</f>
        <v>36.020000000000003</v>
      </c>
      <c r="G811" s="3250" t="s">
        <v>3183</v>
      </c>
      <c r="H811" s="3253">
        <f t="shared" si="13"/>
        <v>7.39</v>
      </c>
    </row>
    <row r="812" spans="1:8">
      <c r="A812" s="3247">
        <v>810</v>
      </c>
      <c r="B812" s="3610"/>
      <c r="C812" s="3606" t="s">
        <v>3476</v>
      </c>
      <c r="D812" s="3606"/>
      <c r="E812" s="3249" t="s">
        <v>3994</v>
      </c>
      <c r="F812" s="3249">
        <f>[2]Sheet2!F813</f>
        <v>36.020000000000003</v>
      </c>
      <c r="G812" s="3250" t="s">
        <v>3183</v>
      </c>
      <c r="H812" s="3253">
        <f t="shared" si="13"/>
        <v>7.39</v>
      </c>
    </row>
    <row r="813" spans="1:8">
      <c r="A813" s="3247">
        <v>811</v>
      </c>
      <c r="B813" s="3610"/>
      <c r="C813" s="3606" t="s">
        <v>3476</v>
      </c>
      <c r="D813" s="3606"/>
      <c r="E813" s="3249" t="s">
        <v>3995</v>
      </c>
      <c r="F813" s="3249">
        <f>[2]Sheet2!F814</f>
        <v>36.020000000000003</v>
      </c>
      <c r="G813" s="3250" t="s">
        <v>3183</v>
      </c>
      <c r="H813" s="3253">
        <f t="shared" si="13"/>
        <v>7.39</v>
      </c>
    </row>
    <row r="814" spans="1:8">
      <c r="A814" s="3247">
        <v>812</v>
      </c>
      <c r="B814" s="3610"/>
      <c r="C814" s="3606" t="s">
        <v>3476</v>
      </c>
      <c r="D814" s="3606"/>
      <c r="E814" s="3249" t="s">
        <v>3996</v>
      </c>
      <c r="F814" s="3249">
        <f>[2]Sheet2!F815</f>
        <v>39.090000000000003</v>
      </c>
      <c r="G814" s="3250" t="s">
        <v>3183</v>
      </c>
      <c r="H814" s="3253">
        <f t="shared" si="13"/>
        <v>8.02</v>
      </c>
    </row>
    <row r="815" spans="1:8">
      <c r="A815" s="3247">
        <v>813</v>
      </c>
      <c r="B815" s="3610"/>
      <c r="C815" s="3606" t="s">
        <v>3476</v>
      </c>
      <c r="D815" s="3606"/>
      <c r="E815" s="3249" t="s">
        <v>3997</v>
      </c>
      <c r="F815" s="3249">
        <f>[2]Sheet2!F816</f>
        <v>39.090000000000003</v>
      </c>
      <c r="G815" s="3250" t="s">
        <v>3183</v>
      </c>
      <c r="H815" s="3253">
        <f t="shared" si="13"/>
        <v>8.02</v>
      </c>
    </row>
    <row r="816" spans="1:8">
      <c r="A816" s="3247">
        <v>814</v>
      </c>
      <c r="B816" s="3610"/>
      <c r="C816" s="3606" t="s">
        <v>3476</v>
      </c>
      <c r="D816" s="3606"/>
      <c r="E816" s="3249" t="s">
        <v>3998</v>
      </c>
      <c r="F816" s="3249">
        <f>[2]Sheet2!F817</f>
        <v>39.090000000000003</v>
      </c>
      <c r="G816" s="3250" t="s">
        <v>3183</v>
      </c>
      <c r="H816" s="3253">
        <f t="shared" si="13"/>
        <v>8.02</v>
      </c>
    </row>
    <row r="817" spans="1:8">
      <c r="A817" s="3247">
        <v>815</v>
      </c>
      <c r="B817" s="3610"/>
      <c r="C817" s="3606" t="s">
        <v>3476</v>
      </c>
      <c r="D817" s="3606"/>
      <c r="E817" s="3249" t="s">
        <v>3999</v>
      </c>
      <c r="F817" s="3249">
        <f>[2]Sheet2!F818</f>
        <v>36.020000000000003</v>
      </c>
      <c r="G817" s="3250" t="s">
        <v>3183</v>
      </c>
      <c r="H817" s="3253">
        <f t="shared" si="13"/>
        <v>7.39</v>
      </c>
    </row>
    <row r="818" spans="1:8">
      <c r="A818" s="3247">
        <v>816</v>
      </c>
      <c r="B818" s="3610"/>
      <c r="C818" s="3606" t="s">
        <v>3476</v>
      </c>
      <c r="D818" s="3606"/>
      <c r="E818" s="3249" t="s">
        <v>4000</v>
      </c>
      <c r="F818" s="3249">
        <f>[2]Sheet2!F819</f>
        <v>36.020000000000003</v>
      </c>
      <c r="G818" s="3250" t="s">
        <v>3183</v>
      </c>
      <c r="H818" s="3253">
        <f t="shared" si="13"/>
        <v>7.39</v>
      </c>
    </row>
    <row r="819" spans="1:8">
      <c r="A819" s="3247">
        <v>817</v>
      </c>
      <c r="B819" s="3610"/>
      <c r="C819" s="3606" t="s">
        <v>3476</v>
      </c>
      <c r="D819" s="3606"/>
      <c r="E819" s="3249" t="s">
        <v>4001</v>
      </c>
      <c r="F819" s="3249">
        <f>[2]Sheet2!F820</f>
        <v>36.020000000000003</v>
      </c>
      <c r="G819" s="3250" t="s">
        <v>3183</v>
      </c>
      <c r="H819" s="3253">
        <f t="shared" si="13"/>
        <v>7.39</v>
      </c>
    </row>
    <row r="820" spans="1:8">
      <c r="A820" s="3247">
        <v>818</v>
      </c>
      <c r="B820" s="3610"/>
      <c r="C820" s="3606" t="s">
        <v>3476</v>
      </c>
      <c r="D820" s="3606"/>
      <c r="E820" s="3249" t="s">
        <v>4002</v>
      </c>
      <c r="F820" s="3249">
        <f>[2]Sheet2!F821</f>
        <v>39.090000000000003</v>
      </c>
      <c r="G820" s="3250" t="s">
        <v>3183</v>
      </c>
      <c r="H820" s="3253">
        <f t="shared" si="13"/>
        <v>8.02</v>
      </c>
    </row>
    <row r="821" spans="1:8">
      <c r="A821" s="3247">
        <v>819</v>
      </c>
      <c r="B821" s="3610"/>
      <c r="C821" s="3606" t="s">
        <v>3476</v>
      </c>
      <c r="D821" s="3606"/>
      <c r="E821" s="3249" t="s">
        <v>4003</v>
      </c>
      <c r="F821" s="3249">
        <f>[2]Sheet2!F822</f>
        <v>39.090000000000003</v>
      </c>
      <c r="G821" s="3250" t="s">
        <v>3183</v>
      </c>
      <c r="H821" s="3253">
        <f t="shared" si="13"/>
        <v>8.02</v>
      </c>
    </row>
    <row r="822" spans="1:8">
      <c r="A822" s="3247">
        <v>820</v>
      </c>
      <c r="B822" s="3610"/>
      <c r="C822" s="3606" t="s">
        <v>3476</v>
      </c>
      <c r="D822" s="3606"/>
      <c r="E822" s="3249" t="s">
        <v>4004</v>
      </c>
      <c r="F822" s="3249">
        <f>[2]Sheet2!F823</f>
        <v>39.090000000000003</v>
      </c>
      <c r="G822" s="3250" t="s">
        <v>3183</v>
      </c>
      <c r="H822" s="3253">
        <f t="shared" si="13"/>
        <v>8.02</v>
      </c>
    </row>
    <row r="823" spans="1:8">
      <c r="A823" s="3247">
        <v>821</v>
      </c>
      <c r="B823" s="3610"/>
      <c r="C823" s="3606" t="s">
        <v>3476</v>
      </c>
      <c r="D823" s="3606"/>
      <c r="E823" s="3249" t="s">
        <v>4005</v>
      </c>
      <c r="F823" s="3249">
        <f>[2]Sheet2!F824</f>
        <v>39.090000000000003</v>
      </c>
      <c r="G823" s="3250" t="s">
        <v>3183</v>
      </c>
      <c r="H823" s="3253">
        <f t="shared" si="13"/>
        <v>8.02</v>
      </c>
    </row>
    <row r="824" spans="1:8">
      <c r="A824" s="3247">
        <v>822</v>
      </c>
      <c r="B824" s="3610"/>
      <c r="C824" s="3606" t="s">
        <v>3476</v>
      </c>
      <c r="D824" s="3606"/>
      <c r="E824" s="3249" t="s">
        <v>4006</v>
      </c>
      <c r="F824" s="3249">
        <f>[2]Sheet2!F825</f>
        <v>39.090000000000003</v>
      </c>
      <c r="G824" s="3250" t="s">
        <v>3183</v>
      </c>
      <c r="H824" s="3253">
        <f t="shared" si="13"/>
        <v>8.02</v>
      </c>
    </row>
    <row r="825" spans="1:8">
      <c r="A825" s="3247">
        <v>823</v>
      </c>
      <c r="B825" s="3610"/>
      <c r="C825" s="3606" t="s">
        <v>3476</v>
      </c>
      <c r="D825" s="3606"/>
      <c r="E825" s="3249" t="s">
        <v>4007</v>
      </c>
      <c r="F825" s="3249">
        <f>[2]Sheet2!F826</f>
        <v>39.090000000000003</v>
      </c>
      <c r="G825" s="3250" t="s">
        <v>3183</v>
      </c>
      <c r="H825" s="3253">
        <f t="shared" si="13"/>
        <v>8.02</v>
      </c>
    </row>
    <row r="826" spans="1:8">
      <c r="A826" s="3247">
        <v>824</v>
      </c>
      <c r="B826" s="3610"/>
      <c r="C826" s="3606" t="s">
        <v>3476</v>
      </c>
      <c r="D826" s="3606"/>
      <c r="E826" s="3249" t="s">
        <v>4008</v>
      </c>
      <c r="F826" s="3249">
        <f>[2]Sheet2!F827</f>
        <v>36.74</v>
      </c>
      <c r="G826" s="3250" t="s">
        <v>3183</v>
      </c>
      <c r="H826" s="3253">
        <f t="shared" si="13"/>
        <v>7.54</v>
      </c>
    </row>
    <row r="827" spans="1:8">
      <c r="A827" s="3247">
        <v>825</v>
      </c>
      <c r="B827" s="3610"/>
      <c r="C827" s="3606" t="s">
        <v>3476</v>
      </c>
      <c r="D827" s="3606"/>
      <c r="E827" s="3249" t="s">
        <v>4009</v>
      </c>
      <c r="F827" s="3249">
        <f>[2]Sheet2!F828</f>
        <v>36.74</v>
      </c>
      <c r="G827" s="3250" t="s">
        <v>3183</v>
      </c>
      <c r="H827" s="3253">
        <f t="shared" si="13"/>
        <v>7.54</v>
      </c>
    </row>
    <row r="828" spans="1:8">
      <c r="A828" s="3247">
        <v>826</v>
      </c>
      <c r="B828" s="3610"/>
      <c r="C828" s="3606" t="s">
        <v>3476</v>
      </c>
      <c r="D828" s="3606"/>
      <c r="E828" s="3249" t="s">
        <v>4010</v>
      </c>
      <c r="F828" s="3249">
        <f>[2]Sheet2!F829</f>
        <v>36.74</v>
      </c>
      <c r="G828" s="3250" t="s">
        <v>3183</v>
      </c>
      <c r="H828" s="3253">
        <f t="shared" si="13"/>
        <v>7.54</v>
      </c>
    </row>
    <row r="829" spans="1:8">
      <c r="A829" s="3247">
        <v>827</v>
      </c>
      <c r="B829" s="3610"/>
      <c r="C829" s="3606" t="s">
        <v>3476</v>
      </c>
      <c r="D829" s="3606"/>
      <c r="E829" s="3249" t="s">
        <v>4011</v>
      </c>
      <c r="F829" s="3249">
        <f>[2]Sheet2!F830</f>
        <v>36.74</v>
      </c>
      <c r="G829" s="3250" t="s">
        <v>3183</v>
      </c>
      <c r="H829" s="3253">
        <f t="shared" si="13"/>
        <v>7.54</v>
      </c>
    </row>
    <row r="830" spans="1:8">
      <c r="A830" s="3247">
        <v>828</v>
      </c>
      <c r="B830" s="3610"/>
      <c r="C830" s="3606" t="s">
        <v>3476</v>
      </c>
      <c r="D830" s="3606"/>
      <c r="E830" s="3249" t="s">
        <v>4012</v>
      </c>
      <c r="F830" s="3249">
        <f>[2]Sheet2!F831</f>
        <v>36.74</v>
      </c>
      <c r="G830" s="3250" t="s">
        <v>3183</v>
      </c>
      <c r="H830" s="3253">
        <f t="shared" si="13"/>
        <v>7.54</v>
      </c>
    </row>
    <row r="831" spans="1:8">
      <c r="A831" s="3247">
        <v>829</v>
      </c>
      <c r="B831" s="3610"/>
      <c r="C831" s="3606" t="s">
        <v>3476</v>
      </c>
      <c r="D831" s="3606"/>
      <c r="E831" s="3249" t="s">
        <v>4013</v>
      </c>
      <c r="F831" s="3249">
        <f>[2]Sheet2!F832</f>
        <v>36.74</v>
      </c>
      <c r="G831" s="3250" t="s">
        <v>3183</v>
      </c>
      <c r="H831" s="3253">
        <f t="shared" si="13"/>
        <v>7.54</v>
      </c>
    </row>
    <row r="832" spans="1:8">
      <c r="A832" s="3247">
        <v>830</v>
      </c>
      <c r="B832" s="3610"/>
      <c r="C832" s="3606" t="s">
        <v>3476</v>
      </c>
      <c r="D832" s="3606"/>
      <c r="E832" s="3249" t="s">
        <v>4014</v>
      </c>
      <c r="F832" s="3249">
        <f>[2]Sheet2!F833</f>
        <v>39.090000000000003</v>
      </c>
      <c r="G832" s="3250" t="s">
        <v>3183</v>
      </c>
      <c r="H832" s="3253">
        <f t="shared" si="13"/>
        <v>8.02</v>
      </c>
    </row>
    <row r="833" spans="1:8">
      <c r="A833" s="3247">
        <v>831</v>
      </c>
      <c r="B833" s="3610"/>
      <c r="C833" s="3606" t="s">
        <v>3476</v>
      </c>
      <c r="D833" s="3606"/>
      <c r="E833" s="3249" t="s">
        <v>4015</v>
      </c>
      <c r="F833" s="3249">
        <f>[2]Sheet2!F834</f>
        <v>39.090000000000003</v>
      </c>
      <c r="G833" s="3250" t="s">
        <v>3183</v>
      </c>
      <c r="H833" s="3253">
        <f t="shared" si="13"/>
        <v>8.02</v>
      </c>
    </row>
    <row r="834" spans="1:8">
      <c r="A834" s="3247">
        <v>832</v>
      </c>
      <c r="B834" s="3610"/>
      <c r="C834" s="3606" t="s">
        <v>3476</v>
      </c>
      <c r="D834" s="3606"/>
      <c r="E834" s="3249" t="s">
        <v>4016</v>
      </c>
      <c r="F834" s="3249">
        <f>[2]Sheet2!F835</f>
        <v>39.090000000000003</v>
      </c>
      <c r="G834" s="3250" t="s">
        <v>3183</v>
      </c>
      <c r="H834" s="3253">
        <f t="shared" si="13"/>
        <v>8.02</v>
      </c>
    </row>
    <row r="835" spans="1:8">
      <c r="A835" s="3247">
        <v>833</v>
      </c>
      <c r="B835" s="3610"/>
      <c r="C835" s="3606" t="s">
        <v>3476</v>
      </c>
      <c r="D835" s="3606"/>
      <c r="E835" s="3249" t="s">
        <v>4017</v>
      </c>
      <c r="F835" s="3249">
        <f>[2]Sheet2!F836</f>
        <v>39.090000000000003</v>
      </c>
      <c r="G835" s="3250" t="s">
        <v>3183</v>
      </c>
      <c r="H835" s="3253">
        <f t="shared" si="13"/>
        <v>8.02</v>
      </c>
    </row>
    <row r="836" spans="1:8">
      <c r="A836" s="3247">
        <v>834</v>
      </c>
      <c r="B836" s="3610"/>
      <c r="C836" s="3606" t="s">
        <v>3476</v>
      </c>
      <c r="D836" s="3606"/>
      <c r="E836" s="3249" t="s">
        <v>4018</v>
      </c>
      <c r="F836" s="3249">
        <f>[2]Sheet2!F837</f>
        <v>39.090000000000003</v>
      </c>
      <c r="G836" s="3250" t="s">
        <v>3183</v>
      </c>
      <c r="H836" s="3253">
        <f t="shared" si="13"/>
        <v>8.02</v>
      </c>
    </row>
    <row r="837" spans="1:8">
      <c r="A837" s="3247">
        <v>835</v>
      </c>
      <c r="B837" s="3610"/>
      <c r="C837" s="3606" t="s">
        <v>3476</v>
      </c>
      <c r="D837" s="3606"/>
      <c r="E837" s="3249" t="s">
        <v>4019</v>
      </c>
      <c r="F837" s="3249">
        <f>[2]Sheet2!F838</f>
        <v>39.090000000000003</v>
      </c>
      <c r="G837" s="3250" t="s">
        <v>3183</v>
      </c>
      <c r="H837" s="3253">
        <f t="shared" si="13"/>
        <v>8.02</v>
      </c>
    </row>
    <row r="838" spans="1:8">
      <c r="A838" s="3247">
        <v>836</v>
      </c>
      <c r="B838" s="3610"/>
      <c r="C838" s="3606" t="s">
        <v>3476</v>
      </c>
      <c r="D838" s="3606"/>
      <c r="E838" s="3249" t="s">
        <v>4020</v>
      </c>
      <c r="F838" s="3249">
        <f>[2]Sheet2!F839</f>
        <v>39.090000000000003</v>
      </c>
      <c r="G838" s="3250" t="s">
        <v>3183</v>
      </c>
      <c r="H838" s="3253">
        <f t="shared" si="13"/>
        <v>8.02</v>
      </c>
    </row>
    <row r="839" spans="1:8">
      <c r="A839" s="3247">
        <v>837</v>
      </c>
      <c r="B839" s="3610"/>
      <c r="C839" s="3606" t="s">
        <v>3476</v>
      </c>
      <c r="D839" s="3606"/>
      <c r="E839" s="3249" t="s">
        <v>4021</v>
      </c>
      <c r="F839" s="3249">
        <f>[2]Sheet2!F840</f>
        <v>39.090000000000003</v>
      </c>
      <c r="G839" s="3250" t="s">
        <v>3183</v>
      </c>
      <c r="H839" s="3253">
        <f t="shared" si="13"/>
        <v>8.02</v>
      </c>
    </row>
    <row r="840" spans="1:8">
      <c r="A840" s="3247">
        <v>838</v>
      </c>
      <c r="B840" s="3610"/>
      <c r="C840" s="3606" t="s">
        <v>3476</v>
      </c>
      <c r="D840" s="3606"/>
      <c r="E840" s="3249" t="s">
        <v>4022</v>
      </c>
      <c r="F840" s="3249">
        <f>[2]Sheet2!F841</f>
        <v>39.090000000000003</v>
      </c>
      <c r="G840" s="3250" t="s">
        <v>3183</v>
      </c>
      <c r="H840" s="3253">
        <f t="shared" si="13"/>
        <v>8.02</v>
      </c>
    </row>
    <row r="841" spans="1:8">
      <c r="A841" s="3247">
        <v>839</v>
      </c>
      <c r="B841" s="3610"/>
      <c r="C841" s="3606" t="s">
        <v>3476</v>
      </c>
      <c r="D841" s="3606"/>
      <c r="E841" s="3249" t="s">
        <v>4023</v>
      </c>
      <c r="F841" s="3249">
        <f>[2]Sheet2!F842</f>
        <v>39.090000000000003</v>
      </c>
      <c r="G841" s="3250" t="s">
        <v>3183</v>
      </c>
      <c r="H841" s="3253">
        <f t="shared" si="13"/>
        <v>8.02</v>
      </c>
    </row>
    <row r="842" spans="1:8">
      <c r="A842" s="3247">
        <v>840</v>
      </c>
      <c r="B842" s="3610"/>
      <c r="C842" s="3606" t="s">
        <v>3476</v>
      </c>
      <c r="D842" s="3606"/>
      <c r="E842" s="3249" t="s">
        <v>4024</v>
      </c>
      <c r="F842" s="3249">
        <f>[2]Sheet2!F843</f>
        <v>39.090000000000003</v>
      </c>
      <c r="G842" s="3250" t="s">
        <v>3183</v>
      </c>
      <c r="H842" s="3253">
        <f t="shared" si="13"/>
        <v>8.02</v>
      </c>
    </row>
    <row r="843" spans="1:8">
      <c r="A843" s="3247">
        <v>841</v>
      </c>
      <c r="B843" s="3610"/>
      <c r="C843" s="3606" t="s">
        <v>3476</v>
      </c>
      <c r="D843" s="3606"/>
      <c r="E843" s="3249" t="s">
        <v>4025</v>
      </c>
      <c r="F843" s="3249">
        <f>[2]Sheet2!F844</f>
        <v>39.090000000000003</v>
      </c>
      <c r="G843" s="3250" t="s">
        <v>3183</v>
      </c>
      <c r="H843" s="3253">
        <f t="shared" si="13"/>
        <v>8.02</v>
      </c>
    </row>
    <row r="844" spans="1:8">
      <c r="A844" s="3247">
        <v>842</v>
      </c>
      <c r="B844" s="3610"/>
      <c r="C844" s="3606" t="s">
        <v>3476</v>
      </c>
      <c r="D844" s="3606"/>
      <c r="E844" s="3249" t="s">
        <v>4026</v>
      </c>
      <c r="F844" s="3249">
        <f>[2]Sheet2!F845</f>
        <v>36.74</v>
      </c>
      <c r="G844" s="3250" t="s">
        <v>3183</v>
      </c>
      <c r="H844" s="3253">
        <f t="shared" si="13"/>
        <v>7.54</v>
      </c>
    </row>
    <row r="845" spans="1:8">
      <c r="A845" s="3247">
        <v>843</v>
      </c>
      <c r="B845" s="3610"/>
      <c r="C845" s="3606" t="s">
        <v>3476</v>
      </c>
      <c r="D845" s="3606"/>
      <c r="E845" s="3249" t="s">
        <v>4027</v>
      </c>
      <c r="F845" s="3249">
        <f>[2]Sheet2!F846</f>
        <v>36.74</v>
      </c>
      <c r="G845" s="3250" t="s">
        <v>3183</v>
      </c>
      <c r="H845" s="3253">
        <f t="shared" si="13"/>
        <v>7.54</v>
      </c>
    </row>
    <row r="846" spans="1:8">
      <c r="A846" s="3247">
        <v>844</v>
      </c>
      <c r="B846" s="3610"/>
      <c r="C846" s="3606" t="s">
        <v>3476</v>
      </c>
      <c r="D846" s="3606"/>
      <c r="E846" s="3249" t="s">
        <v>4028</v>
      </c>
      <c r="F846" s="3249">
        <f>[2]Sheet2!F847</f>
        <v>36.74</v>
      </c>
      <c r="G846" s="3250" t="s">
        <v>3183</v>
      </c>
      <c r="H846" s="3253">
        <f t="shared" si="13"/>
        <v>7.54</v>
      </c>
    </row>
    <row r="847" spans="1:8">
      <c r="A847" s="3247">
        <v>845</v>
      </c>
      <c r="B847" s="3610"/>
      <c r="C847" s="3606" t="s">
        <v>3476</v>
      </c>
      <c r="D847" s="3606"/>
      <c r="E847" s="3249" t="s">
        <v>4029</v>
      </c>
      <c r="F847" s="3249">
        <f>[2]Sheet2!F848</f>
        <v>36.74</v>
      </c>
      <c r="G847" s="3250" t="s">
        <v>3183</v>
      </c>
      <c r="H847" s="3253">
        <f t="shared" si="13"/>
        <v>7.54</v>
      </c>
    </row>
    <row r="848" spans="1:8">
      <c r="A848" s="3247">
        <v>846</v>
      </c>
      <c r="B848" s="3610"/>
      <c r="C848" s="3606" t="s">
        <v>3476</v>
      </c>
      <c r="D848" s="3606"/>
      <c r="E848" s="3249" t="s">
        <v>4030</v>
      </c>
      <c r="F848" s="3249">
        <f>[2]Sheet2!F849</f>
        <v>36.74</v>
      </c>
      <c r="G848" s="3250" t="s">
        <v>3183</v>
      </c>
      <c r="H848" s="3253">
        <f t="shared" si="13"/>
        <v>7.54</v>
      </c>
    </row>
    <row r="849" spans="1:8">
      <c r="A849" s="3247">
        <v>847</v>
      </c>
      <c r="B849" s="3610"/>
      <c r="C849" s="3606" t="s">
        <v>3476</v>
      </c>
      <c r="D849" s="3606"/>
      <c r="E849" s="3249" t="s">
        <v>4031</v>
      </c>
      <c r="F849" s="3249">
        <f>[2]Sheet2!F850</f>
        <v>36.74</v>
      </c>
      <c r="G849" s="3250" t="s">
        <v>3183</v>
      </c>
      <c r="H849" s="3253">
        <f t="shared" si="13"/>
        <v>7.54</v>
      </c>
    </row>
    <row r="850" spans="1:8">
      <c r="A850" s="3247">
        <v>848</v>
      </c>
      <c r="B850" s="3610"/>
      <c r="C850" s="3606" t="s">
        <v>3476</v>
      </c>
      <c r="D850" s="3606"/>
      <c r="E850" s="3249" t="s">
        <v>4032</v>
      </c>
      <c r="F850" s="3249">
        <f>[2]Sheet2!F851</f>
        <v>36.74</v>
      </c>
      <c r="G850" s="3250" t="s">
        <v>3183</v>
      </c>
      <c r="H850" s="3253">
        <f t="shared" si="13"/>
        <v>7.54</v>
      </c>
    </row>
    <row r="851" spans="1:8">
      <c r="A851" s="3247">
        <v>849</v>
      </c>
      <c r="B851" s="3610"/>
      <c r="C851" s="3606" t="s">
        <v>3476</v>
      </c>
      <c r="D851" s="3606"/>
      <c r="E851" s="3249" t="s">
        <v>4033</v>
      </c>
      <c r="F851" s="3249">
        <f>[2]Sheet2!F852</f>
        <v>36.74</v>
      </c>
      <c r="G851" s="3250" t="s">
        <v>3183</v>
      </c>
      <c r="H851" s="3253">
        <f t="shared" si="13"/>
        <v>7.54</v>
      </c>
    </row>
    <row r="852" spans="1:8">
      <c r="A852" s="3247">
        <v>850</v>
      </c>
      <c r="B852" s="3610"/>
      <c r="C852" s="3606" t="s">
        <v>3476</v>
      </c>
      <c r="D852" s="3606"/>
      <c r="E852" s="3249" t="s">
        <v>4034</v>
      </c>
      <c r="F852" s="3249">
        <f>[2]Sheet2!F853</f>
        <v>39.090000000000003</v>
      </c>
      <c r="G852" s="3250" t="s">
        <v>3183</v>
      </c>
      <c r="H852" s="3253">
        <f t="shared" si="13"/>
        <v>8.02</v>
      </c>
    </row>
    <row r="853" spans="1:8">
      <c r="A853" s="3247">
        <v>851</v>
      </c>
      <c r="B853" s="3610"/>
      <c r="C853" s="3606" t="s">
        <v>3476</v>
      </c>
      <c r="D853" s="3606"/>
      <c r="E853" s="3249" t="s">
        <v>4035</v>
      </c>
      <c r="F853" s="3249">
        <f>[2]Sheet2!F854</f>
        <v>39.090000000000003</v>
      </c>
      <c r="G853" s="3250" t="s">
        <v>3183</v>
      </c>
      <c r="H853" s="3253">
        <f t="shared" si="13"/>
        <v>8.02</v>
      </c>
    </row>
    <row r="854" spans="1:8">
      <c r="A854" s="3247">
        <v>852</v>
      </c>
      <c r="B854" s="3610"/>
      <c r="C854" s="3606" t="s">
        <v>3476</v>
      </c>
      <c r="D854" s="3606"/>
      <c r="E854" s="3249" t="s">
        <v>4036</v>
      </c>
      <c r="F854" s="3249">
        <f>[2]Sheet2!F855</f>
        <v>39.090000000000003</v>
      </c>
      <c r="G854" s="3250" t="s">
        <v>3183</v>
      </c>
      <c r="H854" s="3253">
        <f t="shared" si="13"/>
        <v>8.02</v>
      </c>
    </row>
    <row r="855" spans="1:8">
      <c r="A855" s="3247">
        <v>853</v>
      </c>
      <c r="B855" s="3610"/>
      <c r="C855" s="3606" t="s">
        <v>3476</v>
      </c>
      <c r="D855" s="3606"/>
      <c r="E855" s="3249" t="s">
        <v>4037</v>
      </c>
      <c r="F855" s="3249">
        <f>[2]Sheet2!F856</f>
        <v>39.090000000000003</v>
      </c>
      <c r="G855" s="3250" t="s">
        <v>3183</v>
      </c>
      <c r="H855" s="3253">
        <f t="shared" si="13"/>
        <v>8.02</v>
      </c>
    </row>
    <row r="856" spans="1:8">
      <c r="A856" s="3247">
        <v>854</v>
      </c>
      <c r="B856" s="3610"/>
      <c r="C856" s="3606" t="s">
        <v>3476</v>
      </c>
      <c r="D856" s="3606"/>
      <c r="E856" s="3249" t="s">
        <v>4038</v>
      </c>
      <c r="F856" s="3249">
        <f>[2]Sheet2!F857</f>
        <v>39.090000000000003</v>
      </c>
      <c r="G856" s="3250" t="s">
        <v>3183</v>
      </c>
      <c r="H856" s="3253">
        <f t="shared" si="13"/>
        <v>8.02</v>
      </c>
    </row>
    <row r="857" spans="1:8">
      <c r="A857" s="3247">
        <v>855</v>
      </c>
      <c r="B857" s="3610"/>
      <c r="C857" s="3606" t="s">
        <v>3476</v>
      </c>
      <c r="D857" s="3606"/>
      <c r="E857" s="3249" t="s">
        <v>4039</v>
      </c>
      <c r="F857" s="3249">
        <f>[2]Sheet2!F858</f>
        <v>32.83</v>
      </c>
      <c r="G857" s="3250" t="s">
        <v>3183</v>
      </c>
      <c r="H857" s="3253">
        <f t="shared" si="13"/>
        <v>6.74</v>
      </c>
    </row>
    <row r="858" spans="1:8">
      <c r="A858" s="3247">
        <v>856</v>
      </c>
      <c r="B858" s="3610"/>
      <c r="C858" s="3606" t="s">
        <v>3476</v>
      </c>
      <c r="D858" s="3606"/>
      <c r="E858" s="3249" t="s">
        <v>4040</v>
      </c>
      <c r="F858" s="3249">
        <f>[2]Sheet2!F859</f>
        <v>39.090000000000003</v>
      </c>
      <c r="G858" s="3250" t="s">
        <v>3183</v>
      </c>
      <c r="H858" s="3253">
        <f t="shared" si="13"/>
        <v>8.02</v>
      </c>
    </row>
    <row r="859" spans="1:8">
      <c r="A859" s="3247">
        <v>857</v>
      </c>
      <c r="B859" s="3610"/>
      <c r="C859" s="3606" t="s">
        <v>3476</v>
      </c>
      <c r="D859" s="3606"/>
      <c r="E859" s="3249" t="s">
        <v>4041</v>
      </c>
      <c r="F859" s="3249">
        <f>[2]Sheet2!F860</f>
        <v>37.520000000000003</v>
      </c>
      <c r="G859" s="3250" t="s">
        <v>3183</v>
      </c>
      <c r="H859" s="3253">
        <f t="shared" si="13"/>
        <v>7.7</v>
      </c>
    </row>
    <row r="860" spans="1:8">
      <c r="A860" s="3247">
        <v>858</v>
      </c>
      <c r="B860" s="3610"/>
      <c r="C860" s="3606" t="s">
        <v>3476</v>
      </c>
      <c r="D860" s="3606"/>
      <c r="E860" s="3249" t="s">
        <v>4042</v>
      </c>
      <c r="F860" s="3249">
        <f>[2]Sheet2!F861</f>
        <v>37.520000000000003</v>
      </c>
      <c r="G860" s="3250" t="s">
        <v>3183</v>
      </c>
      <c r="H860" s="3253">
        <f t="shared" si="13"/>
        <v>7.7</v>
      </c>
    </row>
    <row r="861" spans="1:8">
      <c r="A861" s="3247">
        <v>859</v>
      </c>
      <c r="B861" s="3610"/>
      <c r="C861" s="3606" t="s">
        <v>3476</v>
      </c>
      <c r="D861" s="3606"/>
      <c r="E861" s="3249" t="s">
        <v>4043</v>
      </c>
      <c r="F861" s="3249">
        <f>[2]Sheet2!F862</f>
        <v>37.520000000000003</v>
      </c>
      <c r="G861" s="3250" t="s">
        <v>3183</v>
      </c>
      <c r="H861" s="3253">
        <f t="shared" si="13"/>
        <v>7.7</v>
      </c>
    </row>
    <row r="862" spans="1:8">
      <c r="A862" s="3247">
        <v>860</v>
      </c>
      <c r="B862" s="3610"/>
      <c r="C862" s="3606" t="s">
        <v>3476</v>
      </c>
      <c r="D862" s="3606"/>
      <c r="E862" s="3249" t="s">
        <v>4044</v>
      </c>
      <c r="F862" s="3249">
        <f>[2]Sheet2!F863</f>
        <v>37.520000000000003</v>
      </c>
      <c r="G862" s="3250" t="s">
        <v>3183</v>
      </c>
      <c r="H862" s="3253">
        <f t="shared" si="13"/>
        <v>7.7</v>
      </c>
    </row>
    <row r="863" spans="1:8">
      <c r="A863" s="3247">
        <v>861</v>
      </c>
      <c r="B863" s="3610"/>
      <c r="C863" s="3606" t="s">
        <v>3476</v>
      </c>
      <c r="D863" s="3606"/>
      <c r="E863" s="3249" t="s">
        <v>4045</v>
      </c>
      <c r="F863" s="3249">
        <f>[2]Sheet2!F864</f>
        <v>37.520000000000003</v>
      </c>
      <c r="G863" s="3250" t="s">
        <v>3183</v>
      </c>
      <c r="H863" s="3253">
        <f t="shared" si="13"/>
        <v>7.7</v>
      </c>
    </row>
    <row r="864" spans="1:8">
      <c r="A864" s="3247">
        <v>862</v>
      </c>
      <c r="B864" s="3610"/>
      <c r="C864" s="3606" t="s">
        <v>3476</v>
      </c>
      <c r="D864" s="3606"/>
      <c r="E864" s="3249" t="s">
        <v>4046</v>
      </c>
      <c r="F864" s="3249">
        <f>[2]Sheet2!F865</f>
        <v>37.520000000000003</v>
      </c>
      <c r="G864" s="3250" t="s">
        <v>3183</v>
      </c>
      <c r="H864" s="3253">
        <f t="shared" si="13"/>
        <v>7.7</v>
      </c>
    </row>
    <row r="865" spans="1:8">
      <c r="A865" s="3247">
        <v>863</v>
      </c>
      <c r="B865" s="3610"/>
      <c r="C865" s="3606" t="s">
        <v>3476</v>
      </c>
      <c r="D865" s="3606"/>
      <c r="E865" s="3249" t="s">
        <v>4047</v>
      </c>
      <c r="F865" s="3249">
        <f>[2]Sheet2!F866</f>
        <v>32.270000000000003</v>
      </c>
      <c r="G865" s="3250" t="s">
        <v>3183</v>
      </c>
      <c r="H865" s="3253">
        <f t="shared" si="13"/>
        <v>6.62</v>
      </c>
    </row>
    <row r="866" spans="1:8">
      <c r="A866" s="3247">
        <v>864</v>
      </c>
      <c r="B866" s="3610"/>
      <c r="C866" s="3606" t="s">
        <v>3476</v>
      </c>
      <c r="D866" s="3606"/>
      <c r="E866" s="3249" t="s">
        <v>4048</v>
      </c>
      <c r="F866" s="3249">
        <f>[2]Sheet2!F867</f>
        <v>32.270000000000003</v>
      </c>
      <c r="G866" s="3250" t="s">
        <v>3183</v>
      </c>
      <c r="H866" s="3253">
        <f t="shared" si="13"/>
        <v>6.62</v>
      </c>
    </row>
    <row r="867" spans="1:8">
      <c r="A867" s="3247">
        <v>865</v>
      </c>
      <c r="B867" s="3610"/>
      <c r="C867" s="3606" t="s">
        <v>3476</v>
      </c>
      <c r="D867" s="3606"/>
      <c r="E867" s="3249" t="s">
        <v>4049</v>
      </c>
      <c r="F867" s="3249">
        <f>[2]Sheet2!F868</f>
        <v>32.270000000000003</v>
      </c>
      <c r="G867" s="3250" t="s">
        <v>3183</v>
      </c>
      <c r="H867" s="3253">
        <f t="shared" si="13"/>
        <v>6.62</v>
      </c>
    </row>
    <row r="868" spans="1:8">
      <c r="A868" s="3247">
        <v>866</v>
      </c>
      <c r="B868" s="3610"/>
      <c r="C868" s="3606" t="s">
        <v>3476</v>
      </c>
      <c r="D868" s="3606"/>
      <c r="E868" s="3249" t="s">
        <v>4050</v>
      </c>
      <c r="F868" s="3249">
        <f>[2]Sheet2!F869</f>
        <v>39.090000000000003</v>
      </c>
      <c r="G868" s="3250" t="s">
        <v>3183</v>
      </c>
      <c r="H868" s="3253">
        <f t="shared" si="13"/>
        <v>8.02</v>
      </c>
    </row>
    <row r="869" spans="1:8">
      <c r="A869" s="3247">
        <v>867</v>
      </c>
      <c r="B869" s="3610"/>
      <c r="C869" s="3606" t="s">
        <v>3476</v>
      </c>
      <c r="D869" s="3606"/>
      <c r="E869" s="3249" t="s">
        <v>4051</v>
      </c>
      <c r="F869" s="3249">
        <f>[2]Sheet2!F870</f>
        <v>38.31</v>
      </c>
      <c r="G869" s="3250" t="s">
        <v>3183</v>
      </c>
      <c r="H869" s="3253">
        <f t="shared" si="13"/>
        <v>7.86</v>
      </c>
    </row>
    <row r="870" spans="1:8">
      <c r="A870" s="3247">
        <v>868</v>
      </c>
      <c r="B870" s="3610"/>
      <c r="C870" s="3606" t="s">
        <v>3476</v>
      </c>
      <c r="D870" s="3606"/>
      <c r="E870" s="3249" t="s">
        <v>4052</v>
      </c>
      <c r="F870" s="3249">
        <f>[2]Sheet2!F871</f>
        <v>39.090000000000003</v>
      </c>
      <c r="G870" s="3250" t="s">
        <v>3183</v>
      </c>
      <c r="H870" s="3253">
        <f t="shared" si="13"/>
        <v>8.02</v>
      </c>
    </row>
    <row r="871" spans="1:8">
      <c r="A871" s="3247">
        <v>869</v>
      </c>
      <c r="B871" s="3610"/>
      <c r="C871" s="3606" t="s">
        <v>3476</v>
      </c>
      <c r="D871" s="3606"/>
      <c r="E871" s="3249" t="s">
        <v>4053</v>
      </c>
      <c r="F871" s="3249">
        <f>[2]Sheet2!F872</f>
        <v>39.090000000000003</v>
      </c>
      <c r="G871" s="3250" t="s">
        <v>3183</v>
      </c>
      <c r="H871" s="3253">
        <f t="shared" si="13"/>
        <v>8.02</v>
      </c>
    </row>
    <row r="872" spans="1:8">
      <c r="A872" s="3247">
        <v>870</v>
      </c>
      <c r="B872" s="3610"/>
      <c r="C872" s="3606" t="s">
        <v>3476</v>
      </c>
      <c r="D872" s="3606"/>
      <c r="E872" s="3249" t="s">
        <v>4054</v>
      </c>
      <c r="F872" s="3249">
        <f>[2]Sheet2!F873</f>
        <v>36.74</v>
      </c>
      <c r="G872" s="3250" t="s">
        <v>3183</v>
      </c>
      <c r="H872" s="3253">
        <f t="shared" ref="H872:H901" si="14">ROUND(F872/$J$5*$K$5,2)</f>
        <v>7.54</v>
      </c>
    </row>
    <row r="873" spans="1:8">
      <c r="A873" s="3247">
        <v>871</v>
      </c>
      <c r="B873" s="3610"/>
      <c r="C873" s="3606" t="s">
        <v>3476</v>
      </c>
      <c r="D873" s="3606"/>
      <c r="E873" s="3249" t="s">
        <v>4055</v>
      </c>
      <c r="F873" s="3249">
        <f>[2]Sheet2!F874</f>
        <v>36.74</v>
      </c>
      <c r="G873" s="3250" t="s">
        <v>3183</v>
      </c>
      <c r="H873" s="3253">
        <f t="shared" si="14"/>
        <v>7.54</v>
      </c>
    </row>
    <row r="874" spans="1:8">
      <c r="A874" s="3247">
        <v>872</v>
      </c>
      <c r="B874" s="3610"/>
      <c r="C874" s="3606" t="s">
        <v>3476</v>
      </c>
      <c r="D874" s="3606"/>
      <c r="E874" s="3249" t="s">
        <v>4056</v>
      </c>
      <c r="F874" s="3249">
        <f>[2]Sheet2!F875</f>
        <v>36.74</v>
      </c>
      <c r="G874" s="3250" t="s">
        <v>3183</v>
      </c>
      <c r="H874" s="3253">
        <f t="shared" si="14"/>
        <v>7.54</v>
      </c>
    </row>
    <row r="875" spans="1:8">
      <c r="A875" s="3247">
        <v>873</v>
      </c>
      <c r="B875" s="3610"/>
      <c r="C875" s="3606" t="s">
        <v>3476</v>
      </c>
      <c r="D875" s="3606"/>
      <c r="E875" s="3249" t="s">
        <v>4057</v>
      </c>
      <c r="F875" s="3249">
        <f>[2]Sheet2!F876</f>
        <v>36.74</v>
      </c>
      <c r="G875" s="3250" t="s">
        <v>3183</v>
      </c>
      <c r="H875" s="3253">
        <f t="shared" si="14"/>
        <v>7.54</v>
      </c>
    </row>
    <row r="876" spans="1:8">
      <c r="A876" s="3247">
        <v>874</v>
      </c>
      <c r="B876" s="3610"/>
      <c r="C876" s="3606" t="s">
        <v>3476</v>
      </c>
      <c r="D876" s="3606"/>
      <c r="E876" s="3249" t="s">
        <v>4058</v>
      </c>
      <c r="F876" s="3249">
        <f>[2]Sheet2!F877</f>
        <v>39.090000000000003</v>
      </c>
      <c r="G876" s="3250" t="s">
        <v>3183</v>
      </c>
      <c r="H876" s="3253">
        <f t="shared" si="14"/>
        <v>8.02</v>
      </c>
    </row>
    <row r="877" spans="1:8">
      <c r="A877" s="3247">
        <v>875</v>
      </c>
      <c r="B877" s="3610"/>
      <c r="C877" s="3606" t="s">
        <v>3476</v>
      </c>
      <c r="D877" s="3606"/>
      <c r="E877" s="3249" t="s">
        <v>4059</v>
      </c>
      <c r="F877" s="3249">
        <f>[2]Sheet2!F878</f>
        <v>39.090000000000003</v>
      </c>
      <c r="G877" s="3250" t="s">
        <v>3183</v>
      </c>
      <c r="H877" s="3253">
        <f t="shared" si="14"/>
        <v>8.02</v>
      </c>
    </row>
    <row r="878" spans="1:8">
      <c r="A878" s="3247">
        <v>876</v>
      </c>
      <c r="B878" s="3610"/>
      <c r="C878" s="3606" t="s">
        <v>3476</v>
      </c>
      <c r="D878" s="3606"/>
      <c r="E878" s="3249" t="s">
        <v>4060</v>
      </c>
      <c r="F878" s="3249">
        <f>[2]Sheet2!F879</f>
        <v>39.090000000000003</v>
      </c>
      <c r="G878" s="3250" t="s">
        <v>3183</v>
      </c>
      <c r="H878" s="3253">
        <f t="shared" si="14"/>
        <v>8.02</v>
      </c>
    </row>
    <row r="879" spans="1:8">
      <c r="A879" s="3247">
        <v>877</v>
      </c>
      <c r="B879" s="3610"/>
      <c r="C879" s="3606" t="s">
        <v>3476</v>
      </c>
      <c r="D879" s="3606"/>
      <c r="E879" s="3249" t="s">
        <v>4061</v>
      </c>
      <c r="F879" s="3249">
        <f>[2]Sheet2!F880</f>
        <v>39.090000000000003</v>
      </c>
      <c r="G879" s="3250" t="s">
        <v>3183</v>
      </c>
      <c r="H879" s="3253">
        <f t="shared" si="14"/>
        <v>8.02</v>
      </c>
    </row>
    <row r="880" spans="1:8">
      <c r="A880" s="3247">
        <v>878</v>
      </c>
      <c r="B880" s="3610"/>
      <c r="C880" s="3606" t="s">
        <v>3476</v>
      </c>
      <c r="D880" s="3606"/>
      <c r="E880" s="3249" t="s">
        <v>4062</v>
      </c>
      <c r="F880" s="3249">
        <f>[2]Sheet2!F881</f>
        <v>39.090000000000003</v>
      </c>
      <c r="G880" s="3250" t="s">
        <v>3183</v>
      </c>
      <c r="H880" s="3253">
        <f t="shared" si="14"/>
        <v>8.02</v>
      </c>
    </row>
    <row r="881" spans="1:8">
      <c r="A881" s="3247">
        <v>879</v>
      </c>
      <c r="B881" s="3610"/>
      <c r="C881" s="3606" t="s">
        <v>3476</v>
      </c>
      <c r="D881" s="3606"/>
      <c r="E881" s="3249" t="s">
        <v>4063</v>
      </c>
      <c r="F881" s="3249">
        <f>[2]Sheet2!F882</f>
        <v>39.090000000000003</v>
      </c>
      <c r="G881" s="3250" t="s">
        <v>3183</v>
      </c>
      <c r="H881" s="3253">
        <f t="shared" si="14"/>
        <v>8.02</v>
      </c>
    </row>
    <row r="882" spans="1:8">
      <c r="A882" s="3247">
        <v>880</v>
      </c>
      <c r="B882" s="3610"/>
      <c r="C882" s="3606" t="s">
        <v>3476</v>
      </c>
      <c r="D882" s="3606"/>
      <c r="E882" s="3249" t="s">
        <v>4064</v>
      </c>
      <c r="F882" s="3249">
        <f>[2]Sheet2!F883</f>
        <v>36.74</v>
      </c>
      <c r="G882" s="3250" t="s">
        <v>3183</v>
      </c>
      <c r="H882" s="3253">
        <f t="shared" si="14"/>
        <v>7.54</v>
      </c>
    </row>
    <row r="883" spans="1:8">
      <c r="A883" s="3247">
        <v>881</v>
      </c>
      <c r="B883" s="3610"/>
      <c r="C883" s="3606" t="s">
        <v>3476</v>
      </c>
      <c r="D883" s="3606"/>
      <c r="E883" s="3249" t="s">
        <v>4065</v>
      </c>
      <c r="F883" s="3249">
        <f>[2]Sheet2!F884</f>
        <v>36.74</v>
      </c>
      <c r="G883" s="3250" t="s">
        <v>3183</v>
      </c>
      <c r="H883" s="3253">
        <f t="shared" si="14"/>
        <v>7.54</v>
      </c>
    </row>
    <row r="884" spans="1:8">
      <c r="A884" s="3247">
        <v>882</v>
      </c>
      <c r="B884" s="3610"/>
      <c r="C884" s="3606" t="s">
        <v>3476</v>
      </c>
      <c r="D884" s="3606"/>
      <c r="E884" s="3249" t="s">
        <v>4066</v>
      </c>
      <c r="F884" s="3249">
        <f>[2]Sheet2!F885</f>
        <v>36.74</v>
      </c>
      <c r="G884" s="3250" t="s">
        <v>3183</v>
      </c>
      <c r="H884" s="3253">
        <f t="shared" si="14"/>
        <v>7.54</v>
      </c>
    </row>
    <row r="885" spans="1:8">
      <c r="A885" s="3247">
        <v>883</v>
      </c>
      <c r="B885" s="3610"/>
      <c r="C885" s="3606" t="s">
        <v>3476</v>
      </c>
      <c r="D885" s="3606"/>
      <c r="E885" s="3249" t="s">
        <v>4067</v>
      </c>
      <c r="F885" s="3249">
        <f>[2]Sheet2!F886</f>
        <v>36.74</v>
      </c>
      <c r="G885" s="3250" t="s">
        <v>3183</v>
      </c>
      <c r="H885" s="3253">
        <f t="shared" si="14"/>
        <v>7.54</v>
      </c>
    </row>
    <row r="886" spans="1:8">
      <c r="A886" s="3247">
        <v>884</v>
      </c>
      <c r="B886" s="3610"/>
      <c r="C886" s="3606" t="s">
        <v>3476</v>
      </c>
      <c r="D886" s="3606"/>
      <c r="E886" s="3249" t="s">
        <v>4068</v>
      </c>
      <c r="F886" s="3249">
        <f>[2]Sheet2!F887</f>
        <v>36.74</v>
      </c>
      <c r="G886" s="3250" t="s">
        <v>3183</v>
      </c>
      <c r="H886" s="3253">
        <f t="shared" si="14"/>
        <v>7.54</v>
      </c>
    </row>
    <row r="887" spans="1:8">
      <c r="A887" s="3247">
        <v>885</v>
      </c>
      <c r="B887" s="3610"/>
      <c r="C887" s="3606" t="s">
        <v>3476</v>
      </c>
      <c r="D887" s="3606"/>
      <c r="E887" s="3249" t="s">
        <v>4069</v>
      </c>
      <c r="F887" s="3249">
        <f>[2]Sheet2!F888</f>
        <v>36.74</v>
      </c>
      <c r="G887" s="3250" t="s">
        <v>3183</v>
      </c>
      <c r="H887" s="3253">
        <f t="shared" si="14"/>
        <v>7.54</v>
      </c>
    </row>
    <row r="888" spans="1:8">
      <c r="A888" s="3247">
        <v>886</v>
      </c>
      <c r="B888" s="3610"/>
      <c r="C888" s="3606" t="s">
        <v>3476</v>
      </c>
      <c r="D888" s="3606"/>
      <c r="E888" s="3249" t="s">
        <v>4070</v>
      </c>
      <c r="F888" s="3249">
        <f>[2]Sheet2!F889</f>
        <v>39.090000000000003</v>
      </c>
      <c r="G888" s="3250" t="s">
        <v>3183</v>
      </c>
      <c r="H888" s="3253">
        <f t="shared" si="14"/>
        <v>8.02</v>
      </c>
    </row>
    <row r="889" spans="1:8">
      <c r="A889" s="3247">
        <v>887</v>
      </c>
      <c r="B889" s="3610"/>
      <c r="C889" s="3606" t="s">
        <v>3476</v>
      </c>
      <c r="D889" s="3606"/>
      <c r="E889" s="3249" t="s">
        <v>4071</v>
      </c>
      <c r="F889" s="3249">
        <f>[2]Sheet2!F890</f>
        <v>39.090000000000003</v>
      </c>
      <c r="G889" s="3250" t="s">
        <v>3183</v>
      </c>
      <c r="H889" s="3253">
        <f t="shared" si="14"/>
        <v>8.02</v>
      </c>
    </row>
    <row r="890" spans="1:8">
      <c r="A890" s="3247">
        <v>888</v>
      </c>
      <c r="B890" s="3610"/>
      <c r="C890" s="3606" t="s">
        <v>3476</v>
      </c>
      <c r="D890" s="3606"/>
      <c r="E890" s="3249" t="s">
        <v>4072</v>
      </c>
      <c r="F890" s="3249">
        <f>[2]Sheet2!F891</f>
        <v>39.090000000000003</v>
      </c>
      <c r="G890" s="3250" t="s">
        <v>3183</v>
      </c>
      <c r="H890" s="3253">
        <f t="shared" si="14"/>
        <v>8.02</v>
      </c>
    </row>
    <row r="891" spans="1:8">
      <c r="A891" s="3247">
        <v>889</v>
      </c>
      <c r="B891" s="3610"/>
      <c r="C891" s="3606" t="s">
        <v>3476</v>
      </c>
      <c r="D891" s="3606"/>
      <c r="E891" s="3249" t="s">
        <v>4073</v>
      </c>
      <c r="F891" s="3249">
        <f>[2]Sheet2!F892</f>
        <v>39.090000000000003</v>
      </c>
      <c r="G891" s="3250" t="s">
        <v>3183</v>
      </c>
      <c r="H891" s="3253">
        <f t="shared" si="14"/>
        <v>8.02</v>
      </c>
    </row>
    <row r="892" spans="1:8">
      <c r="A892" s="3247">
        <v>890</v>
      </c>
      <c r="B892" s="3610"/>
      <c r="C892" s="3606" t="s">
        <v>3476</v>
      </c>
      <c r="D892" s="3606"/>
      <c r="E892" s="3249" t="s">
        <v>4074</v>
      </c>
      <c r="F892" s="3249">
        <f>[2]Sheet2!F893</f>
        <v>39.090000000000003</v>
      </c>
      <c r="G892" s="3250" t="s">
        <v>3183</v>
      </c>
      <c r="H892" s="3253">
        <f t="shared" si="14"/>
        <v>8.02</v>
      </c>
    </row>
    <row r="893" spans="1:8">
      <c r="A893" s="3247">
        <v>891</v>
      </c>
      <c r="B893" s="3610"/>
      <c r="C893" s="3606" t="s">
        <v>3476</v>
      </c>
      <c r="D893" s="3606"/>
      <c r="E893" s="3249" t="s">
        <v>4075</v>
      </c>
      <c r="F893" s="3249">
        <f>[2]Sheet2!F894</f>
        <v>39.090000000000003</v>
      </c>
      <c r="G893" s="3250" t="s">
        <v>3183</v>
      </c>
      <c r="H893" s="3253">
        <f t="shared" si="14"/>
        <v>8.02</v>
      </c>
    </row>
    <row r="894" spans="1:8">
      <c r="A894" s="3247">
        <v>892</v>
      </c>
      <c r="B894" s="3610"/>
      <c r="C894" s="3606" t="s">
        <v>3476</v>
      </c>
      <c r="D894" s="3606"/>
      <c r="E894" s="3249" t="s">
        <v>4076</v>
      </c>
      <c r="F894" s="3249">
        <f>[2]Sheet2!F895</f>
        <v>39.090000000000003</v>
      </c>
      <c r="G894" s="3250" t="s">
        <v>3183</v>
      </c>
      <c r="H894" s="3253">
        <f t="shared" si="14"/>
        <v>8.02</v>
      </c>
    </row>
    <row r="895" spans="1:8">
      <c r="A895" s="3247">
        <v>893</v>
      </c>
      <c r="B895" s="3610"/>
      <c r="C895" s="3606" t="s">
        <v>3476</v>
      </c>
      <c r="D895" s="3606"/>
      <c r="E895" s="3249" t="s">
        <v>4077</v>
      </c>
      <c r="F895" s="3249">
        <f>[2]Sheet2!F896</f>
        <v>39.090000000000003</v>
      </c>
      <c r="G895" s="3250" t="s">
        <v>3183</v>
      </c>
      <c r="H895" s="3253">
        <f t="shared" si="14"/>
        <v>8.02</v>
      </c>
    </row>
    <row r="896" spans="1:8">
      <c r="A896" s="3247">
        <v>894</v>
      </c>
      <c r="B896" s="3610"/>
      <c r="C896" s="3606" t="s">
        <v>3476</v>
      </c>
      <c r="D896" s="3606"/>
      <c r="E896" s="3249" t="s">
        <v>4078</v>
      </c>
      <c r="F896" s="3249">
        <f>[2]Sheet2!F897</f>
        <v>36.74</v>
      </c>
      <c r="G896" s="3250" t="s">
        <v>3183</v>
      </c>
      <c r="H896" s="3253">
        <f t="shared" si="14"/>
        <v>7.54</v>
      </c>
    </row>
    <row r="897" spans="1:8">
      <c r="A897" s="3247">
        <v>895</v>
      </c>
      <c r="B897" s="3610"/>
      <c r="C897" s="3606" t="s">
        <v>3476</v>
      </c>
      <c r="D897" s="3606"/>
      <c r="E897" s="3249" t="s">
        <v>4079</v>
      </c>
      <c r="F897" s="3249">
        <f>[2]Sheet2!F898</f>
        <v>36.74</v>
      </c>
      <c r="G897" s="3250" t="s">
        <v>3183</v>
      </c>
      <c r="H897" s="3253">
        <f t="shared" si="14"/>
        <v>7.54</v>
      </c>
    </row>
    <row r="898" spans="1:8">
      <c r="A898" s="3247">
        <v>896</v>
      </c>
      <c r="B898" s="3610"/>
      <c r="C898" s="3606" t="s">
        <v>3476</v>
      </c>
      <c r="D898" s="3606"/>
      <c r="E898" s="3249" t="s">
        <v>4080</v>
      </c>
      <c r="F898" s="3249">
        <f>[2]Sheet2!F899</f>
        <v>36.74</v>
      </c>
      <c r="G898" s="3250" t="s">
        <v>3183</v>
      </c>
      <c r="H898" s="3253">
        <f t="shared" si="14"/>
        <v>7.54</v>
      </c>
    </row>
    <row r="899" spans="1:8">
      <c r="A899" s="3247">
        <v>897</v>
      </c>
      <c r="B899" s="3610"/>
      <c r="C899" s="3606" t="s">
        <v>3476</v>
      </c>
      <c r="D899" s="3606"/>
      <c r="E899" s="3249" t="s">
        <v>4081</v>
      </c>
      <c r="F899" s="3249">
        <f>[2]Sheet2!F900</f>
        <v>37.520000000000003</v>
      </c>
      <c r="G899" s="3250" t="s">
        <v>3183</v>
      </c>
      <c r="H899" s="3253">
        <f t="shared" si="14"/>
        <v>7.7</v>
      </c>
    </row>
    <row r="900" spans="1:8">
      <c r="A900" s="3247">
        <v>898</v>
      </c>
      <c r="B900" s="3610"/>
      <c r="C900" s="3606" t="s">
        <v>3476</v>
      </c>
      <c r="D900" s="3606"/>
      <c r="E900" s="3249" t="s">
        <v>4082</v>
      </c>
      <c r="F900" s="3249">
        <f>[2]Sheet2!F901</f>
        <v>37.520000000000003</v>
      </c>
      <c r="G900" s="3250" t="s">
        <v>3183</v>
      </c>
      <c r="H900" s="3253">
        <f t="shared" si="14"/>
        <v>7.7</v>
      </c>
    </row>
    <row r="901" spans="1:8">
      <c r="A901" s="3247">
        <v>899</v>
      </c>
      <c r="B901" s="3610"/>
      <c r="C901" s="3606" t="s">
        <v>3476</v>
      </c>
      <c r="D901" s="3606"/>
      <c r="E901" s="3249" t="s">
        <v>4083</v>
      </c>
      <c r="F901" s="3249">
        <f>[2]Sheet2!F902</f>
        <v>39.090000000000003</v>
      </c>
      <c r="G901" s="3250" t="s">
        <v>3183</v>
      </c>
      <c r="H901" s="3253">
        <f t="shared" si="14"/>
        <v>8.02</v>
      </c>
    </row>
    <row r="902" spans="1:8">
      <c r="A902" s="3247">
        <v>900</v>
      </c>
      <c r="B902" s="3610"/>
      <c r="C902" s="3606" t="s">
        <v>3476</v>
      </c>
      <c r="D902" s="3606"/>
      <c r="E902" s="3249" t="s">
        <v>4084</v>
      </c>
      <c r="F902" s="3249">
        <f>[2]Sheet2!F903</f>
        <v>39.090000000000003</v>
      </c>
      <c r="G902" s="3250" t="s">
        <v>3183</v>
      </c>
      <c r="H902" s="3253">
        <f>ROUND(F902/$J$5*$K$5,2)+0.57</f>
        <v>8.59</v>
      </c>
    </row>
    <row r="903" spans="1:8">
      <c r="A903" s="3607" t="s">
        <v>4085</v>
      </c>
      <c r="B903" s="3607"/>
      <c r="C903" s="3607"/>
      <c r="D903" s="3607"/>
      <c r="E903" s="3607"/>
      <c r="F903" s="3250">
        <f>SUM(F295:F902)</f>
        <v>22728.580000000136</v>
      </c>
      <c r="G903" s="3250" t="s">
        <v>70</v>
      </c>
    </row>
    <row r="904" spans="1:8">
      <c r="A904" s="3607" t="s">
        <v>4086</v>
      </c>
      <c r="B904" s="3607"/>
      <c r="C904" s="3607"/>
      <c r="D904" s="3607"/>
      <c r="E904" s="3607"/>
      <c r="F904" s="3250">
        <f>SUM(F903,F294)</f>
        <v>32206.890000000196</v>
      </c>
      <c r="G904" s="3250" t="s">
        <v>70</v>
      </c>
    </row>
  </sheetData>
  <mergeCells count="906">
    <mergeCell ref="C10:D10"/>
    <mergeCell ref="C11:D11"/>
    <mergeCell ref="C12:D12"/>
    <mergeCell ref="C13:D13"/>
    <mergeCell ref="C14:D14"/>
    <mergeCell ref="C15:D15"/>
    <mergeCell ref="C1:D1"/>
    <mergeCell ref="B2:B293"/>
    <mergeCell ref="C2:D2"/>
    <mergeCell ref="C3:D3"/>
    <mergeCell ref="C4:D4"/>
    <mergeCell ref="C5:D5"/>
    <mergeCell ref="C6:D6"/>
    <mergeCell ref="C7:D7"/>
    <mergeCell ref="C8:D8"/>
    <mergeCell ref="C9:D9"/>
    <mergeCell ref="C22:D22"/>
    <mergeCell ref="C23:D23"/>
    <mergeCell ref="C24:D24"/>
    <mergeCell ref="C25:D25"/>
    <mergeCell ref="C26:D26"/>
    <mergeCell ref="C27:D27"/>
    <mergeCell ref="C16:D16"/>
    <mergeCell ref="C17:D17"/>
    <mergeCell ref="C18:D18"/>
    <mergeCell ref="C19:D19"/>
    <mergeCell ref="C20:D20"/>
    <mergeCell ref="C21:D21"/>
    <mergeCell ref="C34:D34"/>
    <mergeCell ref="C35:D35"/>
    <mergeCell ref="C36:D36"/>
    <mergeCell ref="C37:D37"/>
    <mergeCell ref="C38:D38"/>
    <mergeCell ref="C39:D39"/>
    <mergeCell ref="C28:D28"/>
    <mergeCell ref="C29:D29"/>
    <mergeCell ref="C30:D30"/>
    <mergeCell ref="C31:D31"/>
    <mergeCell ref="C32:D32"/>
    <mergeCell ref="C33:D33"/>
    <mergeCell ref="C46:D46"/>
    <mergeCell ref="C47:D47"/>
    <mergeCell ref="C48:D48"/>
    <mergeCell ref="C49:D49"/>
    <mergeCell ref="C50:D50"/>
    <mergeCell ref="C51:D51"/>
    <mergeCell ref="C40:D40"/>
    <mergeCell ref="C41:D41"/>
    <mergeCell ref="C42:D42"/>
    <mergeCell ref="C43:D43"/>
    <mergeCell ref="C44:D44"/>
    <mergeCell ref="C45:D45"/>
    <mergeCell ref="C58:D58"/>
    <mergeCell ref="C59:D59"/>
    <mergeCell ref="C60:D60"/>
    <mergeCell ref="C61:D61"/>
    <mergeCell ref="C62:D62"/>
    <mergeCell ref="C63:D63"/>
    <mergeCell ref="C52:D52"/>
    <mergeCell ref="C53:D53"/>
    <mergeCell ref="C54:D54"/>
    <mergeCell ref="C55:D55"/>
    <mergeCell ref="C56:D56"/>
    <mergeCell ref="C57:D57"/>
    <mergeCell ref="C70:D70"/>
    <mergeCell ref="C71:D71"/>
    <mergeCell ref="C72:D72"/>
    <mergeCell ref="C73:D73"/>
    <mergeCell ref="C74:D74"/>
    <mergeCell ref="C75:D75"/>
    <mergeCell ref="C64:D64"/>
    <mergeCell ref="C65:D65"/>
    <mergeCell ref="C66:D66"/>
    <mergeCell ref="C67:D67"/>
    <mergeCell ref="C68:D68"/>
    <mergeCell ref="C69:D69"/>
    <mergeCell ref="C82:D82"/>
    <mergeCell ref="C83:D83"/>
    <mergeCell ref="C84:D84"/>
    <mergeCell ref="C85:D85"/>
    <mergeCell ref="C86:D86"/>
    <mergeCell ref="C87:D87"/>
    <mergeCell ref="C76:D76"/>
    <mergeCell ref="C77:D77"/>
    <mergeCell ref="C78:D78"/>
    <mergeCell ref="C79:D79"/>
    <mergeCell ref="C80:D80"/>
    <mergeCell ref="C81:D81"/>
    <mergeCell ref="C94:D94"/>
    <mergeCell ref="C95:D95"/>
    <mergeCell ref="C96:D96"/>
    <mergeCell ref="C97:D97"/>
    <mergeCell ref="C98:D98"/>
    <mergeCell ref="C99:D99"/>
    <mergeCell ref="C88:D88"/>
    <mergeCell ref="C89:D89"/>
    <mergeCell ref="C90:D90"/>
    <mergeCell ref="C91:D91"/>
    <mergeCell ref="C92:D92"/>
    <mergeCell ref="C93:D93"/>
    <mergeCell ref="C106:D106"/>
    <mergeCell ref="C107:D107"/>
    <mergeCell ref="C108:D108"/>
    <mergeCell ref="C109:D109"/>
    <mergeCell ref="C110:D110"/>
    <mergeCell ref="C111:D111"/>
    <mergeCell ref="C100:D100"/>
    <mergeCell ref="C101:D101"/>
    <mergeCell ref="C102:D102"/>
    <mergeCell ref="C103:D103"/>
    <mergeCell ref="C104:D104"/>
    <mergeCell ref="C105:D105"/>
    <mergeCell ref="C118:D118"/>
    <mergeCell ref="C119:D119"/>
    <mergeCell ref="C120:D120"/>
    <mergeCell ref="C121:D121"/>
    <mergeCell ref="C122:D122"/>
    <mergeCell ref="C123:D123"/>
    <mergeCell ref="C112:D112"/>
    <mergeCell ref="C113:D113"/>
    <mergeCell ref="C114:D114"/>
    <mergeCell ref="C115:D115"/>
    <mergeCell ref="C116:D116"/>
    <mergeCell ref="C117:D117"/>
    <mergeCell ref="C130:D130"/>
    <mergeCell ref="C131:D131"/>
    <mergeCell ref="C132:D132"/>
    <mergeCell ref="C133:D133"/>
    <mergeCell ref="C134:D134"/>
    <mergeCell ref="C135:D135"/>
    <mergeCell ref="C124:D124"/>
    <mergeCell ref="C125:D125"/>
    <mergeCell ref="C126:D126"/>
    <mergeCell ref="C127:D127"/>
    <mergeCell ref="C128:D128"/>
    <mergeCell ref="C129:D129"/>
    <mergeCell ref="C142:D142"/>
    <mergeCell ref="C143:D143"/>
    <mergeCell ref="C144:D144"/>
    <mergeCell ref="C145:D145"/>
    <mergeCell ref="C146:D146"/>
    <mergeCell ref="C147:D147"/>
    <mergeCell ref="C136:D136"/>
    <mergeCell ref="C137:D137"/>
    <mergeCell ref="C138:D138"/>
    <mergeCell ref="C139:D139"/>
    <mergeCell ref="C140:D140"/>
    <mergeCell ref="C141:D141"/>
    <mergeCell ref="C154:D154"/>
    <mergeCell ref="C155:D155"/>
    <mergeCell ref="C156:D156"/>
    <mergeCell ref="C157:D157"/>
    <mergeCell ref="C158:D158"/>
    <mergeCell ref="C159:D159"/>
    <mergeCell ref="C148:D148"/>
    <mergeCell ref="C149:D149"/>
    <mergeCell ref="C150:D150"/>
    <mergeCell ref="C151:D151"/>
    <mergeCell ref="C152:D152"/>
    <mergeCell ref="C153:D153"/>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90:D190"/>
    <mergeCell ref="C191:D191"/>
    <mergeCell ref="C192:D192"/>
    <mergeCell ref="C193:D193"/>
    <mergeCell ref="C194:D194"/>
    <mergeCell ref="C195:D195"/>
    <mergeCell ref="C184:D184"/>
    <mergeCell ref="C185:D185"/>
    <mergeCell ref="C186:D186"/>
    <mergeCell ref="C187:D187"/>
    <mergeCell ref="C188:D188"/>
    <mergeCell ref="C189:D189"/>
    <mergeCell ref="C202:D202"/>
    <mergeCell ref="C203:D203"/>
    <mergeCell ref="C204:D204"/>
    <mergeCell ref="C205:D205"/>
    <mergeCell ref="C206:D206"/>
    <mergeCell ref="C207:D207"/>
    <mergeCell ref="C196:D196"/>
    <mergeCell ref="C197:D197"/>
    <mergeCell ref="C198:D198"/>
    <mergeCell ref="C199:D199"/>
    <mergeCell ref="C200:D200"/>
    <mergeCell ref="C201:D201"/>
    <mergeCell ref="C214:D214"/>
    <mergeCell ref="C215:D215"/>
    <mergeCell ref="C216:D216"/>
    <mergeCell ref="C217:D217"/>
    <mergeCell ref="C218:D218"/>
    <mergeCell ref="C219:D219"/>
    <mergeCell ref="C208:D208"/>
    <mergeCell ref="C209:D209"/>
    <mergeCell ref="C210:D210"/>
    <mergeCell ref="C211:D211"/>
    <mergeCell ref="C212:D212"/>
    <mergeCell ref="C213:D213"/>
    <mergeCell ref="C226:D226"/>
    <mergeCell ref="C227:D227"/>
    <mergeCell ref="C228:D228"/>
    <mergeCell ref="C229:D229"/>
    <mergeCell ref="C230:D230"/>
    <mergeCell ref="C231:D231"/>
    <mergeCell ref="C220:D220"/>
    <mergeCell ref="C221:D221"/>
    <mergeCell ref="C222:D222"/>
    <mergeCell ref="C223:D223"/>
    <mergeCell ref="C224:D224"/>
    <mergeCell ref="C225:D225"/>
    <mergeCell ref="C238:D238"/>
    <mergeCell ref="C239:D239"/>
    <mergeCell ref="C240:D240"/>
    <mergeCell ref="C241:D241"/>
    <mergeCell ref="C242:D242"/>
    <mergeCell ref="C243:D243"/>
    <mergeCell ref="C232:D232"/>
    <mergeCell ref="C233:D233"/>
    <mergeCell ref="C234:D234"/>
    <mergeCell ref="C235:D235"/>
    <mergeCell ref="C236:D236"/>
    <mergeCell ref="C237:D237"/>
    <mergeCell ref="C250:D250"/>
    <mergeCell ref="C251:D251"/>
    <mergeCell ref="C252:D252"/>
    <mergeCell ref="C253:D253"/>
    <mergeCell ref="C254:D254"/>
    <mergeCell ref="C255:D255"/>
    <mergeCell ref="C244:D244"/>
    <mergeCell ref="C245:D245"/>
    <mergeCell ref="C246:D246"/>
    <mergeCell ref="C247:D247"/>
    <mergeCell ref="C248:D248"/>
    <mergeCell ref="C249:D249"/>
    <mergeCell ref="C262:D262"/>
    <mergeCell ref="C263:D263"/>
    <mergeCell ref="C264:D264"/>
    <mergeCell ref="C265:D265"/>
    <mergeCell ref="C266:D266"/>
    <mergeCell ref="C267:D267"/>
    <mergeCell ref="C256:D256"/>
    <mergeCell ref="C257:D257"/>
    <mergeCell ref="C258:D258"/>
    <mergeCell ref="C259:D259"/>
    <mergeCell ref="C260:D260"/>
    <mergeCell ref="C261:D261"/>
    <mergeCell ref="C274:D274"/>
    <mergeCell ref="C275:D275"/>
    <mergeCell ref="C276:D276"/>
    <mergeCell ref="C277:D277"/>
    <mergeCell ref="C278:D278"/>
    <mergeCell ref="C279:D279"/>
    <mergeCell ref="C268:D268"/>
    <mergeCell ref="C269:D269"/>
    <mergeCell ref="C270:D270"/>
    <mergeCell ref="C271:D271"/>
    <mergeCell ref="C272:D272"/>
    <mergeCell ref="C273:D273"/>
    <mergeCell ref="C286:D286"/>
    <mergeCell ref="C287:D287"/>
    <mergeCell ref="C288:D288"/>
    <mergeCell ref="C289:D289"/>
    <mergeCell ref="C290:D290"/>
    <mergeCell ref="C291:D291"/>
    <mergeCell ref="C280:D280"/>
    <mergeCell ref="C281:D281"/>
    <mergeCell ref="C282:D282"/>
    <mergeCell ref="C283:D283"/>
    <mergeCell ref="C284:D284"/>
    <mergeCell ref="C285:D285"/>
    <mergeCell ref="C301:D301"/>
    <mergeCell ref="C302:D302"/>
    <mergeCell ref="C303:D303"/>
    <mergeCell ref="C304:D304"/>
    <mergeCell ref="C305:D305"/>
    <mergeCell ref="C306:D306"/>
    <mergeCell ref="C292:D292"/>
    <mergeCell ref="C293:D293"/>
    <mergeCell ref="A294:E294"/>
    <mergeCell ref="B295:B902"/>
    <mergeCell ref="C295:D295"/>
    <mergeCell ref="C296:D296"/>
    <mergeCell ref="C297:D297"/>
    <mergeCell ref="C298:D298"/>
    <mergeCell ref="C299:D299"/>
    <mergeCell ref="C300:D300"/>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49:D349"/>
    <mergeCell ref="C350:D350"/>
    <mergeCell ref="C351:D351"/>
    <mergeCell ref="C352:D352"/>
    <mergeCell ref="C353:D353"/>
    <mergeCell ref="C354:D354"/>
    <mergeCell ref="C343:D343"/>
    <mergeCell ref="C344:D344"/>
    <mergeCell ref="C345:D345"/>
    <mergeCell ref="C346:D346"/>
    <mergeCell ref="C347:D347"/>
    <mergeCell ref="C348:D348"/>
    <mergeCell ref="C361:D361"/>
    <mergeCell ref="C362:D362"/>
    <mergeCell ref="C363:D363"/>
    <mergeCell ref="C364:D364"/>
    <mergeCell ref="C365:D365"/>
    <mergeCell ref="C366:D366"/>
    <mergeCell ref="C355:D355"/>
    <mergeCell ref="C356:D356"/>
    <mergeCell ref="C357:D357"/>
    <mergeCell ref="C358:D358"/>
    <mergeCell ref="C359:D359"/>
    <mergeCell ref="C360:D360"/>
    <mergeCell ref="C373:D373"/>
    <mergeCell ref="C374:D374"/>
    <mergeCell ref="C375:D375"/>
    <mergeCell ref="C376:D376"/>
    <mergeCell ref="C377:D377"/>
    <mergeCell ref="C378:D378"/>
    <mergeCell ref="C367:D367"/>
    <mergeCell ref="C368:D368"/>
    <mergeCell ref="C369:D369"/>
    <mergeCell ref="C370:D370"/>
    <mergeCell ref="C371:D371"/>
    <mergeCell ref="C372:D372"/>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7:D397"/>
    <mergeCell ref="C398:D398"/>
    <mergeCell ref="C399:D399"/>
    <mergeCell ref="C400:D400"/>
    <mergeCell ref="C401:D401"/>
    <mergeCell ref="C402:D402"/>
    <mergeCell ref="C391:D391"/>
    <mergeCell ref="C392:D392"/>
    <mergeCell ref="C393:D393"/>
    <mergeCell ref="C394:D394"/>
    <mergeCell ref="C395:D395"/>
    <mergeCell ref="C396:D396"/>
    <mergeCell ref="C409:D409"/>
    <mergeCell ref="C410:D410"/>
    <mergeCell ref="C411:D411"/>
    <mergeCell ref="C412:D412"/>
    <mergeCell ref="C413:D413"/>
    <mergeCell ref="C414:D414"/>
    <mergeCell ref="C403:D403"/>
    <mergeCell ref="C404:D404"/>
    <mergeCell ref="C405:D405"/>
    <mergeCell ref="C406:D406"/>
    <mergeCell ref="C407:D407"/>
    <mergeCell ref="C408:D408"/>
    <mergeCell ref="C421:D421"/>
    <mergeCell ref="C422:D422"/>
    <mergeCell ref="C423:D423"/>
    <mergeCell ref="C424:D424"/>
    <mergeCell ref="C425:D425"/>
    <mergeCell ref="C426:D426"/>
    <mergeCell ref="C415:D415"/>
    <mergeCell ref="C416:D416"/>
    <mergeCell ref="C417:D417"/>
    <mergeCell ref="C418:D418"/>
    <mergeCell ref="C419:D419"/>
    <mergeCell ref="C420:D420"/>
    <mergeCell ref="C433:D433"/>
    <mergeCell ref="C434:D434"/>
    <mergeCell ref="C435:D435"/>
    <mergeCell ref="C436:D436"/>
    <mergeCell ref="C437:D437"/>
    <mergeCell ref="C438:D438"/>
    <mergeCell ref="C427:D427"/>
    <mergeCell ref="C428:D428"/>
    <mergeCell ref="C429:D429"/>
    <mergeCell ref="C430:D430"/>
    <mergeCell ref="C431:D431"/>
    <mergeCell ref="C432:D432"/>
    <mergeCell ref="C445:D445"/>
    <mergeCell ref="C446:D446"/>
    <mergeCell ref="C447:D447"/>
    <mergeCell ref="C448:D448"/>
    <mergeCell ref="C449:D449"/>
    <mergeCell ref="C450:D450"/>
    <mergeCell ref="C439:D439"/>
    <mergeCell ref="C440:D440"/>
    <mergeCell ref="C441:D441"/>
    <mergeCell ref="C442:D442"/>
    <mergeCell ref="C443:D443"/>
    <mergeCell ref="C444:D444"/>
    <mergeCell ref="C457:D457"/>
    <mergeCell ref="C458:D458"/>
    <mergeCell ref="C459:D459"/>
    <mergeCell ref="C460:D460"/>
    <mergeCell ref="C461:D461"/>
    <mergeCell ref="C462:D462"/>
    <mergeCell ref="C451:D451"/>
    <mergeCell ref="C452:D452"/>
    <mergeCell ref="C453:D453"/>
    <mergeCell ref="C454:D454"/>
    <mergeCell ref="C455:D455"/>
    <mergeCell ref="C456:D456"/>
    <mergeCell ref="C469:D469"/>
    <mergeCell ref="C470:D470"/>
    <mergeCell ref="C471:D471"/>
    <mergeCell ref="C472:D472"/>
    <mergeCell ref="C473:D473"/>
    <mergeCell ref="C474:D474"/>
    <mergeCell ref="C463:D463"/>
    <mergeCell ref="C464:D464"/>
    <mergeCell ref="C465:D465"/>
    <mergeCell ref="C466:D466"/>
    <mergeCell ref="C467:D467"/>
    <mergeCell ref="C468:D468"/>
    <mergeCell ref="C481:D481"/>
    <mergeCell ref="C482:D482"/>
    <mergeCell ref="C483:D483"/>
    <mergeCell ref="C484:D484"/>
    <mergeCell ref="C485:D485"/>
    <mergeCell ref="C486:D486"/>
    <mergeCell ref="C475:D475"/>
    <mergeCell ref="C476:D476"/>
    <mergeCell ref="C477:D477"/>
    <mergeCell ref="C478:D478"/>
    <mergeCell ref="C479:D479"/>
    <mergeCell ref="C480:D480"/>
    <mergeCell ref="C493:D493"/>
    <mergeCell ref="C494:D494"/>
    <mergeCell ref="C495:D495"/>
    <mergeCell ref="C496:D496"/>
    <mergeCell ref="C497:D497"/>
    <mergeCell ref="C498:D498"/>
    <mergeCell ref="C487:D487"/>
    <mergeCell ref="C488:D488"/>
    <mergeCell ref="C489:D489"/>
    <mergeCell ref="C490:D490"/>
    <mergeCell ref="C491:D491"/>
    <mergeCell ref="C492:D492"/>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7:D517"/>
    <mergeCell ref="C518:D518"/>
    <mergeCell ref="C519:D519"/>
    <mergeCell ref="C520:D520"/>
    <mergeCell ref="C521:D521"/>
    <mergeCell ref="C522:D522"/>
    <mergeCell ref="C511:D511"/>
    <mergeCell ref="C512:D512"/>
    <mergeCell ref="C513:D513"/>
    <mergeCell ref="C514:D514"/>
    <mergeCell ref="C515:D515"/>
    <mergeCell ref="C516:D516"/>
    <mergeCell ref="C529:D529"/>
    <mergeCell ref="C530:D530"/>
    <mergeCell ref="C531:D531"/>
    <mergeCell ref="C532:D532"/>
    <mergeCell ref="C533:D533"/>
    <mergeCell ref="C534:D534"/>
    <mergeCell ref="C523:D523"/>
    <mergeCell ref="C524:D524"/>
    <mergeCell ref="C525:D525"/>
    <mergeCell ref="C526:D526"/>
    <mergeCell ref="C527:D527"/>
    <mergeCell ref="C528:D528"/>
    <mergeCell ref="C541:D541"/>
    <mergeCell ref="C542:D542"/>
    <mergeCell ref="C543:D543"/>
    <mergeCell ref="C544:D544"/>
    <mergeCell ref="C545:D545"/>
    <mergeCell ref="C546:D546"/>
    <mergeCell ref="C535:D535"/>
    <mergeCell ref="C536:D536"/>
    <mergeCell ref="C537:D537"/>
    <mergeCell ref="C538:D538"/>
    <mergeCell ref="C539:D539"/>
    <mergeCell ref="C540:D540"/>
    <mergeCell ref="C553:D553"/>
    <mergeCell ref="C554:D554"/>
    <mergeCell ref="C555:D555"/>
    <mergeCell ref="C556:D556"/>
    <mergeCell ref="C557:D557"/>
    <mergeCell ref="C558:D558"/>
    <mergeCell ref="C547:D547"/>
    <mergeCell ref="C548:D548"/>
    <mergeCell ref="C549:D549"/>
    <mergeCell ref="C550:D550"/>
    <mergeCell ref="C551:D551"/>
    <mergeCell ref="C552:D552"/>
    <mergeCell ref="C565:D565"/>
    <mergeCell ref="C566:D566"/>
    <mergeCell ref="C567:D567"/>
    <mergeCell ref="C568:D568"/>
    <mergeCell ref="C569:D569"/>
    <mergeCell ref="C570:D570"/>
    <mergeCell ref="C559:D559"/>
    <mergeCell ref="C560:D560"/>
    <mergeCell ref="C561:D561"/>
    <mergeCell ref="C562:D562"/>
    <mergeCell ref="C563:D563"/>
    <mergeCell ref="C564:D564"/>
    <mergeCell ref="C577:D577"/>
    <mergeCell ref="C578:D578"/>
    <mergeCell ref="C579:D579"/>
    <mergeCell ref="C580:D580"/>
    <mergeCell ref="C581:D581"/>
    <mergeCell ref="C582:D582"/>
    <mergeCell ref="C571:D571"/>
    <mergeCell ref="C572:D572"/>
    <mergeCell ref="C573:D573"/>
    <mergeCell ref="C574:D574"/>
    <mergeCell ref="C575:D575"/>
    <mergeCell ref="C576:D576"/>
    <mergeCell ref="C589:D589"/>
    <mergeCell ref="C590:D590"/>
    <mergeCell ref="C591:D591"/>
    <mergeCell ref="C592:D592"/>
    <mergeCell ref="C593:D593"/>
    <mergeCell ref="C594:D594"/>
    <mergeCell ref="C583:D583"/>
    <mergeCell ref="C584:D584"/>
    <mergeCell ref="C585:D585"/>
    <mergeCell ref="C586:D586"/>
    <mergeCell ref="C587:D587"/>
    <mergeCell ref="C588:D588"/>
    <mergeCell ref="C601:D601"/>
    <mergeCell ref="C602:D602"/>
    <mergeCell ref="C603:D603"/>
    <mergeCell ref="C604:D604"/>
    <mergeCell ref="C605:D605"/>
    <mergeCell ref="C606:D606"/>
    <mergeCell ref="C595:D595"/>
    <mergeCell ref="C596:D596"/>
    <mergeCell ref="C597:D597"/>
    <mergeCell ref="C598:D598"/>
    <mergeCell ref="C599:D599"/>
    <mergeCell ref="C600:D600"/>
    <mergeCell ref="C613:D613"/>
    <mergeCell ref="C614:D614"/>
    <mergeCell ref="C615:D615"/>
    <mergeCell ref="C616:D616"/>
    <mergeCell ref="C617:D617"/>
    <mergeCell ref="C618:D618"/>
    <mergeCell ref="C607:D607"/>
    <mergeCell ref="C608:D608"/>
    <mergeCell ref="C609:D609"/>
    <mergeCell ref="C610:D610"/>
    <mergeCell ref="C611:D611"/>
    <mergeCell ref="C612:D612"/>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7:D637"/>
    <mergeCell ref="C638:D638"/>
    <mergeCell ref="C639:D639"/>
    <mergeCell ref="C640:D640"/>
    <mergeCell ref="C641:D641"/>
    <mergeCell ref="C642:D642"/>
    <mergeCell ref="C631:D631"/>
    <mergeCell ref="C632:D632"/>
    <mergeCell ref="C633:D633"/>
    <mergeCell ref="C634:D634"/>
    <mergeCell ref="C635:D635"/>
    <mergeCell ref="C636:D636"/>
    <mergeCell ref="C649:D649"/>
    <mergeCell ref="C650:D650"/>
    <mergeCell ref="C651:D651"/>
    <mergeCell ref="C652:D652"/>
    <mergeCell ref="C653:D653"/>
    <mergeCell ref="C654:D654"/>
    <mergeCell ref="C643:D643"/>
    <mergeCell ref="C644:D644"/>
    <mergeCell ref="C645:D645"/>
    <mergeCell ref="C646:D646"/>
    <mergeCell ref="C647:D647"/>
    <mergeCell ref="C648:D648"/>
    <mergeCell ref="C661:D661"/>
    <mergeCell ref="C662:D662"/>
    <mergeCell ref="C663:D663"/>
    <mergeCell ref="C664:D664"/>
    <mergeCell ref="C665:D665"/>
    <mergeCell ref="C666:D666"/>
    <mergeCell ref="C655:D655"/>
    <mergeCell ref="C656:D656"/>
    <mergeCell ref="C657:D657"/>
    <mergeCell ref="C658:D658"/>
    <mergeCell ref="C659:D659"/>
    <mergeCell ref="C660:D660"/>
    <mergeCell ref="C673:D673"/>
    <mergeCell ref="C674:D674"/>
    <mergeCell ref="C675:D675"/>
    <mergeCell ref="C676:D676"/>
    <mergeCell ref="C677:D677"/>
    <mergeCell ref="C678:D678"/>
    <mergeCell ref="C667:D667"/>
    <mergeCell ref="C668:D668"/>
    <mergeCell ref="C669:D669"/>
    <mergeCell ref="C670:D670"/>
    <mergeCell ref="C671:D671"/>
    <mergeCell ref="C672:D672"/>
    <mergeCell ref="C685:D685"/>
    <mergeCell ref="C686:D686"/>
    <mergeCell ref="C687:D687"/>
    <mergeCell ref="C688:D688"/>
    <mergeCell ref="C689:D689"/>
    <mergeCell ref="C690:D690"/>
    <mergeCell ref="C679:D679"/>
    <mergeCell ref="C680:D680"/>
    <mergeCell ref="C681:D681"/>
    <mergeCell ref="C682:D682"/>
    <mergeCell ref="C683:D683"/>
    <mergeCell ref="C684:D684"/>
    <mergeCell ref="C697:D697"/>
    <mergeCell ref="C698:D698"/>
    <mergeCell ref="C699:D699"/>
    <mergeCell ref="C700:D700"/>
    <mergeCell ref="C701:D701"/>
    <mergeCell ref="C702:D702"/>
    <mergeCell ref="C691:D691"/>
    <mergeCell ref="C692:D692"/>
    <mergeCell ref="C693:D693"/>
    <mergeCell ref="C694:D694"/>
    <mergeCell ref="C695:D695"/>
    <mergeCell ref="C696:D696"/>
    <mergeCell ref="C709:D709"/>
    <mergeCell ref="C710:D710"/>
    <mergeCell ref="C711:D711"/>
    <mergeCell ref="C712:D712"/>
    <mergeCell ref="C713:D713"/>
    <mergeCell ref="C714:D714"/>
    <mergeCell ref="C703:D703"/>
    <mergeCell ref="C704:D704"/>
    <mergeCell ref="C705:D705"/>
    <mergeCell ref="C706:D706"/>
    <mergeCell ref="C707:D707"/>
    <mergeCell ref="C708:D708"/>
    <mergeCell ref="C721:D721"/>
    <mergeCell ref="C722:D722"/>
    <mergeCell ref="C723:D723"/>
    <mergeCell ref="C724:D724"/>
    <mergeCell ref="C725:D725"/>
    <mergeCell ref="C726:D726"/>
    <mergeCell ref="C715:D715"/>
    <mergeCell ref="C716:D716"/>
    <mergeCell ref="C717:D717"/>
    <mergeCell ref="C718:D718"/>
    <mergeCell ref="C719:D719"/>
    <mergeCell ref="C720:D720"/>
    <mergeCell ref="C733:D733"/>
    <mergeCell ref="C734:D734"/>
    <mergeCell ref="C735:D735"/>
    <mergeCell ref="C736:D736"/>
    <mergeCell ref="C737:D737"/>
    <mergeCell ref="C738:D738"/>
    <mergeCell ref="C727:D727"/>
    <mergeCell ref="C728:D728"/>
    <mergeCell ref="C729:D729"/>
    <mergeCell ref="C730:D730"/>
    <mergeCell ref="C731:D731"/>
    <mergeCell ref="C732:D732"/>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7:D757"/>
    <mergeCell ref="C758:D758"/>
    <mergeCell ref="C759:D759"/>
    <mergeCell ref="C760:D760"/>
    <mergeCell ref="C761:D761"/>
    <mergeCell ref="C762:D762"/>
    <mergeCell ref="C751:D751"/>
    <mergeCell ref="C752:D752"/>
    <mergeCell ref="C753:D753"/>
    <mergeCell ref="C754:D754"/>
    <mergeCell ref="C755:D755"/>
    <mergeCell ref="C756:D756"/>
    <mergeCell ref="C769:D769"/>
    <mergeCell ref="C770:D770"/>
    <mergeCell ref="C771:D771"/>
    <mergeCell ref="C772:D772"/>
    <mergeCell ref="C773:D773"/>
    <mergeCell ref="C774:D774"/>
    <mergeCell ref="C763:D763"/>
    <mergeCell ref="C764:D764"/>
    <mergeCell ref="C765:D765"/>
    <mergeCell ref="C766:D766"/>
    <mergeCell ref="C767:D767"/>
    <mergeCell ref="C768:D768"/>
    <mergeCell ref="C781:D781"/>
    <mergeCell ref="C782:D782"/>
    <mergeCell ref="C783:D783"/>
    <mergeCell ref="C784:D784"/>
    <mergeCell ref="C785:D785"/>
    <mergeCell ref="C786:D786"/>
    <mergeCell ref="C775:D775"/>
    <mergeCell ref="C776:D776"/>
    <mergeCell ref="C777:D777"/>
    <mergeCell ref="C778:D778"/>
    <mergeCell ref="C779:D779"/>
    <mergeCell ref="C780:D780"/>
    <mergeCell ref="C793:D793"/>
    <mergeCell ref="C794:D794"/>
    <mergeCell ref="C795:D795"/>
    <mergeCell ref="C796:D796"/>
    <mergeCell ref="C797:D797"/>
    <mergeCell ref="C798:D798"/>
    <mergeCell ref="C787:D787"/>
    <mergeCell ref="C788:D788"/>
    <mergeCell ref="C789:D789"/>
    <mergeCell ref="C790:D790"/>
    <mergeCell ref="C791:D791"/>
    <mergeCell ref="C792:D792"/>
    <mergeCell ref="C805:D805"/>
    <mergeCell ref="C806:D806"/>
    <mergeCell ref="C807:D807"/>
    <mergeCell ref="C808:D808"/>
    <mergeCell ref="C809:D809"/>
    <mergeCell ref="C810:D810"/>
    <mergeCell ref="C799:D799"/>
    <mergeCell ref="C800:D800"/>
    <mergeCell ref="C801:D801"/>
    <mergeCell ref="C802:D802"/>
    <mergeCell ref="C803:D803"/>
    <mergeCell ref="C804:D804"/>
    <mergeCell ref="C817:D817"/>
    <mergeCell ref="C818:D818"/>
    <mergeCell ref="C819:D819"/>
    <mergeCell ref="C820:D820"/>
    <mergeCell ref="C821:D821"/>
    <mergeCell ref="C822:D822"/>
    <mergeCell ref="C811:D811"/>
    <mergeCell ref="C812:D812"/>
    <mergeCell ref="C813:D813"/>
    <mergeCell ref="C814:D814"/>
    <mergeCell ref="C815:D815"/>
    <mergeCell ref="C816:D816"/>
    <mergeCell ref="C829:D829"/>
    <mergeCell ref="C830:D830"/>
    <mergeCell ref="C831:D831"/>
    <mergeCell ref="C832:D832"/>
    <mergeCell ref="C833:D833"/>
    <mergeCell ref="C834:D834"/>
    <mergeCell ref="C823:D823"/>
    <mergeCell ref="C824:D824"/>
    <mergeCell ref="C825:D825"/>
    <mergeCell ref="C826:D826"/>
    <mergeCell ref="C827:D827"/>
    <mergeCell ref="C828:D828"/>
    <mergeCell ref="C841:D841"/>
    <mergeCell ref="C842:D842"/>
    <mergeCell ref="C843:D843"/>
    <mergeCell ref="C844:D844"/>
    <mergeCell ref="C845:D845"/>
    <mergeCell ref="C846:D846"/>
    <mergeCell ref="C835:D835"/>
    <mergeCell ref="C836:D836"/>
    <mergeCell ref="C837:D837"/>
    <mergeCell ref="C838:D838"/>
    <mergeCell ref="C839:D839"/>
    <mergeCell ref="C840:D840"/>
    <mergeCell ref="C853:D853"/>
    <mergeCell ref="C854:D854"/>
    <mergeCell ref="C855:D855"/>
    <mergeCell ref="C856:D856"/>
    <mergeCell ref="C857:D857"/>
    <mergeCell ref="C858:D858"/>
    <mergeCell ref="C847:D847"/>
    <mergeCell ref="C848:D848"/>
    <mergeCell ref="C849:D849"/>
    <mergeCell ref="C850:D850"/>
    <mergeCell ref="C851:D851"/>
    <mergeCell ref="C852:D852"/>
    <mergeCell ref="C865:D865"/>
    <mergeCell ref="C866:D866"/>
    <mergeCell ref="C867:D867"/>
    <mergeCell ref="C868:D868"/>
    <mergeCell ref="C869:D869"/>
    <mergeCell ref="C870:D870"/>
    <mergeCell ref="C859:D859"/>
    <mergeCell ref="C860:D860"/>
    <mergeCell ref="C861:D861"/>
    <mergeCell ref="C862:D862"/>
    <mergeCell ref="C863:D863"/>
    <mergeCell ref="C864:D864"/>
    <mergeCell ref="C877:D877"/>
    <mergeCell ref="C878:D878"/>
    <mergeCell ref="C879:D879"/>
    <mergeCell ref="C880:D880"/>
    <mergeCell ref="C881:D881"/>
    <mergeCell ref="C882:D882"/>
    <mergeCell ref="C871:D871"/>
    <mergeCell ref="C872:D872"/>
    <mergeCell ref="C873:D873"/>
    <mergeCell ref="C874:D874"/>
    <mergeCell ref="C875:D875"/>
    <mergeCell ref="C876:D876"/>
    <mergeCell ref="C889:D889"/>
    <mergeCell ref="C890:D890"/>
    <mergeCell ref="C891:D891"/>
    <mergeCell ref="C892:D892"/>
    <mergeCell ref="C893:D893"/>
    <mergeCell ref="C894:D894"/>
    <mergeCell ref="C883:D883"/>
    <mergeCell ref="C884:D884"/>
    <mergeCell ref="C885:D885"/>
    <mergeCell ref="C886:D886"/>
    <mergeCell ref="C887:D887"/>
    <mergeCell ref="C888:D888"/>
    <mergeCell ref="C901:D901"/>
    <mergeCell ref="C902:D902"/>
    <mergeCell ref="A903:E903"/>
    <mergeCell ref="A904:E904"/>
    <mergeCell ref="C895:D895"/>
    <mergeCell ref="C896:D896"/>
    <mergeCell ref="C897:D897"/>
    <mergeCell ref="C898:D898"/>
    <mergeCell ref="C899:D899"/>
    <mergeCell ref="C900:D900"/>
  </mergeCells>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7:N9"/>
  <sheetViews>
    <sheetView workbookViewId="0">
      <selection sqref="A1:XFD1048576"/>
    </sheetView>
  </sheetViews>
  <sheetFormatPr defaultRowHeight="13.5"/>
  <cols>
    <col min="14" max="14" width="11.625" bestFit="1" customWidth="1"/>
  </cols>
  <sheetData>
    <row r="7" spans="13:14">
      <c r="M7" s="3251" t="s">
        <v>4113</v>
      </c>
      <c r="N7">
        <f>ROUND(313.56/12*10000,0)</f>
        <v>261300</v>
      </c>
    </row>
    <row r="8" spans="13:14">
      <c r="M8" s="3251" t="s">
        <v>4114</v>
      </c>
      <c r="N8">
        <v>300000</v>
      </c>
    </row>
    <row r="9" spans="13:14">
      <c r="M9" s="3251" t="s">
        <v>4115</v>
      </c>
      <c r="N9">
        <f>ROUND(45/2*10000,0)</f>
        <v>225000</v>
      </c>
    </row>
  </sheetData>
  <phoneticPr fontId="1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70" t="str">
        <f>IF(项目基本情况!B9="房地产市场价值","估价结果一览表","结果表-2")</f>
        <v>结果表-2</v>
      </c>
      <c r="B1" s="3270"/>
      <c r="C1" s="3270"/>
      <c r="D1" s="3270"/>
      <c r="E1" s="3270"/>
      <c r="F1" s="3270"/>
      <c r="G1" s="3270"/>
      <c r="H1" s="3270"/>
      <c r="I1" s="3270"/>
    </row>
    <row r="2" spans="1:9" ht="30" customHeight="1" thickTop="1">
      <c r="A2" s="3271" t="s">
        <v>1365</v>
      </c>
      <c r="B2" s="3271" t="s">
        <v>1366</v>
      </c>
      <c r="C2" s="3271" t="s">
        <v>1367</v>
      </c>
      <c r="D2" s="3271" t="str">
        <f>结果表!D116</f>
        <v>出让国有建设用地使用权价值</v>
      </c>
      <c r="E2" s="3271"/>
      <c r="F2" s="3271" t="str">
        <f>结果表!F116</f>
        <v>在建建筑物价值</v>
      </c>
      <c r="G2" s="3271"/>
      <c r="H2" s="3271" t="str">
        <f>IF(项目基本情况!B9="房地产市场价值","房地产市场价值","房地产价值")</f>
        <v>房地产价值</v>
      </c>
      <c r="I2" s="3271"/>
    </row>
    <row r="3" spans="1:9" ht="15">
      <c r="A3" s="3272"/>
      <c r="B3" s="3272"/>
      <c r="C3" s="3272"/>
      <c r="D3" s="943" t="s">
        <v>1362</v>
      </c>
      <c r="E3" s="943" t="s">
        <v>1368</v>
      </c>
      <c r="F3" s="943" t="s">
        <v>1362</v>
      </c>
      <c r="G3" s="943" t="s">
        <v>1363</v>
      </c>
      <c r="H3" s="943" t="s">
        <v>1362</v>
      </c>
      <c r="I3" s="943" t="s">
        <v>1363</v>
      </c>
    </row>
    <row r="4" spans="1:9" ht="15">
      <c r="A4" s="1640" t="str">
        <f>项目基本情况!S2</f>
        <v>北京市房地产</v>
      </c>
      <c r="B4" s="943">
        <f>项目基本情况!C17</f>
        <v>32206.890000000196</v>
      </c>
      <c r="C4" s="943">
        <f>项目基本情况!C18</f>
        <v>6976.24</v>
      </c>
      <c r="D4" s="943" t="e">
        <f ca="1">结果表!D118</f>
        <v>#REF!</v>
      </c>
      <c r="E4" s="943" t="e">
        <f ca="1">结果表!E118</f>
        <v>#REF!</v>
      </c>
      <c r="F4" s="943" t="e">
        <f ca="1">结果表!F118</f>
        <v>#REF!</v>
      </c>
      <c r="G4" s="943" t="e">
        <f ca="1">结果表!G118</f>
        <v>#REF!</v>
      </c>
      <c r="H4" s="943">
        <f ca="1">结果表!H118</f>
        <v>18313</v>
      </c>
      <c r="I4" s="943">
        <f ca="1">结果表!I118</f>
        <v>5686</v>
      </c>
    </row>
    <row r="5" spans="1:9" ht="30" customHeight="1">
      <c r="A5" s="3272" t="s">
        <v>1364</v>
      </c>
      <c r="B5" s="3272"/>
      <c r="C5" s="3272"/>
      <c r="D5" s="3273" t="e">
        <f ca="1">结果表!D119</f>
        <v>#REF!</v>
      </c>
      <c r="E5" s="3273"/>
      <c r="F5" s="3273" t="e">
        <f ca="1">结果表!F119</f>
        <v>#REF!</v>
      </c>
      <c r="G5" s="3273"/>
      <c r="H5" s="3273" t="str">
        <f ca="1">结果表!H119</f>
        <v>壹亿捌仟叁佰壹拾叁万元整</v>
      </c>
      <c r="I5" s="3273"/>
    </row>
    <row r="6" spans="1:9" ht="15.75">
      <c r="A6" s="3274" t="str">
        <f>结果表!A120</f>
        <v>估价师知悉的法定优先受偿款</v>
      </c>
      <c r="B6" s="3274"/>
      <c r="C6" s="3274"/>
      <c r="D6" s="3274">
        <f>结果表!D120</f>
        <v>0</v>
      </c>
      <c r="E6" s="3274"/>
      <c r="F6" s="3274"/>
      <c r="G6" s="3274"/>
      <c r="H6" s="3274"/>
      <c r="I6" s="3274"/>
    </row>
    <row r="7" spans="1:9" ht="15">
      <c r="A7" s="3272" t="s">
        <v>1364</v>
      </c>
      <c r="B7" s="3272"/>
      <c r="C7" s="3272"/>
      <c r="D7" s="3275" t="str">
        <f>结果表!D121</f>
        <v>零元整</v>
      </c>
      <c r="E7" s="3276"/>
      <c r="F7" s="3276"/>
      <c r="G7" s="3276"/>
      <c r="H7" s="3276"/>
      <c r="I7" s="3277"/>
    </row>
    <row r="8" spans="1:9" ht="15.75">
      <c r="A8" s="3274" t="str">
        <f>结果表!A122</f>
        <v>房地产抵押价值</v>
      </c>
      <c r="B8" s="3274"/>
      <c r="C8" s="3274"/>
      <c r="D8" s="3274">
        <f ca="1">结果表!D122</f>
        <v>18313</v>
      </c>
      <c r="E8" s="3274"/>
      <c r="F8" s="3274"/>
      <c r="G8" s="3274"/>
      <c r="H8" s="3274"/>
      <c r="I8" s="3274"/>
    </row>
    <row r="9" spans="1:9" ht="15">
      <c r="A9" s="3272" t="s">
        <v>1364</v>
      </c>
      <c r="B9" s="3272"/>
      <c r="C9" s="3272"/>
      <c r="D9" s="3273" t="str">
        <f ca="1">结果表!D123</f>
        <v>壹亿捌仟叁佰壹拾叁万元整</v>
      </c>
      <c r="E9" s="3273"/>
      <c r="F9" s="3273"/>
      <c r="G9" s="3273"/>
      <c r="H9" s="3273"/>
      <c r="I9" s="3273"/>
    </row>
    <row r="10" spans="1:9" ht="15.75">
      <c r="A10" s="3274" t="str">
        <f>结果表!A124</f>
        <v/>
      </c>
      <c r="B10" s="3274"/>
      <c r="C10" s="3274"/>
      <c r="D10" s="3274" t="str">
        <f>结果表!D124</f>
        <v>——</v>
      </c>
      <c r="E10" s="3274"/>
      <c r="F10" s="3274"/>
      <c r="G10" s="3274"/>
      <c r="H10" s="3274"/>
      <c r="I10" s="3274"/>
    </row>
    <row r="11" spans="1:9" ht="15">
      <c r="A11" s="3272" t="s">
        <v>1364</v>
      </c>
      <c r="B11" s="3272"/>
      <c r="C11" s="3272"/>
      <c r="D11" s="3273" t="e">
        <f>结果表!D125</f>
        <v>#VALUE!</v>
      </c>
      <c r="E11" s="3273"/>
      <c r="F11" s="3273"/>
      <c r="G11" s="3273"/>
      <c r="H11" s="3273"/>
      <c r="I11" s="3273"/>
    </row>
    <row r="12" spans="1:9" ht="15.75">
      <c r="A12" s="3274" t="str">
        <f>结果表!A126</f>
        <v/>
      </c>
      <c r="B12" s="3274"/>
      <c r="C12" s="3274"/>
      <c r="D12" s="3274" t="str">
        <f>结果表!D126</f>
        <v>——</v>
      </c>
      <c r="E12" s="3274"/>
      <c r="F12" s="3274"/>
      <c r="G12" s="3274"/>
      <c r="H12" s="3274"/>
      <c r="I12" s="3274"/>
    </row>
    <row r="13" spans="1:9" ht="15.75" thickBot="1">
      <c r="A13" s="3278" t="s">
        <v>1364</v>
      </c>
      <c r="B13" s="3278"/>
      <c r="C13" s="3278"/>
      <c r="D13" s="3279" t="e">
        <f>结果表!D127</f>
        <v>#VALUE!</v>
      </c>
      <c r="E13" s="3279"/>
      <c r="F13" s="3279"/>
      <c r="G13" s="3279"/>
      <c r="H13" s="3279"/>
      <c r="I13" s="3279"/>
    </row>
    <row r="14" spans="1:9" ht="15" thickTop="1">
      <c r="A14" s="3280" t="s">
        <v>1369</v>
      </c>
      <c r="B14" s="3280"/>
      <c r="C14" s="3280"/>
      <c r="D14" s="3280"/>
      <c r="E14" s="3280"/>
      <c r="F14" s="3280"/>
      <c r="G14" s="3280"/>
      <c r="H14" s="3280"/>
      <c r="I14" s="3280"/>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81" t="s">
        <v>1386</v>
      </c>
      <c r="B1" s="3281"/>
      <c r="C1" s="3281"/>
      <c r="D1" s="3281"/>
    </row>
    <row r="2" spans="1:4" ht="18">
      <c r="A2" s="3282" t="s">
        <v>1370</v>
      </c>
      <c r="B2" s="3282"/>
      <c r="C2" s="3282"/>
      <c r="D2" s="3282"/>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82" t="s">
        <v>1376</v>
      </c>
      <c r="B6" s="3282"/>
      <c r="C6" s="3282"/>
      <c r="D6" s="3282"/>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83" t="s">
        <v>1379</v>
      </c>
      <c r="B11" s="3284"/>
      <c r="C11" s="3284"/>
      <c r="D11" s="3284"/>
    </row>
    <row r="12" spans="1:4" ht="15.75">
      <c r="A12" s="32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5"/>
      <c r="C12" s="3285"/>
      <c r="D12" s="3285"/>
    </row>
    <row r="13" spans="1:4" ht="30" customHeight="1">
      <c r="A13" s="32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5"/>
      <c r="C13" s="3285"/>
      <c r="D13" s="3285"/>
    </row>
    <row r="14" spans="1:4" ht="15.75" customHeight="1">
      <c r="A14" s="3284" t="str">
        <f>IF(项目基本情况!B8="抵押","4.本次评估估价师所知悉的法定优先受偿款情况说明如下：","——")</f>
        <v>4.本次评估估价师所知悉的法定优先受偿款情况说明如下：</v>
      </c>
      <c r="B14" s="3285"/>
      <c r="C14" s="3285"/>
      <c r="D14" s="3285"/>
    </row>
    <row r="15" spans="1:4" ht="42" customHeight="1">
      <c r="A15" s="32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4"/>
      <c r="C15" s="3284"/>
      <c r="D15" s="3284"/>
    </row>
    <row r="16" spans="1:4" ht="30" customHeight="1">
      <c r="A16" s="3287" t="s">
        <v>1380</v>
      </c>
      <c r="B16" s="3287"/>
      <c r="C16" s="3287"/>
      <c r="D16" s="3287"/>
    </row>
    <row r="17" spans="1:4" ht="144" customHeight="1">
      <c r="A17" s="3287" t="s">
        <v>1381</v>
      </c>
      <c r="B17" s="3287"/>
      <c r="C17" s="3287"/>
      <c r="D17" s="3287"/>
    </row>
    <row r="18" spans="1:4" ht="15.75" customHeight="1">
      <c r="A18" s="3284" t="str">
        <f>IF(项目基本情况!B8="抵押",结果表!K120,"——")</f>
        <v>故，本次评估不存在估价师知悉的法定优先受偿款</v>
      </c>
      <c r="B18" s="3284"/>
      <c r="C18" s="3284"/>
      <c r="D18" s="3284"/>
    </row>
    <row r="19" spans="1:4" ht="46.5" customHeight="1">
      <c r="A19" s="32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4"/>
      <c r="C19" s="3284"/>
      <c r="D19" s="3284"/>
    </row>
    <row r="20" spans="1:4" ht="57.75" customHeight="1">
      <c r="A20" s="32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4"/>
      <c r="C20" s="3284"/>
      <c r="D20" s="3284"/>
    </row>
    <row r="21" spans="1:4" ht="57.75" customHeight="1">
      <c r="A21" s="32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8"/>
      <c r="C21" s="3288"/>
      <c r="D21" s="3288"/>
    </row>
    <row r="22" spans="1:4" ht="18.75" customHeight="1">
      <c r="A22" s="3289" t="s">
        <v>1382</v>
      </c>
      <c r="B22" s="3289"/>
      <c r="C22" s="3289"/>
      <c r="D22" s="3289"/>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86">
        <v>42551</v>
      </c>
      <c r="D31" s="32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95" t="s">
        <v>1393</v>
      </c>
      <c r="B15" s="3290" t="s">
        <v>136</v>
      </c>
      <c r="C15" s="3291"/>
    </row>
    <row r="16" spans="1:7" ht="13.5">
      <c r="A16" s="3296"/>
      <c r="B16" s="3290" t="s">
        <v>69</v>
      </c>
      <c r="C16" s="3291"/>
    </row>
    <row r="17" spans="1:3" ht="13.5">
      <c r="A17" s="3296"/>
      <c r="B17" s="3293" t="s">
        <v>1394</v>
      </c>
      <c r="C17" s="1667" t="s">
        <v>1393</v>
      </c>
    </row>
    <row r="18" spans="1:3" ht="13.5">
      <c r="A18" s="3296"/>
      <c r="B18" s="3293"/>
      <c r="C18" s="1667" t="s">
        <v>1395</v>
      </c>
    </row>
    <row r="19" spans="1:3" ht="13.5">
      <c r="A19" s="3296"/>
      <c r="B19" s="3293"/>
      <c r="C19" s="1667" t="s">
        <v>1396</v>
      </c>
    </row>
    <row r="20" spans="1:3" ht="13.5">
      <c r="A20" s="3297"/>
      <c r="B20" s="3292" t="s">
        <v>1397</v>
      </c>
      <c r="C20" s="3291"/>
    </row>
    <row r="21" spans="1:3" ht="13.5">
      <c r="A21" s="1668" t="s">
        <v>1398</v>
      </c>
      <c r="B21" s="1669"/>
      <c r="C21" s="1670"/>
    </row>
    <row r="22" spans="1:3" ht="13.5">
      <c r="A22" s="3294" t="s">
        <v>1399</v>
      </c>
      <c r="B22" s="3292" t="s">
        <v>1400</v>
      </c>
      <c r="C22" s="3291"/>
    </row>
    <row r="23" spans="1:3" ht="13.5">
      <c r="A23" s="3294"/>
      <c r="B23" s="3292" t="s">
        <v>1401</v>
      </c>
      <c r="C23" s="3291"/>
    </row>
    <row r="24" spans="1:3" ht="13.5">
      <c r="A24" s="3294"/>
      <c r="B24" s="3292" t="s">
        <v>1402</v>
      </c>
      <c r="C24" s="3291"/>
    </row>
    <row r="25" spans="1:3" ht="13.5">
      <c r="A25" s="3294"/>
      <c r="B25" s="3293" t="s">
        <v>1403</v>
      </c>
      <c r="C25" s="1667" t="s">
        <v>1404</v>
      </c>
    </row>
    <row r="26" spans="1:3" ht="13.5">
      <c r="A26" s="3294"/>
      <c r="B26" s="3293"/>
      <c r="C26" s="1667" t="s">
        <v>1405</v>
      </c>
    </row>
    <row r="27" spans="1:3" ht="13.5">
      <c r="A27" s="3294"/>
      <c r="B27" s="3293"/>
      <c r="C27" s="1667" t="s">
        <v>1406</v>
      </c>
    </row>
    <row r="28" spans="1:3" ht="13.5">
      <c r="A28" s="3294"/>
      <c r="B28" s="3293"/>
      <c r="C28" s="1667" t="s">
        <v>1407</v>
      </c>
    </row>
    <row r="29" spans="1:3" ht="13.5">
      <c r="A29" s="3294"/>
      <c r="B29" s="3293"/>
      <c r="C29" s="1667" t="s">
        <v>1408</v>
      </c>
    </row>
    <row r="30" spans="1:3" ht="13.5">
      <c r="A30" s="3294"/>
      <c r="B30" s="3293"/>
      <c r="C30" s="1667" t="s">
        <v>1409</v>
      </c>
    </row>
    <row r="31" spans="1:3" ht="13.5">
      <c r="A31" s="3294"/>
      <c r="B31" s="3293"/>
      <c r="C31" s="1667" t="s">
        <v>1410</v>
      </c>
    </row>
    <row r="32" spans="1:3" ht="13.5">
      <c r="A32" s="3294"/>
      <c r="B32" s="3293"/>
      <c r="C32" s="1667" t="s">
        <v>1411</v>
      </c>
    </row>
    <row r="33" spans="1:3" ht="13.5">
      <c r="A33" s="3294"/>
      <c r="B33" s="3293"/>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44699</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f ca="1">IF(C11&lt;B2,"已过期",1120070131)</f>
        <v>1120070131</v>
      </c>
      <c r="C11" s="2518">
        <v>44849</v>
      </c>
      <c r="D11" s="2519" t="str">
        <f t="shared" ca="1" si="0"/>
        <v>郑燚（注册号：1120070131）</v>
      </c>
      <c r="E11" s="2520" t="s">
        <v>2655</v>
      </c>
      <c r="F11" s="1424">
        <f ca="1">IF(G11&lt;B2,"已过期",2014110011)</f>
        <v>2014110011</v>
      </c>
      <c r="G11" s="2521">
        <v>49302</v>
      </c>
      <c r="H11" s="2522" t="str">
        <f t="shared" ca="1" si="1"/>
        <v>郑燚（注册号：2014110011）</v>
      </c>
    </row>
    <row r="12" spans="1:8" ht="24" customHeight="1">
      <c r="A12" s="1424" t="s">
        <v>2656</v>
      </c>
      <c r="B12" s="1424">
        <f ca="1">IF(C12&lt;B2,"已过期",1120040230)</f>
        <v>1120040230</v>
      </c>
      <c r="C12" s="2523">
        <v>44864</v>
      </c>
      <c r="D12" s="2519" t="str">
        <f t="shared" ca="1" si="0"/>
        <v>苏海（注册号：1120040230）</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98" t="s">
        <v>2660</v>
      </c>
      <c r="B17" s="3298"/>
      <c r="C17" s="3298"/>
      <c r="D17" s="3298"/>
      <c r="E17" s="3298"/>
      <c r="F17" s="3298"/>
      <c r="G17" s="3298"/>
      <c r="H17" s="3298"/>
    </row>
    <row r="18" spans="1:8" ht="24" customHeight="1">
      <c r="A18" s="3299" t="s">
        <v>2661</v>
      </c>
      <c r="B18" s="3299"/>
      <c r="C18" s="3299"/>
      <c r="D18" s="2516"/>
      <c r="E18" s="3300" t="s">
        <v>2662</v>
      </c>
      <c r="F18" s="3299"/>
      <c r="G18" s="3299"/>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比较法-车位</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2022-05-18T07:14:24Z</dcterms:modified>
</cp:coreProperties>
</file>