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收益法" sheetId="15" r:id="rId21"/>
    <sheet name="比较法-商业 (租金)" sheetId="78" r:id="rId22"/>
    <sheet name="成本法" sheetId="68" r:id="rId23"/>
    <sheet name="成本法 (元)" sheetId="69" state="hidden" r:id="rId24"/>
    <sheet name="基准地价修正" sheetId="43"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1" hidden="1">'比较法-商业 (租金)'!$A$1:$L$49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6">'收益法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 localSheetId="21">[1]修正!$C$59:$C$119</definedName>
    <definedName name="商业街名称">修正!$C$59:$C$119</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iterateCount="1"/>
</workbook>
</file>

<file path=xl/calcChain.xml><?xml version="1.0" encoding="utf-8"?>
<calcChain xmlns="http://schemas.openxmlformats.org/spreadsheetml/2006/main">
  <c r="C33" i="78" l="1"/>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H66" i="78"/>
  <c r="I66" i="78" s="1"/>
  <c r="G66" i="78"/>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F36" i="78"/>
  <c r="AA36" i="78" s="1"/>
  <c r="Q35" i="78"/>
  <c r="Z35" i="78" s="1"/>
  <c r="J35" i="78"/>
  <c r="AC35" i="78" s="1"/>
  <c r="H35" i="78"/>
  <c r="AB35" i="78" s="1"/>
  <c r="F35" i="78"/>
  <c r="AA35" i="78" s="1"/>
  <c r="Q34" i="78"/>
  <c r="Z34" i="78" s="1"/>
  <c r="J34" i="78"/>
  <c r="AC34" i="78" s="1"/>
  <c r="H34" i="78"/>
  <c r="AB34" i="78" s="1"/>
  <c r="F34" i="78"/>
  <c r="AA34" i="78" s="1"/>
  <c r="Q33" i="78"/>
  <c r="Z33" i="78" s="1"/>
  <c r="H33" i="78"/>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D79" i="78"/>
  <c r="E79" i="78" s="1"/>
  <c r="F79" i="78" s="1"/>
  <c r="G79" i="78" s="1"/>
  <c r="H17" i="78"/>
  <c r="AB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D3" i="78"/>
  <c r="D2" i="78"/>
  <c r="H36" i="78" l="1"/>
  <c r="AB36" i="78" s="1"/>
  <c r="H7" i="78"/>
  <c r="U8" i="78"/>
  <c r="AA8" i="78"/>
  <c r="AC8" i="78"/>
  <c r="U9" i="78"/>
  <c r="S10" i="78"/>
  <c r="W10" i="78"/>
  <c r="U11" i="78"/>
  <c r="S12" i="78"/>
  <c r="W12" i="78"/>
  <c r="U13" i="78"/>
  <c r="S14" i="78"/>
  <c r="W14" i="78"/>
  <c r="S15" i="78"/>
  <c r="W15" i="78"/>
  <c r="F17" i="78"/>
  <c r="J17" i="78"/>
  <c r="U17" i="78"/>
  <c r="U19" i="78"/>
  <c r="U21" i="78"/>
  <c r="U23" i="78"/>
  <c r="AC25" i="78"/>
  <c r="W25" i="78"/>
  <c r="S25" i="78"/>
  <c r="AB33" i="78"/>
  <c r="U33" i="78"/>
  <c r="F7" i="78"/>
  <c r="J7" i="78"/>
  <c r="S9" i="78"/>
  <c r="W9" i="78"/>
  <c r="U10" i="78"/>
  <c r="S11" i="78"/>
  <c r="W11" i="78"/>
  <c r="U12" i="78"/>
  <c r="S13" i="78"/>
  <c r="W13" i="78"/>
  <c r="U14" i="78"/>
  <c r="U15" i="78"/>
  <c r="S19" i="78"/>
  <c r="W19" i="78"/>
  <c r="S21" i="78"/>
  <c r="W21" i="78"/>
  <c r="S23" i="78"/>
  <c r="W23" i="78"/>
  <c r="U25" i="78"/>
  <c r="S26" i="78"/>
  <c r="W26" i="78"/>
  <c r="U27" i="78"/>
  <c r="S28" i="78"/>
  <c r="W28" i="78"/>
  <c r="U29" i="78"/>
  <c r="S30" i="78"/>
  <c r="W30" i="78"/>
  <c r="U31" i="78"/>
  <c r="S32" i="78"/>
  <c r="W32" i="78"/>
  <c r="F33" i="78"/>
  <c r="J33" i="78"/>
  <c r="U34" i="78"/>
  <c r="S35" i="78"/>
  <c r="W35" i="78"/>
  <c r="U36" i="78"/>
  <c r="S37" i="78"/>
  <c r="W37" i="78"/>
  <c r="U38" i="78"/>
  <c r="S39" i="78"/>
  <c r="W39" i="78"/>
  <c r="U40" i="78"/>
  <c r="S41" i="78"/>
  <c r="W41" i="78"/>
  <c r="U42" i="78"/>
  <c r="S43" i="78"/>
  <c r="W43" i="78"/>
  <c r="U44" i="78"/>
  <c r="S45" i="78"/>
  <c r="W45" i="78"/>
  <c r="U46"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AC33" i="78" l="1"/>
  <c r="W33" i="78"/>
  <c r="AA33" i="78"/>
  <c r="S33" i="78"/>
  <c r="AA7" i="78"/>
  <c r="S7" i="78"/>
  <c r="AA17" i="78"/>
  <c r="S17" i="78"/>
  <c r="AC7" i="78"/>
  <c r="W7" i="78"/>
  <c r="AC17" i="78"/>
  <c r="W17" i="78"/>
  <c r="U7" i="78"/>
  <c r="AB7" i="78"/>
  <c r="T48" i="78" s="1"/>
  <c r="G48" i="78" s="1"/>
  <c r="R48" i="78" l="1"/>
  <c r="E48" i="78" s="1"/>
  <c r="V48" i="78"/>
  <c r="I48" i="78" s="1"/>
  <c r="G53" i="78" s="1"/>
  <c r="H53" i="78" s="1"/>
  <c r="G52" i="78"/>
  <c r="H52" i="78" s="1"/>
  <c r="R49" i="78" l="1"/>
  <c r="E53" i="78"/>
  <c r="F53" i="78" s="1"/>
  <c r="E52" i="78"/>
  <c r="F52" i="78" s="1"/>
  <c r="I53" i="78"/>
  <c r="J53" i="78" s="1"/>
  <c r="I52" i="78"/>
  <c r="J52" i="78" s="1"/>
  <c r="C49" i="78" l="1"/>
  <c r="O4" i="77" s="1"/>
  <c r="C48" i="78"/>
  <c r="O6" i="77" l="1"/>
  <c r="O5" i="77"/>
  <c r="B3" i="78"/>
  <c r="B2" i="78"/>
  <c r="O7" i="77" l="1"/>
  <c r="U6" i="1" s="1"/>
  <c r="I47" i="33" l="1"/>
  <c r="G47" i="33"/>
  <c r="E47" i="33"/>
  <c r="P6" i="77"/>
  <c r="P5" i="77"/>
  <c r="D14" i="9"/>
  <c r="K13" i="3" l="1"/>
  <c r="G19" i="6"/>
  <c r="F19" i="6"/>
  <c r="D29" i="43" s="1"/>
  <c r="B7" i="4" l="1"/>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E8" i="76"/>
  <c r="E12" i="76"/>
  <c r="B12" i="76"/>
  <c r="E7" i="76"/>
  <c r="B10" i="76"/>
  <c r="E13" i="76"/>
  <c r="E11" i="76"/>
  <c r="E9" i="76"/>
  <c r="B9" i="76"/>
  <c r="E10" i="76"/>
  <c r="B7" i="76"/>
  <c r="B11" i="76"/>
  <c r="B8"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F3" i="73"/>
  <c r="D3" i="73"/>
  <c r="D6" i="73"/>
  <c r="F4"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M19" i="43" s="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3" i="1"/>
  <c r="AO10"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S494" i="31" s="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40"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AA13" i="35"/>
  <c r="U31" i="34"/>
  <c r="U46" i="33"/>
  <c r="AA14" i="33"/>
  <c r="J36" i="37"/>
  <c r="AC36" i="37" s="1"/>
  <c r="AB11" i="36"/>
  <c r="J10" i="36"/>
  <c r="AC10" i="36" s="1"/>
  <c r="AB30" i="21"/>
  <c r="AA14" i="37"/>
  <c r="W31" i="34"/>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AC33" i="36"/>
  <c r="U35" i="35"/>
  <c r="AA12" i="35"/>
  <c r="W14" i="37"/>
  <c r="U33" i="37"/>
  <c r="U39" i="37"/>
  <c r="W26" i="37"/>
  <c r="AC8" i="37"/>
  <c r="U26" i="37"/>
  <c r="AB13" i="34"/>
  <c r="W37" i="34"/>
  <c r="AB37" i="34"/>
  <c r="AA13"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497" i="3"/>
  <c r="AZ494" i="3"/>
  <c r="AZ502"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51" i="3"/>
  <c r="AZ55" i="3"/>
  <c r="AZ79" i="3"/>
  <c r="AZ83" i="3"/>
  <c r="AZ144"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62" i="3"/>
  <c r="AZ178" i="3"/>
  <c r="AZ194" i="3"/>
  <c r="AZ500" i="3"/>
  <c r="BA16" i="3"/>
  <c r="AZ16" i="3" s="1"/>
  <c r="BL303" i="3"/>
  <c r="G304" i="3"/>
  <c r="BA306" i="3"/>
  <c r="AZ306" i="3" s="1"/>
  <c r="BL307" i="3"/>
  <c r="AZ307" i="3" s="1"/>
  <c r="G308" i="3"/>
  <c r="BA310" i="3"/>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G342" i="3"/>
  <c r="BL345" i="3"/>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G375" i="3"/>
  <c r="BA377" i="3"/>
  <c r="AZ377" i="3" s="1"/>
  <c r="AZ233" i="3"/>
  <c r="AZ237" i="3"/>
  <c r="AZ269" i="3"/>
  <c r="AZ273" i="3"/>
  <c r="BA379" i="3"/>
  <c r="AZ379" i="3" s="1"/>
  <c r="BL380" i="3"/>
  <c r="G381" i="3"/>
  <c r="BA383" i="3"/>
  <c r="BL384" i="3"/>
  <c r="AZ384" i="3" s="1"/>
  <c r="G385" i="3"/>
  <c r="BA387" i="3"/>
  <c r="AZ387" i="3" s="1"/>
  <c r="BL388" i="3"/>
  <c r="G389" i="3"/>
  <c r="BA391" i="3"/>
  <c r="BL392" i="3"/>
  <c r="AZ392" i="3" s="1"/>
  <c r="G393" i="3"/>
  <c r="AZ275" i="3"/>
  <c r="AZ291" i="3"/>
  <c r="BO5" i="3"/>
  <c r="BM5" i="3"/>
  <c r="BJ5" i="3"/>
  <c r="BH5" i="3"/>
  <c r="BF5" i="3"/>
  <c r="BD5" i="3"/>
  <c r="AZ309" i="3"/>
  <c r="AZ341" i="3"/>
  <c r="BQ5" i="3"/>
  <c r="AC5" i="3"/>
  <c r="AZ549" i="3"/>
  <c r="AZ506" i="3"/>
  <c r="AZ496" i="3"/>
  <c r="G548" i="3"/>
  <c r="G538" i="3"/>
  <c r="G520" i="3"/>
  <c r="G502" i="3"/>
  <c r="BS5" i="3"/>
  <c r="BP5" i="3"/>
  <c r="BN5" i="3"/>
  <c r="AZ343" i="3"/>
  <c r="BK5" i="3"/>
  <c r="BI5" i="3"/>
  <c r="BG5" i="3"/>
  <c r="BE5" i="3"/>
  <c r="BC5" i="3"/>
  <c r="G17" i="3"/>
  <c r="BA17" i="3"/>
  <c r="BT5" i="3"/>
  <c r="AZ356" i="3"/>
  <c r="AZ360" i="3"/>
  <c r="AZ364" i="3"/>
  <c r="AZ368" i="3"/>
  <c r="BA15" i="3"/>
  <c r="BB5" i="3"/>
  <c r="E8" i="6" s="1"/>
  <c r="F27" i="6" s="1"/>
  <c r="BR5" i="3"/>
  <c r="G28" i="6" s="1"/>
  <c r="AZ380" i="3"/>
  <c r="AZ388" i="3"/>
  <c r="AZ394" i="3"/>
  <c r="AZ499" i="3"/>
  <c r="AZ509" i="3"/>
  <c r="G509" i="3"/>
  <c r="BL493" i="3"/>
  <c r="AZ493" i="3" s="1"/>
  <c r="AZ376" i="3"/>
  <c r="AZ390"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268" i="3"/>
  <c r="AZ271" i="3"/>
  <c r="AZ288" i="3"/>
  <c r="AZ133" i="3"/>
  <c r="AZ21" i="3"/>
  <c r="AZ53" i="3"/>
  <c r="AZ58"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U43" i="33" l="1"/>
  <c r="U35" i="33"/>
  <c r="S9" i="33"/>
  <c r="H74" i="43"/>
  <c r="AC11" i="39"/>
  <c r="AZ391" i="3"/>
  <c r="AZ345" i="3"/>
  <c r="AZ371" i="3"/>
  <c r="S41" i="34"/>
  <c r="AA41" i="34"/>
  <c r="AZ326" i="3"/>
  <c r="AZ311" i="3"/>
  <c r="AZ303" i="3"/>
  <c r="AZ389" i="3"/>
  <c r="AZ372" i="3"/>
  <c r="AZ320" i="3"/>
  <c r="AZ313" i="3"/>
  <c r="AZ305" i="3"/>
  <c r="AZ378" i="3"/>
  <c r="AZ555" i="3"/>
  <c r="AZ565" i="3"/>
  <c r="AZ566" i="3"/>
  <c r="AZ574" i="3"/>
  <c r="AC28" i="21"/>
  <c r="W29" i="33"/>
  <c r="S45" i="33"/>
  <c r="AC30" i="34"/>
  <c r="W11" i="35"/>
  <c r="W13" i="36"/>
  <c r="U23" i="40"/>
  <c r="AB17" i="34"/>
  <c r="U30" i="35"/>
  <c r="U33" i="33"/>
  <c r="H12" i="21"/>
  <c r="BL585" i="3"/>
  <c r="H12" i="33"/>
  <c r="H38" i="33"/>
  <c r="AB38" i="33" s="1"/>
  <c r="F9" i="34"/>
  <c r="F9" i="36"/>
  <c r="AA9" i="36" s="1"/>
  <c r="G562" i="3"/>
  <c r="G558" i="3"/>
  <c r="A15" i="62"/>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W33" i="33"/>
  <c r="W39" i="33"/>
  <c r="S41" i="33"/>
  <c r="U32" i="33"/>
  <c r="G20" i="43"/>
  <c r="C20" i="43" s="1"/>
  <c r="H75" i="43"/>
  <c r="B61" i="72"/>
  <c r="AZ521" i="3"/>
  <c r="AZ581" i="3"/>
  <c r="AA14" i="40"/>
  <c r="S14" i="40"/>
  <c r="U28" i="37"/>
  <c r="AB28" i="37"/>
  <c r="AC47" i="34"/>
  <c r="W47" i="34"/>
  <c r="S44" i="33"/>
  <c r="AA44" i="33"/>
  <c r="AA11" i="36"/>
  <c r="S11" i="36"/>
  <c r="S12" i="21"/>
  <c r="AA12" i="21"/>
  <c r="W12" i="34"/>
  <c r="AC12" i="34"/>
  <c r="U12" i="35"/>
  <c r="AB12" i="35"/>
  <c r="AB34" i="35"/>
  <c r="U34" i="35"/>
  <c r="F29" i="6"/>
  <c r="AZ310" i="3"/>
  <c r="AZ329" i="3"/>
  <c r="AZ321" i="3"/>
  <c r="AC40" i="37"/>
  <c r="W40" i="37"/>
  <c r="W32" i="36"/>
  <c r="AC32" i="36"/>
  <c r="U11" i="35"/>
  <c r="AB11" i="35"/>
  <c r="W31" i="33"/>
  <c r="AC31" i="33"/>
  <c r="AB9" i="36"/>
  <c r="U9" i="36"/>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362" i="3"/>
  <c r="AC36" i="34"/>
  <c r="AZ569" i="3"/>
  <c r="AZ577" i="3"/>
  <c r="AZ557" i="3"/>
  <c r="AZ516" i="3"/>
  <c r="AZ524" i="3"/>
  <c r="AZ532" i="3"/>
  <c r="AZ536" i="3"/>
  <c r="AZ544" i="3"/>
  <c r="AZ554" i="3"/>
  <c r="AZ558" i="3"/>
  <c r="AZ582" i="3"/>
  <c r="AB26" i="33"/>
  <c r="C25" i="39"/>
  <c r="S27" i="35"/>
  <c r="F26" i="33"/>
  <c r="W9" i="34"/>
  <c r="S34" i="35"/>
  <c r="W28" i="35"/>
  <c r="U31" i="36"/>
  <c r="U14" i="37"/>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G196" i="3"/>
  <c r="AZ270" i="3"/>
  <c r="AZ277" i="3"/>
  <c r="AZ290" i="3"/>
  <c r="AZ300" i="3"/>
  <c r="AZ161" i="3"/>
  <c r="AZ193"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F103" i="43"/>
  <c r="F105" i="43"/>
  <c r="J106" i="43"/>
  <c r="N107" i="43"/>
  <c r="E56" i="40"/>
  <c r="AR12" i="1"/>
  <c r="T12" i="1"/>
  <c r="AR10" i="1"/>
  <c r="T10" i="1"/>
  <c r="E19" i="69"/>
  <c r="E19" i="68"/>
  <c r="E19" i="11"/>
  <c r="E1" i="73"/>
  <c r="K1" i="73" s="1"/>
  <c r="G41" i="69"/>
  <c r="G22" i="69"/>
  <c r="G41" i="68"/>
  <c r="G22" i="68"/>
  <c r="G27" i="12"/>
  <c r="G26" i="12"/>
  <c r="G41" i="11"/>
  <c r="G22" i="11"/>
  <c r="G25" i="12"/>
  <c r="C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F100" i="43"/>
  <c r="H17" i="43"/>
  <c r="D9" i="53"/>
  <c r="B25" i="72" s="1"/>
  <c r="B24" i="72"/>
  <c r="G6" i="1"/>
  <c r="H85" i="43"/>
  <c r="H81" i="43"/>
  <c r="H84" i="43"/>
  <c r="H88" i="43"/>
  <c r="H78" i="43"/>
  <c r="H70" i="43"/>
  <c r="H71" i="43"/>
  <c r="C17" i="43"/>
  <c r="F33" i="43"/>
  <c r="G17" i="43"/>
  <c r="F34" i="43"/>
  <c r="M7" i="43"/>
  <c r="N6" i="43"/>
  <c r="F48" i="43" s="1"/>
  <c r="H56"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67"/>
  <c r="F9" i="15"/>
  <c r="M22" i="15"/>
  <c r="F36" i="15"/>
  <c r="F40" i="15"/>
  <c r="F26" i="15"/>
  <c r="F38" i="67"/>
  <c r="F7" i="15"/>
  <c r="F38" i="15"/>
  <c r="F37" i="67"/>
  <c r="F36" i="67"/>
  <c r="M28" i="15"/>
  <c r="M26" i="67"/>
  <c r="M29" i="15"/>
  <c r="M6" i="67"/>
  <c r="M8" i="15"/>
  <c r="F7" i="67"/>
  <c r="F26" i="67"/>
  <c r="L47" i="15"/>
  <c r="F8" i="15"/>
  <c r="F16" i="15"/>
  <c r="F9" i="67"/>
  <c r="F6" i="67"/>
  <c r="F42" i="15"/>
  <c r="M23" i="67"/>
  <c r="M9" i="67"/>
  <c r="G1" i="73"/>
  <c r="L47" i="67"/>
  <c r="J15" i="15"/>
  <c r="F13" i="67"/>
  <c r="M9" i="15"/>
  <c r="C76" i="15"/>
  <c r="F13" i="15"/>
  <c r="L48" i="15"/>
  <c r="M23" i="15"/>
  <c r="L48" i="67"/>
  <c r="F40" i="67"/>
  <c r="M26" i="15"/>
  <c r="C76" i="67"/>
  <c r="F43" i="67"/>
  <c r="F6" i="15"/>
  <c r="M28" i="67"/>
  <c r="M8" i="67"/>
  <c r="M24" i="67"/>
  <c r="F37" i="15"/>
  <c r="J15" i="67"/>
  <c r="M22" i="67"/>
  <c r="M29" i="67"/>
  <c r="M24" i="15"/>
  <c r="F8" i="67"/>
  <c r="F42" i="67"/>
  <c r="F43" i="15"/>
  <c r="M6" i="15"/>
  <c r="AZ220" i="3" l="1"/>
  <c r="AZ211" i="3"/>
  <c r="AZ491" i="3"/>
  <c r="AZ46" i="3"/>
  <c r="AZ42" i="3"/>
  <c r="AZ32" i="3"/>
  <c r="AZ186" i="3"/>
  <c r="AZ154" i="3"/>
  <c r="AZ251" i="3"/>
  <c r="AA9" i="34"/>
  <c r="S9" i="34"/>
  <c r="U12" i="33"/>
  <c r="AB12" i="33"/>
  <c r="AB12" i="21"/>
  <c r="U12" i="21"/>
  <c r="H101" i="33"/>
  <c r="I101" i="33" s="1"/>
  <c r="J101" i="33" s="1"/>
  <c r="K101" i="33" s="1"/>
  <c r="L101" i="33" s="1"/>
  <c r="M101" i="33" s="1"/>
  <c r="F32" i="33"/>
  <c r="C24" i="43"/>
  <c r="H52" i="43"/>
  <c r="H49" i="43"/>
  <c r="H50" i="43"/>
  <c r="H48" i="43"/>
  <c r="H53" i="43"/>
  <c r="H51" i="43"/>
  <c r="H54" i="43"/>
  <c r="D22" i="43"/>
  <c r="N109" i="43"/>
  <c r="K109" i="43"/>
  <c r="J109" i="43"/>
  <c r="N104" i="43"/>
  <c r="K106" i="43"/>
  <c r="G103" i="43"/>
  <c r="K104" i="43"/>
  <c r="K107" i="43"/>
  <c r="J103" i="43"/>
  <c r="N106" i="43"/>
  <c r="N103" i="43"/>
  <c r="E4" i="4"/>
  <c r="K4" i="4" s="1"/>
  <c r="B46" i="48" s="1"/>
  <c r="B4" i="72" s="1"/>
  <c r="C7" i="43"/>
  <c r="U39" i="40"/>
  <c r="AB39" i="40"/>
  <c r="U12" i="36"/>
  <c r="AB12" i="36"/>
  <c r="AC23" i="35"/>
  <c r="W23" i="35"/>
  <c r="AA26" i="33"/>
  <c r="S26" i="33"/>
  <c r="AC36" i="35"/>
  <c r="W36" i="35"/>
  <c r="S12" i="34"/>
  <c r="AA12" i="34"/>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C23" i="43" s="1"/>
  <c r="C21"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6" i="15"/>
  <c r="C17" i="15"/>
  <c r="C16" i="67"/>
  <c r="D9" i="68"/>
  <c r="S3" i="43" l="1"/>
  <c r="S5" i="43"/>
  <c r="S7" i="43"/>
  <c r="S4" i="43"/>
  <c r="S6" i="43"/>
  <c r="S2" i="43"/>
  <c r="AA32" i="33"/>
  <c r="S32" i="33"/>
  <c r="C9" i="68"/>
  <c r="B5" i="62"/>
  <c r="B73" i="72"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10" i="68"/>
  <c r="C36" i="68"/>
  <c r="R25" i="6"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C7" i="68" l="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B6" i="76"/>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D2" i="36"/>
  <c r="D2" i="34"/>
  <c r="D2" i="33"/>
  <c r="D2" i="35"/>
  <c r="D2" i="37"/>
  <c r="D2" i="21"/>
  <c r="E2" i="68"/>
  <c r="F20" i="31"/>
  <c r="B2" i="36" l="1"/>
  <c r="B3" i="36" s="1"/>
  <c r="B2" i="35"/>
  <c r="B3" i="35" s="1"/>
  <c r="B2" i="37"/>
  <c r="B3" i="37" s="1"/>
  <c r="B2" i="34"/>
  <c r="B3" i="34" s="1"/>
  <c r="B2" i="21"/>
  <c r="B3" i="21" s="1"/>
  <c r="B2" i="70"/>
  <c r="B3" i="70" s="1"/>
  <c r="D20" i="9"/>
  <c r="D19" i="9"/>
  <c r="B3" i="68"/>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S24" i="31" l="1"/>
  <c r="R25" i="31"/>
  <c r="S25"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21" i="9"/>
  <c r="D22" i="9"/>
  <c r="C102" i="9"/>
  <c r="G19" i="9"/>
  <c r="F66" i="39"/>
  <c r="B2" i="39" s="1"/>
  <c r="B3" i="39" s="1"/>
  <c r="D35" i="9"/>
  <c r="C32" i="9" l="1"/>
  <c r="C35" i="9" s="1"/>
  <c r="G21" i="9"/>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<sst xmlns="http://schemas.openxmlformats.org/spreadsheetml/2006/main" count="7803" uniqueCount="3286">
  <si>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</si>
  <si>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</si>
  <si>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</si>
  <si>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</si>
  <si>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</si>
  <si>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</si>
  <si>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</si>
  <si>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</si>
  <si>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</si>
  <si>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</si>
  <si>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</si>
  <si>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</si>
  <si>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</si>
  <si>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</si>
  <si>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</si>
  <si>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</si>
  <si>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</si>
  <si>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</si>
  <si>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</si>
  <si>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</si>
  <si>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</si>
  <si>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</si>
  <si>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</si>
  <si>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</si>
  <si>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</si>
  <si>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</si>
  <si>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</si>
  <si>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</si>
  <si>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</si>
  <si>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</si>
  <si>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</si>
  <si>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</si>
  <si>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</si>
  <si>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</si>
  <si>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</si>
  <si>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</si>
  <si>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</si>
  <si>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</si>
  <si>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</si>
  <si>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</si>
  <si>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</si>
  <si>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</si>
  <si>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</si>
  <si>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</si>
  <si>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</si>
  <si>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</si>
  <si>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</si>
  <si>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</si>
  <si>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</si>
  <si>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</si>
  <si>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</si>
  <si>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</si>
  <si>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</si>
  <si>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</si>
  <si>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</si>
  <si>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</si>
  <si>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</si>
  <si>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</si>
  <si>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</si>
  <si>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</si>
  <si>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</si>
  <si>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</si>
  <si>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</si>
  <si>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</si>
  <si>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</si>
  <si>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</si>
  <si>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</si>
  <si>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</si>
  <si>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</si>
  <si>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</si>
  <si>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</si>
  <si>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</si>
  <si>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</si>
  <si>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</si>
  <si>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</si>
  <si>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</si>
  <si>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</si>
  <si>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</si>
  <si>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</si>
  <si>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</si>
  <si>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</si>
  <si>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</si>
  <si>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</si>
  <si>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</si>
  <si>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</si>
  <si>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</si>
  <si>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</si>
  <si>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</si>
  <si>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</si>
  <si>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</si>
  <si>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</si>
  <si>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</si>
  <si>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</si>
  <si>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</si>
  <si>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</si>
  <si>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</si>
  <si>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</si>
  <si>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</si>
  <si>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</si>
  <si>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</si>
  <si>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</si>
  <si>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</si>
  <si>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</si>
  <si>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</si>
  <si>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</si>
  <si>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</si>
  <si>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</si>
  <si>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</si>
  <si>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</si>
  <si>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</si>
  <si>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</si>
  <si>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</si>
  <si>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</si>
  <si>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</si>
  <si>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</si>
  <si>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</si>
  <si>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</si>
  <si>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</si>
  <si>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</si>
  <si>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</si>
  <si>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</si>
  <si>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</si>
  <si>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</si>
  <si>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</si>
  <si>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</si>
  <si>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</si>
  <si>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</si>
  <si>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</si>
  <si>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</si>
  <si>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</si>
  <si>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</si>
  <si>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</si>
  <si>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</si>
  <si>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</si>
  <si>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</si>
  <si>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</si>
  <si>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</si>
  <si>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</si>
  <si>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</si>
  <si>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</si>
  <si>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</si>
  <si>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</si>
  <si>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</si>
  <si>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</si>
  <si>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</si>
  <si>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</si>
  <si>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</si>
  <si>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</si>
  <si>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</si>
  <si>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</si>
  <si>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</si>
  <si>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</si>
  <si>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</si>
  <si>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</si>
  <si>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</si>
  <si>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</si>
  <si>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</si>
  <si>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</si>
  <si>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</si>
  <si>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</si>
  <si>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</si>
  <si>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</si>
  <si>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</si>
  <si>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</si>
  <si>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</si>
  <si>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</si>
  <si>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</si>
  <si>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</si>
  <si>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</si>
  <si>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</si>
  <si>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</si>
  <si>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</si>
  <si>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</si>
  <si>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</si>
  <si>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</si>
  <si>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</si>
  <si>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</si>
  <si>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</si>
  <si>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</si>
  <si>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</si>
  <si>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</si>
  <si>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</si>
  <si>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</si>
  <si>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</si>
  <si>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</si>
  <si>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</si>
  <si>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</si>
  <si>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</si>
  <si>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</si>
  <si>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</si>
  <si>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</si>
  <si>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</si>
  <si>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</si>
  <si>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</si>
  <si>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</si>
  <si>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</si>
  <si>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</si>
  <si>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</si>
  <si>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</si>
  <si>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</si>
  <si>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</si>
  <si>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</si>
  <si>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</si>
  <si>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</si>
  <si>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</si>
  <si>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</si>
  <si>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</si>
  <si>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</si>
  <si>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</si>
  <si>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</si>
  <si>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</si>
  <si>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</si>
  <si>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</si>
  <si>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</si>
  <si>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</si>
  <si>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</si>
  <si>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</si>
  <si>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</si>
  <si>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</si>
  <si>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</si>
  <si>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</si>
  <si>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</si>
  <si>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</si>
  <si>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</si>
  <si>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</si>
  <si>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</si>
  <si>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</si>
  <si>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</si>
  <si>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</si>
  <si>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</si>
  <si>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</si>
  <si>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</si>
  <si>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</si>
  <si>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</si>
  <si>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</si>
  <si>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</si>
  <si>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</si>
  <si>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</si>
  <si>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</si>
  <si>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</si>
  <si>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</si>
  <si>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</si>
  <si>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</si>
  <si>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</si>
  <si>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</si>
  <si>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</si>
  <si>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</si>
  <si>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</si>
  <si>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</si>
  <si>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</si>
  <si>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</si>
  <si>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</si>
  <si>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</si>
  <si>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</si>
  <si>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</si>
  <si>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</si>
  <si>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</si>
  <si>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</si>
  <si>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</si>
  <si>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</si>
  <si>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</si>
  <si>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</si>
  <si>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</si>
  <si>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</si>
  <si>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</si>
  <si>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</si>
  <si>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</si>
  <si>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</si>
  <si>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</si>
  <si>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</si>
  <si>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</si>
  <si>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</si>
  <si>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</si>
  <si>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</si>
  <si>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</si>
  <si>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</si>
  <si>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</si>
  <si>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</si>
  <si>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</si>
  <si>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</si>
  <si>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</si>
  <si>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</si>
  <si>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</si>
  <si>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</si>
  <si>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</si>
  <si>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</si>
  <si>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</si>
  <si>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</si>
  <si>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</si>
  <si>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</si>
  <si>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</si>
  <si>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</si>
  <si>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</si>
  <si>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</si>
  <si>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</si>
  <si>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</si>
  <si>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</si>
  <si>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</si>
  <si>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</si>
  <si>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</si>
  <si>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</si>
  <si>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</si>
  <si>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</si>
  <si>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</si>
  <si>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</si>
  <si>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</si>
  <si>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</si>
  <si>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</si>
  <si>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</si>
  <si>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</si>
  <si>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</si>
  <si>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</si>
  <si>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</si>
  <si>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</si>
  <si>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</si>
  <si>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</si>
  <si>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</si>
  <si>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</si>
  <si>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</si>
  <si>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</si>
  <si>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</si>
  <si>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</si>
  <si>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</si>
  <si>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</si>
  <si>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</si>
  <si>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</si>
  <si>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</si>
  <si>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</si>
  <si>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</si>
  <si>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</si>
  <si>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</si>
  <si>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</si>
  <si>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</si>
  <si>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</si>
  <si>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</si>
  <si>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</si>
  <si>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</si>
  <si>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</si>
  <si>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</si>
  <si>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</si>
  <si>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</si>
  <si>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</si>
  <si>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</si>
  <si>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</si>
  <si>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</si>
  <si>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</si>
  <si>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</si>
  <si>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</si>
  <si>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</si>
  <si>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</si>
  <si>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</si>
  <si>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</si>
  <si>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</si>
  <si>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</si>
  <si>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</si>
  <si>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</si>
  <si>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</si>
  <si>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</si>
  <si>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</si>
  <si>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</si>
  <si>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</si>
  <si>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</si>
  <si>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</si>
  <si>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</si>
  <si>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</si>
  <si>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</si>
  <si>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</si>
  <si>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</si>
  <si>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</si>
  <si>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</si>
  <si>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</si>
  <si>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</si>
  <si>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</si>
  <si>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</si>
  <si>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</si>
  <si>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</si>
  <si>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</si>
  <si>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</si>
  <si>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</si>
  <si>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</si>
  <si>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</si>
  <si>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</si>
  <si>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</si>
  <si>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</si>
  <si>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</si>
  <si>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</si>
  <si>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</si>
  <si>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</si>
  <si>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</si>
  <si>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</si>
  <si>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</si>
  <si>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</si>
  <si>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</si>
  <si>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</si>
  <si>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</si>
  <si>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</si>
  <si>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</si>
  <si>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</si>
  <si>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</si>
  <si>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</si>
  <si>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</si>
  <si>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</si>
  <si>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</si>
  <si>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</si>
  <si>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</si>
  <si>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</si>
  <si>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</si>
  <si>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</si>
  <si>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</si>
  <si>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</si>
  <si>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</si>
  <si>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</si>
  <si>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</si>
  <si>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</si>
  <si>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</si>
  <si>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</si>
  <si>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</si>
  <si>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</si>
  <si>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</si>
  <si>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</si>
  <si>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</si>
  <si>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</si>
  <si>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</si>
  <si>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</si>
  <si>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</si>
  <si>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</si>
  <si>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</si>
  <si>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</si>
  <si>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</si>
  <si>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</si>
  <si>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</si>
  <si>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</si>
  <si>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</si>
  <si>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</si>
  <si>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</si>
  <si>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</si>
  <si>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</si>
  <si>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</si>
  <si>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</si>
  <si>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</si>
  <si>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</si>
  <si>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</si>
  <si>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</si>
  <si>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</si>
  <si>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</si>
  <si>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</si>
  <si>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</si>
  <si>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</si>
  <si>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</si>
  <si>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</si>
  <si>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</si>
  <si>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</si>
  <si>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</si>
  <si>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</si>
  <si>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</si>
  <si>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</si>
  <si>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</si>
  <si>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</si>
  <si>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</si>
  <si>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</si>
  <si>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</si>
  <si>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</si>
  <si>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</si>
  <si>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</si>
  <si>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</si>
  <si>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</si>
  <si>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</si>
  <si>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</si>
  <si>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</si>
  <si>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</si>
  <si>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</si>
  <si>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</si>
  <si>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</si>
  <si>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</si>
  <si>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</si>
  <si>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</si>
  <si>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</si>
  <si>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</si>
  <si>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</si>
  <si>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</si>
  <si>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</si>
  <si>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</si>
  <si>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</si>
  <si>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</si>
  <si>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</si>
  <si>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</si>
  <si>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</si>
  <si>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</si>
  <si>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</si>
  <si>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</si>
  <si>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</si>
  <si>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</si>
  <si>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</si>
  <si>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</si>
  <si>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</si>
  <si>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</si>
  <si>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</si>
  <si>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</si>
  <si>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</si>
  <si>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</si>
  <si>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</si>
  <si>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</si>
  <si>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</si>
  <si>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</si>
  <si>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</si>
  <si>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</si>
  <si>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</si>
  <si>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</si>
  <si>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</si>
  <si>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</si>
  <si>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</si>
  <si>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</si>
  <si>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</si>
  <si>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</si>
  <si>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</si>
  <si>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</si>
  <si>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</si>
  <si>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</si>
  <si>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</si>
  <si>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</si>
  <si>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</si>
  <si>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</si>
  <si>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</si>
  <si>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</si>
  <si>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</si>
  <si>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</si>
  <si>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</si>
  <si>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</si>
  <si>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</si>
  <si>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</si>
  <si>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</si>
  <si>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</si>
  <si>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</si>
  <si>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</si>
  <si>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</si>
  <si>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</si>
  <si>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</si>
  <si>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</si>
  <si>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</si>
  <si>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</si>
  <si>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</si>
  <si>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</si>
  <si>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</si>
  <si>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</si>
  <si>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</si>
  <si>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</si>
  <si>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</si>
  <si>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</si>
  <si>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</si>
  <si>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</si>
  <si>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</si>
  <si>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</si>
  <si>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</si>
  <si>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</si>
  <si>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</si>
  <si>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</si>
  <si>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</si>
  <si>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</si>
  <si>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</si>
  <si>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</si>
  <si>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</si>
  <si>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</si>
  <si>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</si>
  <si>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</si>
  <si>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</si>
  <si>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</si>
  <si>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</si>
  <si>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</si>
  <si>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</si>
  <si>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</si>
  <si>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</si>
  <si>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</si>
  <si>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</si>
  <si>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</si>
  <si>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</si>
  <si>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</si>
  <si>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</si>
  <si>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</si>
  <si>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</si>
  <si>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</si>
  <si>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</si>
  <si>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</si>
  <si>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</si>
  <si>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</si>
  <si>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</si>
  <si>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</si>
  <si>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</si>
  <si>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</si>
  <si>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</si>
  <si>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</si>
  <si>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</si>
  <si>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</si>
  <si>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</si>
  <si>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</si>
  <si>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</si>
  <si>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</si>
  <si>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</si>
  <si>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</si>
  <si>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</si>
  <si>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</si>
  <si>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</si>
  <si>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</si>
  <si>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</si>
  <si>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</si>
  <si>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</si>
  <si>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</si>
  <si>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</si>
  <si>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</si>
  <si>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</si>
  <si>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</si>
  <si>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</si>
  <si>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</si>
  <si>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</si>
  <si>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</si>
  <si>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</si>
  <si>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</si>
  <si>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</si>
  <si>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</si>
  <si>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</si>
  <si>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</si>
  <si>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</si>
  <si>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</si>
  <si>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</si>
  <si>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</si>
  <si>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</si>
  <si>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</si>
  <si>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</si>
  <si>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</si>
  <si>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</si>
  <si>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</si>
  <si>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</si>
  <si>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</si>
  <si>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</si>
  <si>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</si>
  <si>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</si>
  <si>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</si>
  <si>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</si>
  <si>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</si>
  <si>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</si>
  <si>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</si>
  <si>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</si>
  <si>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</si>
  <si>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</si>
  <si>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</si>
  <si>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</si>
  <si>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</si>
  <si>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</si>
  <si>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</si>
  <si>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</si>
  <si>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</si>
  <si>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</si>
  <si>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</si>
  <si>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</si>
  <si>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</si>
  <si>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</si>
  <si>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</si>
  <si>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</si>
  <si>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</si>
  <si>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</si>
  <si>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</si>
  <si>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</si>
  <si>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</si>
  <si>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</si>
  <si>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</si>
  <si>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</si>
  <si>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</si>
  <si>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</si>
  <si>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</si>
  <si>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</si>
  <si>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</si>
  <si>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</si>
  <si>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</si>
  <si>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</si>
  <si>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</si>
  <si>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</si>
  <si>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</si>
  <si>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</si>
  <si>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</si>
  <si>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</si>
  <si>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</si>
  <si>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</si>
  <si>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</si>
  <si>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</si>
  <si>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</si>
  <si>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</si>
  <si>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</si>
  <si>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</si>
  <si>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</si>
  <si>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</si>
  <si>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</si>
  <si>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</si>
  <si>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</si>
  <si>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</si>
  <si>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</si>
  <si>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</si>
  <si>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</si>
  <si>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</si>
  <si>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</si>
  <si>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</si>
  <si>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</si>
  <si>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</si>
  <si>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</si>
  <si>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</si>
  <si>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</si>
  <si>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</si>
  <si>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</si>
  <si>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</si>
  <si>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</si>
  <si>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</si>
  <si>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</si>
  <si>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</si>
  <si>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</si>
  <si>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</si>
  <si>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</si>
  <si>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</si>
  <si>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</si>
  <si>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</si>
  <si>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</si>
  <si>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</si>
  <si>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</si>
  <si>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</si>
  <si>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</si>
  <si>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</si>
  <si>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</si>
  <si>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</si>
  <si>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</si>
  <si>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</si>
  <si>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</si>
  <si>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</si>
  <si>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</si>
  <si>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</si>
  <si>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</si>
  <si>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</si>
  <si>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</si>
  <si>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</si>
  <si>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</si>
  <si>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</si>
  <si>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</si>
  <si>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</si>
  <si>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</si>
  <si>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</si>
  <si>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</si>
  <si>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</si>
  <si>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</si>
  <si>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</si>
  <si>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</si>
  <si>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</si>
  <si>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</si>
  <si>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</si>
  <si>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</si>
  <si>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</si>
  <si>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</si>
  <si>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</si>
  <si>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</si>
  <si>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</si>
  <si>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</si>
  <si>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</si>
  <si>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</si>
  <si>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</si>
  <si>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</si>
  <si>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</si>
  <si>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</si>
  <si>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</si>
  <si>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</si>
  <si>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</si>
  <si>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</si>
  <si>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</si>
  <si>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</si>
  <si>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</si>
  <si>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</si>
  <si>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</si>
  <si>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</si>
  <si>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</si>
  <si>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</si>
  <si>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</si>
  <si>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</si>
  <si>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</si>
  <si>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</si>
  <si>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</si>
  <si>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</si>
  <si>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</si>
  <si>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</si>
  <si>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</si>
  <si>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</si>
  <si>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</si>
  <si>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</si>
  <si>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</si>
  <si>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</si>
  <si>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</si>
  <si>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</si>
  <si>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</si>
  <si>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</si>
  <si>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</si>
  <si>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</si>
  <si>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</si>
  <si>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</si>
  <si>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</si>
  <si>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</si>
  <si>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</si>
  <si>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</si>
  <si>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</si>
  <si>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</si>
  <si>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</si>
  <si>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</si>
  <si>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</si>
  <si>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</si>
  <si>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</si>
  <si>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</si>
  <si>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</si>
  <si>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</si>
  <si>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</si>
  <si>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</si>
  <si>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</si>
  <si>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</si>
  <si>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</si>
  <si>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</si>
  <si>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</si>
  <si>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</si>
  <si>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</si>
  <si>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</si>
  <si>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</si>
  <si>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</si>
  <si>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</si>
  <si>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</si>
  <si>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</si>
  <si>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</si>
  <si>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</si>
  <si>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</si>
  <si>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</si>
  <si>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</si>
  <si>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</si>
  <si>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</si>
  <si>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</si>
  <si>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</si>
  <si>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</si>
  <si>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</si>
  <si>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</si>
  <si>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</si>
  <si>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</si>
  <si>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</si>
  <si>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</si>
  <si>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</si>
  <si>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</si>
  <si>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</si>
  <si>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</si>
  <si>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</si>
  <si>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</si>
  <si>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</si>
  <si>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</si>
  <si>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</si>
  <si>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</si>
  <si>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</si>
  <si>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</si>
  <si>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</si>
  <si>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</si>
  <si>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</si>
  <si>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</si>
  <si>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</si>
  <si>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</si>
  <si>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</si>
  <si>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</si>
  <si>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</si>
  <si>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</si>
  <si>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</si>
  <si>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</si>
  <si>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</si>
  <si>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</si>
  <si>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</si>
  <si>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</si>
  <si>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</si>
  <si>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</si>
  <si>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</si>
  <si>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</si>
  <si>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</si>
  <si>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</si>
  <si>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</si>
  <si>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</si>
  <si>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</si>
  <si>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</si>
  <si>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</si>
  <si>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</si>
  <si>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</si>
  <si>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</si>
  <si>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</si>
  <si>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</si>
  <si>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</si>
  <si>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</si>
  <si>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</si>
  <si>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</si>
  <si>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</si>
  <si>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</si>
  <si>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</si>
  <si>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</si>
  <si>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</si>
  <si>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</si>
  <si>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</si>
  <si>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</si>
  <si>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</si>
  <si>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</si>
  <si>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</si>
  <si>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</si>
  <si>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</si>
  <si>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</si>
  <si>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</si>
  <si>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</si>
  <si>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</si>
  <si>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</si>
  <si>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</si>
  <si>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</si>
  <si>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</si>
  <si>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</si>
  <si>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</si>
  <si>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</si>
  <si>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</si>
  <si>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</si>
  <si>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</si>
  <si>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</si>
  <si>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</si>
  <si>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</si>
  <si>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</si>
  <si>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</si>
  <si>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</si>
  <si>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</si>
  <si>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</si>
  <si>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</si>
  <si>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</si>
  <si>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</si>
  <si>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</si>
  <si>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</si>
  <si>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</si>
  <si>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</si>
  <si>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</si>
  <si>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</si>
  <si>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</si>
  <si>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</si>
  <si>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</si>
  <si>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</si>
  <si>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</si>
  <si>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</si>
  <si>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</si>
  <si>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</si>
  <si>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</si>
  <si>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</si>
  <si>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</si>
  <si>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</si>
  <si>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</si>
  <si>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</si>
  <si>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</si>
  <si>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</si>
  <si>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</si>
  <si>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</si>
  <si>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</si>
  <si>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</si>
  <si>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</si>
  <si>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</si>
  <si>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</si>
  <si>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</si>
  <si>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</si>
  <si>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</si>
  <si>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</si>
  <si>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</si>
  <si>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</si>
  <si>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</si>
  <si>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</si>
  <si>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</si>
  <si>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</si>
  <si>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</si>
  <si>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</si>
  <si>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</si>
  <si>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</si>
  <si>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</si>
  <si>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</si>
  <si>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</si>
  <si>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</si>
  <si>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</si>
  <si>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</si>
  <si>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</si>
  <si>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</si>
  <si>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</si>
  <si>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</si>
  <si>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</si>
  <si>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</si>
  <si>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</si>
  <si>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</si>
  <si>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</si>
  <si>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</si>
  <si>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</si>
  <si>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</si>
  <si>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</si>
  <si>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</si>
  <si>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</si>
  <si>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</si>
  <si>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</si>
  <si>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</si>
  <si>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</si>
  <si>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</si>
  <si>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</si>
  <si>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</si>
  <si>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</si>
  <si>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</si>
  <si>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</si>
  <si>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</si>
  <si>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</si>
  <si>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</si>
  <si>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</si>
  <si>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</si>
  <si>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</si>
  <si>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</si>
  <si>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</si>
  <si>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</si>
  <si>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</si>
  <si>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</si>
  <si>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</si>
  <si>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</si>
  <si>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</si>
  <si>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</si>
  <si>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</si>
  <si>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</si>
  <si>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</si>
  <si>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</si>
  <si>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</si>
  <si>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</si>
  <si>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</si>
  <si>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</si>
  <si>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</si>
  <si>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</si>
  <si>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</si>
  <si>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</si>
  <si>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</si>
  <si>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</si>
  <si>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</si>
  <si>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</si>
  <si>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</si>
  <si>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</si>
  <si>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</si>
  <si>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</si>
  <si>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</si>
  <si>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</si>
  <si>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</si>
  <si>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</si>
  <si>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</si>
  <si>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</si>
  <si>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</si>
  <si>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</si>
  <si>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</si>
  <si>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</si>
  <si>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</si>
  <si>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</si>
  <si>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</si>
  <si>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</si>
  <si>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</si>
  <si>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</si>
  <si>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</si>
  <si>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</si>
  <si>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</si>
  <si>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</si>
  <si>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</si>
  <si>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</si>
  <si>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</si>
  <si>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</si>
  <si>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</si>
  <si>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</si>
  <si>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</si>
  <si>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</si>
  <si>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</si>
  <si>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</si>
  <si>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</si>
  <si>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</si>
  <si>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</si>
  <si>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</si>
  <si>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</si>
  <si>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</si>
  <si>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</si>
  <si>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</si>
  <si>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</si>
  <si>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</si>
  <si>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</si>
  <si>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</si>
  <si>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</si>
  <si>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</si>
  <si>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</si>
  <si>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</si>
  <si>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</si>
  <si>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</si>
  <si>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</si>
  <si>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</si>
  <si>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</si>
  <si>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</si>
  <si>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</si>
  <si>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</si>
  <si>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</si>
  <si>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</si>
  <si>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</si>
  <si>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</si>
  <si>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</si>
  <si>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</si>
  <si>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</si>
  <si>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</si>
  <si>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</si>
  <si>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</si>
  <si>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</si>
  <si>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</si>
  <si>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</si>
  <si>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</si>
  <si>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</si>
  <si>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</si>
  <si>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</si>
  <si>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</si>
  <si>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</si>
  <si>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</si>
  <si>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</si>
  <si>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</si>
  <si>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</si>
  <si>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</si>
  <si>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</si>
  <si>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</si>
  <si>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</si>
  <si>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</si>
  <si>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</si>
  <si>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</si>
  <si>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</si>
  <si>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</si>
  <si>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</si>
  <si>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</si>
  <si>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</si>
  <si>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</si>
  <si>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</si>
  <si>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</si>
  <si>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</si>
  <si>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</si>
  <si>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</si>
  <si>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</si>
  <si>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</si>
  <si>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</si>
  <si>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</si>
  <si>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</si>
  <si>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</si>
  <si>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</si>
  <si>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</si>
  <si>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</si>
  <si>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</si>
  <si>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</si>
  <si>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</si>
  <si>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</si>
  <si>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</si>
  <si>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</si>
  <si>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</si>
  <si>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</si>
  <si>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</si>
  <si>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</si>
  <si>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</si>
  <si>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</si>
  <si>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</si>
  <si>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</si>
  <si>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</si>
  <si>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</si>
  <si>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</si>
  <si>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</si>
  <si>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</si>
  <si>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</si>
  <si>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</si>
  <si>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</si>
  <si>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</si>
  <si>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</si>
  <si>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</si>
  <si>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</si>
  <si>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</si>
  <si>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</si>
  <si>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</si>
  <si>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</si>
  <si>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</si>
  <si>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</si>
  <si>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</si>
  <si>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</si>
  <si>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</si>
  <si>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</si>
  <si>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</si>
  <si>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</si>
  <si>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</si>
  <si>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</si>
  <si>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</si>
  <si>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</si>
  <si>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</si>
  <si>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</si>
  <si>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</si>
  <si>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</si>
  <si>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</si>
  <si>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</si>
  <si>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</si>
  <si>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</si>
  <si>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</si>
  <si>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</si>
  <si>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</si>
  <si>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</si>
  <si>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</si>
  <si>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</si>
  <si>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</si>
  <si>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</si>
  <si>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</si>
  <si>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</si>
  <si>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</si>
  <si>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</si>
  <si>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</si>
  <si>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</si>
  <si>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</si>
  <si>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</si>
  <si>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</si>
  <si>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</si>
  <si>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</si>
  <si>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</si>
  <si>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</si>
  <si>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</si>
  <si>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</si>
  <si>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</si>
  <si>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</si>
  <si>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</si>
  <si>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</si>
  <si>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</si>
  <si>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</si>
  <si>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</si>
  <si>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</si>
  <si>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</si>
  <si>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</si>
  <si>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</si>
  <si>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</si>
  <si>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</si>
  <si>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</si>
  <si>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</si>
  <si>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</si>
  <si>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</si>
  <si>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</si>
  <si>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</si>
  <si>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</si>
  <si>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</si>
  <si>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</si>
  <si>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</si>
  <si>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</si>
  <si>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</si>
  <si>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</si>
  <si>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</si>
  <si>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</si>
  <si>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</si>
  <si>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</si>
  <si>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</si>
  <si>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</si>
  <si>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</si>
  <si>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</si>
  <si>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</si>
  <si>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</si>
  <si>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</si>
  <si>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</si>
  <si>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</si>
  <si>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</si>
  <si>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</si>
  <si>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</si>
  <si>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</si>
  <si>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</si>
  <si>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</si>
  <si>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</si>
  <si>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</si>
  <si>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</si>
  <si>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</si>
  <si>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</si>
  <si>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</si>
  <si>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</si>
  <si>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</si>
  <si>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</si>
  <si>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</si>
  <si>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</si>
  <si>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</si>
  <si>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</si>
  <si>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</si>
  <si>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</si>
  <si>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</si>
  <si>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</si>
  <si>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</si>
  <si>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</si>
  <si>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</si>
  <si>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</si>
  <si>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</si>
  <si>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</si>
  <si>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</si>
  <si>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</si>
  <si>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</si>
  <si>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</si>
  <si>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</si>
  <si>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</si>
  <si>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</si>
  <si>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</si>
  <si>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</si>
  <si>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</si>
  <si>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</si>
  <si>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</si>
  <si>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</si>
  <si>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</si>
  <si>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</si>
  <si>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</si>
  <si>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</si>
  <si>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</si>
  <si>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</si>
  <si>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</si>
  <si>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</si>
  <si>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</si>
  <si>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</si>
  <si>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</si>
  <si>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</si>
  <si>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</si>
  <si>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</si>
  <si>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</si>
  <si>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</si>
  <si>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</si>
  <si>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</si>
  <si>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</si>
  <si>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</si>
  <si>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</si>
  <si>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</si>
  <si>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</si>
  <si>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</si>
  <si>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</si>
  <si>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</si>
  <si>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</si>
  <si>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</si>
  <si>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</si>
  <si>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</si>
  <si>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</si>
  <si>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</si>
  <si>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</si>
  <si>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</si>
  <si>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</si>
  <si>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</si>
  <si>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</si>
  <si>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</si>
  <si>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</si>
  <si>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</si>
  <si>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</si>
  <si>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</si>
  <si>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</si>
  <si>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</si>
  <si>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</si>
  <si>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</si>
  <si>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</si>
  <si>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</si>
  <si>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</si>
  <si>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</si>
  <si>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</si>
  <si>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</si>
  <si>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</si>
  <si>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</si>
  <si>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</si>
  <si>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</si>
  <si>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</si>
  <si>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</si>
  <si>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</si>
  <si>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</si>
  <si>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</si>
  <si>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</si>
  <si>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</si>
  <si>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</si>
  <si>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</si>
  <si>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</si>
  <si>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</si>
  <si>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</si>
  <si>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</si>
  <si>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</si>
  <si>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</si>
  <si>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</si>
  <si>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</si>
  <si>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</si>
  <si>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</si>
  <si>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</si>
  <si>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</si>
  <si>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</si>
  <si>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</si>
  <si>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</si>
  <si>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</si>
  <si>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</si>
  <si>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</si>
  <si>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</si>
  <si>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</si>
  <si>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</si>
  <si>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</si>
  <si>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</si>
  <si>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</si>
  <si>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</si>
  <si>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</si>
  <si>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</si>
  <si>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</si>
  <si>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</si>
  <si>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</si>
  <si>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</si>
  <si>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</si>
  <si>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</si>
  <si>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</si>
  <si>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</si>
  <si>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</si>
  <si>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</si>
  <si>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</si>
  <si>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</si>
  <si>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</si>
  <si>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</si>
  <si>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</si>
  <si>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</si>
  <si>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</si>
  <si>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</si>
  <si>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</si>
  <si>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</si>
  <si>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</si>
  <si>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</si>
  <si>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</si>
  <si>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</si>
  <si>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</si>
  <si>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</si>
  <si>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</si>
  <si>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</si>
  <si>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</si>
  <si>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</si>
  <si>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</si>
  <si>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</si>
  <si>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</si>
  <si>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</si>
  <si>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</si>
  <si>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</si>
  <si>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</si>
  <si>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</si>
  <si>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</si>
  <si>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</si>
  <si>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</si>
  <si>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</si>
  <si>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</si>
  <si>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</si>
  <si>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</si>
  <si>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</si>
  <si>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</si>
  <si>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</si>
  <si>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</si>
  <si>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</si>
  <si>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</si>
  <si>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</si>
  <si>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</si>
  <si>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</si>
  <si>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</si>
  <si>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</si>
  <si>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</si>
  <si>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</si>
  <si>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</si>
  <si>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</si>
  <si>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</si>
  <si>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</si>
  <si>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</si>
  <si>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</si>
  <si>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</si>
  <si>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</si>
  <si>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</si>
  <si>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</si>
  <si>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</si>
  <si>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</si>
  <si>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</si>
  <si>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</si>
  <si>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</si>
  <si>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</si>
  <si>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</si>
  <si>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</si>
  <si>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</si>
  <si>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</si>
  <si>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</si>
  <si>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</si>
  <si>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</si>
  <si>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</si>
  <si>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</si>
  <si>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</si>
  <si>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</si>
  <si>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</si>
  <si>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</si>
  <si>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</si>
  <si>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</si>
  <si>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</si>
  <si>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</si>
  <si>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</si>
  <si>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</si>
  <si>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</si>
  <si>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</si>
  <si>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</si>
  <si>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</si>
  <si>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</si>
  <si>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</si>
  <si>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</si>
  <si>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</si>
  <si>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</si>
  <si>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</si>
  <si>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</si>
  <si>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</si>
  <si>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</si>
  <si>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</si>
  <si>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</si>
  <si>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</si>
  <si>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</si>
  <si>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</si>
  <si>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</si>
  <si>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</si>
  <si>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</si>
  <si>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</si>
  <si>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</si>
  <si>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</si>
  <si>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</si>
  <si>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</si>
  <si>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</si>
  <si>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</si>
  <si>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</si>
  <si>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</si>
  <si>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</si>
  <si>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</si>
  <si>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</si>
  <si>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</si>
  <si>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</si>
  <si>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</si>
  <si>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</si>
  <si>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</si>
  <si>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</si>
  <si>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</si>
  <si>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</si>
  <si>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</si>
  <si>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</si>
  <si>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</si>
  <si>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</si>
  <si>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</si>
  <si>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</si>
  <si>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</si>
  <si>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</si>
  <si>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</si>
  <si>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</si>
  <si>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</si>
  <si>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</si>
  <si>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</si>
  <si>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</si>
  <si>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</si>
  <si>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</si>
  <si>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</si>
  <si>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</si>
  <si>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</si>
  <si>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</si>
  <si>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</si>
  <si>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</si>
  <si>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</si>
  <si>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</si>
  <si>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</si>
  <si>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</si>
  <si>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</si>
  <si>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</si>
  <si>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</si>
  <si>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</si>
  <si>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</si>
  <si>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</si>
  <si>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</si>
  <si>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</si>
  <si>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</si>
  <si>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</si>
  <si>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</si>
  <si>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</si>
  <si>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</si>
  <si>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</si>
  <si>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</si>
  <si>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</si>
  <si>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</si>
  <si>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</si>
  <si>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</si>
  <si>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</si>
  <si>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</si>
  <si>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</si>
  <si>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</si>
  <si>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</si>
  <si>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</si>
  <si>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</si>
  <si>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</si>
  <si>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</si>
  <si>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</si>
  <si>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</si>
  <si>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</si>
  <si>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</si>
  <si>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</si>
  <si>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</si>
  <si>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</si>
  <si>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</si>
  <si>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</si>
  <si>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</si>
  <si>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</si>
  <si>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</si>
  <si>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</si>
  <si>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</si>
  <si>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</si>
  <si>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</si>
  <si>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</si>
  <si>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</si>
  <si>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</si>
  <si>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</si>
  <si>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</si>
  <si>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</si>
  <si>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</si>
  <si>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</si>
  <si>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</si>
  <si>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</si>
  <si>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</si>
  <si>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</si>
  <si>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</si>
  <si>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</si>
  <si>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</si>
  <si>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</si>
  <si>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</si>
  <si>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</si>
  <si>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</si>
  <si>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</si>
  <si>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</si>
  <si>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</si>
  <si>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</si>
  <si>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</si>
  <si>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</si>
  <si>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</si>
  <si>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</si>
  <si>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</si>
  <si>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</si>
  <si>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</si>
  <si>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</si>
  <si>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</si>
  <si>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</si>
  <si>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</si>
  <si>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</si>
  <si>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</si>
  <si>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</si>
  <si>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</si>
  <si>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</si>
  <si>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</si>
  <si>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</si>
  <si>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</si>
  <si>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</si>
  <si>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</si>
  <si>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</si>
  <si>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</si>
  <si>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</si>
  <si>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</si>
  <si>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</si>
  <si>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</si>
  <si>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</si>
  <si>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</si>
  <si>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</si>
  <si>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</si>
  <si>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</si>
  <si>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</si>
  <si>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</si>
  <si>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</si>
  <si>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</si>
  <si>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</si>
  <si>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</si>
  <si>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</si>
  <si>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</si>
  <si>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</si>
  <si>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</si>
  <si>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</si>
  <si>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</si>
  <si>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</si>
  <si>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</si>
  <si>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</si>
  <si>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</si>
  <si>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</si>
  <si>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</si>
  <si>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</si>
  <si>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</si>
  <si>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</si>
  <si>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</si>
  <si>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</si>
  <si>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</si>
  <si>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</si>
  <si>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</si>
  <si>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</si>
  <si>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</si>
  <si>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</si>
  <si>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</si>
  <si>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</si>
  <si>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</si>
  <si>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</si>
  <si>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</si>
  <si>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</si>
  <si>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</si>
  <si>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</si>
  <si>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</si>
  <si>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</si>
  <si>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</si>
  <si>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</si>
  <si>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</si>
  <si>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</si>
  <si>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</si>
  <si>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</si>
  <si>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</si>
  <si>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</si>
  <si>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</si>
  <si>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</si>
  <si>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</si>
  <si>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</si>
  <si>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</si>
  <si>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</si>
  <si>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</si>
  <si>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</si>
  <si>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</si>
  <si>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</si>
  <si>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</si>
  <si>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</si>
  <si>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</si>
  <si>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</si>
  <si>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</si>
  <si>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</si>
  <si>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</si>
  <si>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</si>
  <si>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</si>
  <si>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</si>
  <si>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</si>
  <si>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</si>
  <si>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</si>
  <si>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</si>
  <si>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</si>
  <si>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</si>
  <si>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</si>
  <si>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</si>
  <si>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</si>
  <si>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</si>
  <si>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</si>
  <si>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</si>
  <si>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</si>
  <si>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</si>
  <si>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</si>
  <si>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</si>
  <si>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</si>
  <si>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</si>
  <si>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</si>
  <si>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</si>
  <si>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</si>
  <si>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</si>
  <si>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</si>
  <si>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</si>
  <si>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</si>
  <si>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</si>
  <si>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</si>
  <si>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</si>
  <si>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</si>
  <si>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</si>
  <si>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</si>
  <si>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</si>
  <si>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</si>
  <si>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</si>
  <si>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</si>
  <si>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</si>
  <si>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</si>
  <si>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</si>
  <si>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</si>
  <si>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</si>
  <si>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</si>
  <si>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</si>
  <si>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</si>
  <si>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</si>
  <si>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</si>
  <si>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</si>
  <si>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</si>
  <si>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</si>
  <si>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</si>
  <si>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</si>
  <si>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</si>
  <si>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</si>
  <si>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</si>
  <si>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</si>
  <si>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</si>
  <si>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</si>
  <si>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</si>
  <si>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</si>
  <si>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</si>
  <si>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</si>
  <si>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</si>
  <si>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</si>
  <si>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</si>
  <si>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</si>
  <si>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</si>
  <si>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</si>
  <si>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</si>
  <si>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</si>
  <si>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</si>
  <si>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</si>
  <si>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</si>
  <si>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</si>
  <si>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</si>
  <si>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</si>
  <si>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</si>
  <si>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</si>
  <si>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</si>
  <si>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</si>
  <si>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</si>
  <si>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</si>
  <si>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</si>
  <si>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</si>
  <si>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</si>
  <si>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</si>
  <si>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</si>
  <si>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</si>
  <si>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</si>
  <si>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</si>
  <si>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</si>
  <si>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</si>
  <si>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</si>
  <si>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</si>
  <si>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</si>
  <si>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</si>
  <si>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</si>
  <si>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</si>
  <si>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</si>
  <si>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</si>
  <si>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</si>
  <si>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</si>
  <si>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</si>
  <si>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</si>
  <si>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</si>
  <si>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</si>
  <si>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</si>
  <si>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</si>
  <si>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</si>
  <si>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</si>
  <si>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</si>
  <si>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</si>
  <si>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</si>
  <si>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</si>
  <si>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</si>
  <si>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</si>
  <si>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</si>
  <si>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</si>
  <si>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</si>
  <si>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</si>
  <si>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</si>
  <si>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</si>
  <si>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</si>
  <si>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</si>
  <si>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</si>
  <si>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</si>
  <si>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</si>
  <si>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</si>
  <si>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</si>
  <si>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</si>
  <si>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</si>
  <si>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</si>
  <si>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</si>
  <si>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</si>
  <si>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</si>
  <si>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</si>
  <si>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</si>
  <si>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</si>
  <si>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</si>
  <si>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</si>
  <si>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</si>
  <si>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</si>
  <si>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</si>
  <si>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</si>
  <si>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</si>
  <si>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</si>
  <si>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</si>
  <si>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</si>
  <si>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</si>
  <si>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</si>
  <si>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</si>
  <si>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</si>
  <si>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</si>
  <si>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</si>
  <si>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</si>
  <si>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</si>
  <si>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</si>
  <si>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</si>
  <si>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</si>
  <si>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</si>
  <si>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</si>
  <si>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</si>
  <si>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</si>
  <si>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</si>
  <si>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</si>
  <si>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</si>
  <si>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</si>
  <si>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</si>
  <si>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</si>
  <si>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</si>
  <si>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</si>
  <si>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</si>
  <si>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</si>
  <si>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</si>
  <si>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</si>
  <si>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</si>
  <si>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</si>
  <si>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</si>
  <si>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</si>
  <si>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</si>
  <si>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</si>
  <si>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</si>
  <si>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</si>
  <si>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</si>
  <si>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</si>
  <si>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</si>
  <si>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</si>
  <si>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</si>
  <si>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</si>
  <si>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</si>
  <si>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</si>
  <si>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</si>
  <si>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</si>
  <si>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</si>
  <si>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</si>
  <si>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</si>
  <si>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</si>
  <si>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</si>
  <si>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</si>
  <si>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</si>
  <si>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</si>
  <si>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</si>
  <si>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</si>
  <si>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</si>
  <si>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</si>
  <si>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</si>
  <si>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</si>
  <si>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</si>
  <si>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</si>
  <si>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</si>
  <si>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</si>
  <si>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</si>
  <si>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</si>
  <si>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</si>
  <si>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</si>
  <si>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</si>
  <si>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</si>
  <si>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</si>
  <si>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</si>
  <si>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</si>
  <si>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</si>
  <si>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</si>
  <si>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</si>
  <si>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</si>
  <si>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</si>
  <si>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</si>
  <si>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</si>
  <si>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</si>
  <si>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</si>
  <si>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</si>
  <si>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</si>
  <si>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</si>
  <si>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</si>
  <si>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</si>
  <si>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</si>
  <si>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</si>
  <si>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</si>
  <si>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</si>
  <si>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</si>
  <si>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</si>
  <si>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</si>
  <si>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</si>
  <si>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</si>
  <si>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</si>
  <si>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</si>
  <si>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</si>
  <si>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</si>
  <si>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</si>
  <si>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</si>
  <si>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</si>
  <si>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</si>
  <si>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</si>
  <si>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</si>
  <si>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</si>
  <si>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</si>
  <si>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</si>
  <si>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</si>
  <si>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</si>
  <si>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</si>
  <si>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</si>
  <si>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</si>
  <si>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</si>
  <si>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</si>
  <si>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</si>
  <si>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</si>
  <si>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</si>
  <si>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</si>
  <si>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</si>
  <si>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</si>
  <si>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</si>
  <si>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</si>
  <si>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</si>
  <si>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</si>
  <si>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</si>
  <si>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</si>
  <si>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</si>
  <si>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</si>
  <si>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</si>
  <si>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</si>
  <si>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</si>
  <si>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</si>
  <si>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</si>
  <si>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</si>
  <si>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</si>
  <si>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</si>
  <si>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</si>
  <si>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</si>
  <si>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</si>
  <si>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</si>
  <si>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</si>
  <si>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</si>
  <si>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</si>
  <si>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</si>
  <si>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</si>
  <si>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</si>
  <si>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</si>
  <si>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</si>
  <si>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</si>
  <si>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</si>
  <si>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</si>
  <si>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</si>
  <si>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</si>
  <si>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</si>
  <si>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</si>
  <si>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</si>
  <si>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</si>
  <si>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</si>
  <si>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</si>
  <si>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</si>
  <si>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</si>
  <si>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</si>
  <si>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</si>
  <si>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</si>
  <si>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</si>
  <si>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</si>
  <si>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</si>
  <si>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</si>
  <si>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</si>
  <si>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</si>
  <si>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</si>
  <si>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</si>
  <si>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</si>
  <si>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</si>
  <si>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</si>
  <si>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</si>
  <si>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</si>
  <si>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</si>
  <si>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</si>
  <si>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</si>
  <si>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</si>
  <si>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</si>
  <si>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</si>
  <si>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</si>
  <si>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</si>
  <si>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</si>
  <si>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</si>
  <si>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</si>
  <si>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</si>
  <si>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</si>
  <si>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</si>
  <si>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</si>
  <si>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</si>
  <si>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</si>
  <si>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</si>
  <si>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</si>
  <si>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</si>
  <si>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</si>
  <si>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</si>
  <si>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</si>
  <si>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</si>
  <si>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</si>
  <si>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</si>
  <si>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</si>
  <si>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</si>
  <si>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</si>
  <si>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</si>
  <si>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</si>
  <si>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</si>
  <si>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</si>
  <si>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</si>
  <si>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</si>
  <si>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</si>
  <si>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</si>
  <si>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</si>
  <si>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</si>
  <si>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</si>
  <si>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</si>
  <si>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</si>
  <si>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</si>
  <si>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</si>
  <si>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</si>
  <si>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</si>
  <si>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</si>
  <si>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</si>
  <si>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</si>
  <si>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</si>
  <si>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</si>
  <si>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</si>
  <si>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</si>
  <si>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</si>
  <si>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</si>
  <si>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</si>
  <si>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</si>
  <si>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</si>
  <si>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</si>
  <si>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</si>
  <si>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</si>
  <si>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</si>
  <si>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</si>
  <si>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</si>
  <si>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</si>
  <si>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</si>
  <si>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</si>
  <si>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</si>
  <si>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</si>
  <si>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</si>
  <si>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</si>
  <si>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</si>
  <si>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</si>
  <si>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</si>
  <si>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</si>
  <si>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</si>
  <si>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</si>
  <si>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</si>
  <si>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</si>
  <si>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</si>
  <si>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</si>
  <si>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</si>
  <si>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</si>
  <si>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</si>
  <si>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</si>
  <si>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</si>
  <si>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</si>
  <si>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</si>
  <si>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</si>
  <si>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</si>
  <si>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</si>
  <si>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</si>
  <si>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</si>
  <si>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</si>
  <si>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</si>
  <si>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</si>
  <si>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</si>
  <si>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</si>
  <si>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</si>
  <si>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</si>
  <si>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</si>
  <si>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</si>
  <si>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</si>
  <si>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</si>
  <si>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</si>
  <si>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</si>
  <si>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</si>
  <si>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</si>
  <si>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</si>
  <si>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</si>
  <si>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</si>
  <si>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</si>
  <si>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</si>
  <si>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</si>
  <si>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</si>
  <si>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</si>
  <si>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</si>
  <si>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</si>
  <si>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</si>
  <si>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</si>
  <si>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</si>
  <si>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</si>
  <si>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</si>
  <si>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</si>
  <si>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</si>
  <si>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</si>
  <si>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</si>
  <si>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</si>
  <si>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</si>
  <si>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</si>
  <si>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</si>
  <si>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</si>
  <si>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</si>
  <si>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</si>
  <si>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</si>
  <si>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</si>
  <si>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</si>
  <si>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</si>
  <si>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</si>
  <si>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</si>
  <si>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</si>
  <si>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</si>
  <si>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</si>
  <si>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</si>
  <si>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</si>
  <si>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</si>
  <si>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</si>
  <si>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</si>
  <si>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</si>
  <si>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</si>
  <si>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</si>
  <si>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</si>
  <si>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</si>
  <si>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</si>
  <si>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</si>
  <si>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</si>
  <si>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</si>
  <si>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</si>
  <si>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</si>
  <si>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</si>
  <si>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</si>
  <si>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</si>
  <si>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</si>
  <si>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</si>
  <si>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</si>
  <si>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</si>
  <si>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</si>
  <si>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</si>
  <si>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</si>
  <si>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</si>
  <si>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</si>
  <si>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</si>
  <si>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</si>
  <si>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</si>
  <si>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</si>
  <si>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</si>
  <si>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</si>
  <si>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</si>
  <si>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</si>
  <si>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</si>
  <si>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</si>
  <si>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</si>
  <si>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</si>
  <si>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</si>
  <si>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</si>
  <si>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</si>
  <si>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</si>
  <si>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</si>
  <si>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</si>
  <si>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</si>
  <si>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</si>
  <si>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</si>
  <si>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</si>
  <si>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</si>
  <si>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</si>
  <si>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</si>
  <si>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</si>
  <si>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</si>
  <si>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</si>
  <si>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</si>
  <si>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</si>
  <si>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</si>
  <si>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</si>
  <si>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</si>
  <si>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</si>
  <si>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</si>
  <si>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</si>
  <si>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</si>
  <si>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</si>
  <si>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</si>
  <si>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</si>
  <si>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</si>
  <si>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</si>
  <si>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</si>
  <si>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</si>
  <si>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</si>
  <si>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</si>
  <si>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</si>
  <si>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</si>
  <si>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</si>
  <si>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</si>
  <si>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</si>
  <si>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</si>
  <si>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</si>
  <si>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</si>
  <si>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</si>
  <si>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</si>
  <si>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</si>
  <si>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</si>
  <si>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</si>
  <si>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</si>
  <si>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</si>
  <si>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</si>
  <si>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</si>
  <si>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</si>
  <si>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</si>
  <si>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</si>
  <si>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</si>
  <si>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</si>
  <si>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</si>
  <si>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</si>
  <si>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</si>
  <si>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</si>
  <si>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</si>
  <si>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</si>
  <si>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</si>
  <si>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</si>
  <si>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</si>
  <si>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</si>
  <si>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</si>
  <si>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</si>
  <si>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</si>
  <si>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</si>
  <si>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</si>
  <si>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</si>
  <si>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</si>
  <si>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</si>
  <si>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</si>
  <si>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</si>
  <si>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</si>
  <si>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</si>
  <si>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</si>
  <si>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</si>
  <si>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</si>
  <si>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</si>
  <si>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</si>
  <si>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</si>
  <si>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</si>
  <si>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</si>
  <si>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</si>
  <si>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</si>
  <si>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</si>
  <si>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</si>
  <si>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</si>
  <si>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</si>
  <si>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</si>
  <si>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</si>
  <si>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</si>
  <si>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</si>
  <si>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</si>
  <si>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</si>
  <si>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</si>
  <si>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</si>
  <si>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</si>
  <si>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</si>
  <si>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</si>
  <si>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</si>
  <si>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</si>
  <si>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</si>
  <si>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</si>
  <si>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</si>
  <si>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</si>
  <si>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</si>
  <si>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</si>
  <si>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</si>
  <si>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</si>
  <si>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</si>
  <si>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</si>
  <si>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</si>
  <si>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</si>
  <si>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</si>
  <si>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</si>
  <si>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</si>
  <si>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</si>
  <si>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</si>
  <si>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</si>
  <si>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</si>
  <si>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</si>
  <si>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</si>
  <si>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</si>
  <si>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</si>
  <si>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</si>
  <si>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</si>
  <si>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</si>
  <si>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</si>
  <si>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</si>
  <si>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</si>
  <si>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</si>
  <si>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</si>
  <si>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</si>
  <si>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</si>
  <si>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</si>
  <si>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</si>
  <si>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</si>
  <si>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</si>
  <si>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</si>
  <si>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</si>
  <si>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</si>
  <si>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</si>
  <si>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</si>
  <si>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</si>
  <si>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</si>
  <si>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</si>
  <si>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</si>
  <si>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</si>
  <si>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</si>
  <si>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</si>
  <si>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</si>
  <si>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</si>
  <si>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</si>
  <si>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</si>
  <si>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</si>
  <si>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</si>
  <si>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</si>
  <si>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</si>
  <si>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</si>
  <si>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</si>
  <si>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</si>
  <si>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</si>
  <si>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</si>
  <si>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</si>
  <si>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</si>
  <si>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</si>
  <si>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</si>
  <si>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</si>
  <si>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</si>
  <si>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</si>
  <si>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</si>
  <si>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</si>
  <si>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</si>
  <si>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</si>
  <si>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</si>
  <si>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</si>
  <si>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</si>
  <si>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</si>
  <si>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</si>
  <si>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</si>
  <si>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</si>
  <si>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</si>
  <si>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</si>
  <si>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</si>
  <si>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</si>
  <si>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</si>
  <si>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</si>
  <si>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</si>
  <si>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</si>
  <si>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</si>
  <si>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</si>
  <si>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</si>
  <si>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</si>
  <si>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</si>
  <si>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</si>
  <si>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</si>
  <si>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</si>
  <si>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</si>
  <si>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</si>
  <si>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</si>
  <si>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</si>
  <si>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</si>
  <si>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</si>
  <si>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</si>
  <si>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</si>
  <si>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</si>
  <si>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</si>
  <si>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</si>
  <si>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</si>
  <si>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</si>
  <si>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</si>
  <si>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</si>
  <si>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</si>
  <si>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</si>
  <si>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</si>
  <si>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</si>
  <si>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</si>
  <si>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</si>
  <si>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</si>
  <si>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</si>
  <si>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</si>
  <si>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</si>
  <si>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</si>
  <si>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</si>
  <si>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</si>
  <si>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</si>
  <si>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</si>
  <si>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</si>
  <si>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</si>
  <si>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</si>
  <si>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</si>
  <si>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</si>
  <si>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</si>
  <si>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</si>
  <si>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</si>
  <si>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</si>
  <si>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</si>
  <si>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</si>
  <si>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</si>
  <si>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</si>
  <si>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</si>
  <si>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</si>
  <si>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</si>
  <si>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</si>
  <si>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</si>
  <si>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</si>
  <si>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</si>
  <si>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</si>
  <si>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</si>
  <si>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</si>
  <si>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</si>
  <si>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</si>
  <si>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</si>
  <si>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</si>
  <si>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</si>
  <si>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</si>
  <si>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</si>
  <si>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</si>
  <si>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</si>
  <si>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</si>
  <si>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</si>
  <si>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</si>
  <si>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</si>
  <si>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</si>
  <si>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</si>
  <si>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</si>
  <si>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</si>
  <si>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</si>
  <si>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</si>
  <si>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</si>
  <si>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</si>
  <si>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</si>
  <si>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</si>
  <si>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</si>
  <si>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</si>
  <si>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</si>
  <si>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</si>
  <si>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</si>
  <si>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</si>
  <si>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</si>
  <si>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</si>
  <si>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</si>
  <si>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</si>
  <si>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</si>
  <si>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</si>
  <si>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</si>
  <si>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</si>
  <si>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</si>
  <si>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</si>
  <si>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</si>
  <si>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</si>
  <si>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</si>
  <si>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</si>
  <si>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</si>
  <si>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</si>
  <si>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</si>
  <si>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</si>
  <si>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</si>
  <si>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</si>
  <si>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</si>
  <si>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</si>
  <si>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</si>
  <si>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</si>
  <si>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</si>
  <si>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</si>
  <si>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</si>
  <si>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</si>
  <si>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</si>
  <si>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</si>
  <si>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</si>
  <si>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</si>
  <si>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</si>
  <si>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</si>
  <si>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</si>
  <si>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</si>
  <si>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</si>
  <si>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</si>
  <si>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</si>
  <si>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</si>
  <si>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</si>
  <si>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</si>
  <si>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</si>
  <si>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</si>
  <si>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</si>
  <si>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</si>
  <si>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</si>
  <si>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</si>
  <si>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</si>
  <si>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</si>
  <si>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</si>
  <si>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</si>
  <si>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</si>
  <si>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</si>
  <si>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</si>
  <si>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</si>
  <si>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</si>
  <si>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</si>
  <si>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</si>
  <si>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</si>
  <si>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</si>
  <si>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</si>
  <si>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</si>
  <si>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</si>
  <si>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</si>
  <si>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</si>
  <si>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</si>
  <si>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</si>
  <si>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</si>
  <si>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</si>
  <si>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</si>
  <si>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</si>
  <si>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</si>
  <si>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</si>
  <si>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</si>
  <si>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</si>
  <si>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</si>
  <si>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</si>
  <si>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</si>
  <si>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</si>
  <si>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</si>
  <si>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</si>
  <si>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</si>
  <si>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</si>
  <si>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</si>
  <si>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</si>
  <si>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</si>
  <si>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</si>
  <si>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</si>
  <si>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</si>
  <si>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</si>
  <si>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</si>
  <si>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</si>
  <si>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</si>
  <si>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</si>
  <si>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</si>
  <si>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</si>
  <si>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</si>
  <si>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</si>
  <si>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</si>
  <si>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</si>
  <si>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</si>
  <si>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</si>
  <si>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</si>
  <si>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</si>
  <si>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</si>
  <si>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</si>
  <si>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</si>
  <si>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</si>
  <si>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</si>
  <si>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</si>
  <si>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</si>
  <si>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</si>
  <si>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</si>
  <si>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</si>
  <si>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</si>
  <si>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</si>
  <si>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</si>
  <si>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</si>
  <si>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</si>
  <si>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</si>
  <si>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</si>
  <si>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</si>
  <si>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</si>
  <si>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</si>
  <si>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</si>
  <si>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</si>
  <si>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</si>
  <si>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</si>
  <si>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</si>
  <si>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</si>
  <si>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</si>
  <si>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</si>
  <si>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</si>
  <si>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</si>
  <si>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</si>
  <si>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</si>
  <si>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</si>
  <si>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</si>
  <si>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</si>
  <si>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</si>
  <si>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</si>
  <si>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</si>
  <si>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</si>
  <si>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</si>
  <si>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</si>
  <si>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</si>
  <si>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</si>
  <si>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</si>
  <si>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</si>
  <si>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</si>
  <si>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</si>
  <si>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</si>
  <si>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</si>
  <si>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</si>
  <si>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</si>
  <si>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</si>
  <si>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</si>
  <si>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</si>
  <si>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</si>
  <si>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</si>
  <si>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</si>
  <si>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</si>
  <si>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</si>
  <si>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</si>
  <si>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</si>
  <si>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</si>
  <si>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</si>
  <si>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</si>
  <si>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</si>
  <si>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</si>
  <si>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</si>
  <si>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</si>
  <si>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</si>
  <si>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</si>
  <si>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</si>
  <si>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</si>
  <si>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</si>
  <si>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</si>
  <si>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</si>
  <si>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</si>
  <si>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</si>
  <si>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</si>
  <si>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</si>
  <si>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</si>
  <si>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</si>
  <si>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</si>
  <si>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</si>
  <si>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</si>
  <si>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</si>
  <si>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</si>
  <si>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</si>
  <si>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</si>
  <si>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</si>
  <si>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</si>
  <si>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</si>
  <si>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</si>
  <si>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</si>
  <si>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</si>
  <si>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</si>
  <si>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</si>
  <si>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</si>
  <si>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</si>
  <si>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</si>
  <si>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</si>
  <si>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</si>
  <si>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</si>
  <si>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</si>
  <si>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</si>
  <si>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</si>
  <si>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</si>
  <si>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</si>
  <si>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</si>
  <si>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</si>
  <si>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</si>
  <si>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</si>
  <si>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</si>
  <si>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</si>
  <si>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</si>
  <si>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</si>
  <si>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</si>
  <si>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</si>
  <si>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</si>
  <si>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</si>
  <si>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</si>
  <si>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</si>
  <si>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</si>
  <si>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</si>
  <si>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</si>
  <si>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</si>
  <si>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</si>
  <si>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</si>
  <si>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</si>
  <si>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</si>
  <si>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</si>
  <si>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</si>
  <si>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</si>
  <si>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</si>
  <si>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</si>
  <si>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</si>
  <si>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</si>
  <si>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</si>
  <si>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</si>
  <si>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</si>
  <si>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</si>
  <si>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</si>
  <si>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</si>
  <si>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</si>
  <si>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</si>
  <si>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</si>
  <si>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</si>
  <si>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</si>
  <si>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</si>
  <si>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</si>
  <si>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</si>
  <si>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</si>
  <si>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</si>
  <si>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</si>
  <si>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</si>
  <si>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</si>
  <si>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</si>
  <si>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</si>
  <si>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</si>
  <si>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</si>
  <si>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</si>
  <si>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</si>
  <si>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</si>
  <si>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</si>
  <si>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</si>
  <si>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</si>
  <si>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</si>
  <si>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</si>
  <si>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</si>
  <si>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</si>
  <si>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</si>
  <si>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</si>
  <si>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</si>
  <si>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</si>
  <si>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</si>
  <si>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</si>
  <si>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</si>
  <si>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</si>
  <si>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</si>
  <si>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</si>
  <si>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</si>
  <si>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</si>
  <si>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</si>
  <si>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</si>
  <si>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</si>
  <si>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</si>
  <si>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</si>
  <si>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</si>
  <si>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</si>
  <si>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</si>
  <si>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</si>
  <si>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</si>
  <si>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</si>
  <si>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</si>
  <si>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</si>
  <si>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</si>
  <si>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</si>
  <si>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</si>
  <si>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</si>
  <si>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</si>
  <si>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</si>
  <si>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</si>
  <si>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</si>
  <si>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</si>
  <si>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</si>
  <si>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</si>
  <si>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</si>
  <si>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</si>
  <si>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</si>
  <si>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</si>
  <si>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</si>
  <si>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</si>
  <si>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</si>
  <si>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</si>
  <si>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</si>
  <si>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</si>
  <si>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</si>
  <si>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</si>
  <si>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</si>
  <si>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</si>
  <si>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</si>
  <si>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</si>
  <si>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</si>
  <si>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</si>
  <si>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</si>
  <si>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</si>
  <si>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</si>
  <si>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</si>
  <si>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</si>
  <si>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</si>
  <si>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</si>
  <si>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</si>
  <si>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</si>
  <si>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</si>
  <si>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</si>
  <si>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</si>
  <si>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</si>
  <si>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</si>
  <si>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</si>
  <si>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</si>
  <si>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</si>
  <si>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</si>
  <si>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</si>
  <si>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</si>
  <si>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</si>
  <si>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</si>
  <si>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</si>
  <si>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</si>
  <si>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</si>
  <si>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</si>
  <si>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</si>
  <si>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</si>
  <si>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</si>
  <si>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</si>
  <si>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</si>
  <si>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</si>
  <si>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</si>
  <si>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</si>
  <si>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</si>
  <si>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</si>
  <si>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</si>
  <si>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</si>
  <si>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</si>
  <si>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</si>
  <si>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</si>
  <si>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</si>
  <si>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</si>
  <si>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</si>
  <si>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</si>
  <si>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</si>
  <si>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</si>
  <si>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</si>
  <si>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</si>
  <si>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</si>
  <si>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</si>
  <si>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</si>
  <si>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</si>
  <si>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</si>
  <si>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</si>
  <si>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</si>
  <si>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</si>
  <si>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</si>
  <si>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</si>
  <si>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</si>
  <si>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</si>
  <si>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</si>
  <si>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</si>
  <si>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</si>
  <si>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</si>
  <si>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</si>
  <si>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</si>
  <si>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</si>
  <si>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</si>
  <si>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</si>
  <si>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</si>
  <si>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</si>
  <si>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</si>
  <si>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</si>
  <si>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</si>
  <si>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</si>
  <si>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</si>
  <si>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</si>
  <si>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</si>
  <si>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</si>
  <si>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</si>
  <si>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</si>
  <si>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</si>
  <si>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</si>
  <si>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</si>
  <si>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</si>
  <si>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</si>
  <si>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</si>
  <si>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</si>
  <si>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</si>
  <si>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</si>
  <si>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</si>
  <si>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</si>
  <si>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</si>
  <si>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</si>
  <si>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</si>
  <si>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</si>
  <si>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</si>
  <si>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</si>
  <si>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</si>
  <si>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</si>
  <si>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</si>
  <si>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</si>
  <si>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</si>
  <si>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</si>
  <si>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</si>
  <si>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</si>
  <si>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</si>
  <si>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</si>
  <si>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</si>
  <si>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</si>
  <si>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</si>
  <si>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</si>
  <si>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</si>
  <si>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</si>
  <si>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</si>
  <si>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</si>
  <si>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</si>
  <si>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</si>
  <si>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</si>
  <si>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</si>
  <si>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</si>
  <si>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</si>
  <si>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</si>
  <si>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</si>
  <si>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</si>
  <si>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</si>
  <si>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</si>
  <si>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</si>
  <si>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</si>
  <si>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</si>
  <si>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</si>
  <si>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</si>
  <si>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</si>
  <si>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</si>
  <si>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</si>
  <si>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</si>
  <si>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</si>
  <si>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</si>
  <si>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</si>
  <si>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</si>
  <si>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</si>
  <si>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</si>
  <si>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</si>
  <si>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</si>
  <si>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</si>
  <si>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</si>
  <si>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</si>
  <si>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</si>
  <si>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</si>
  <si>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</si>
  <si>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</si>
  <si>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</si>
  <si>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</si>
  <si>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</si>
  <si>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</si>
  <si>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</si>
  <si>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</si>
  <si>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</si>
  <si>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</si>
  <si>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</si>
  <si>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</si>
  <si>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</si>
  <si>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</si>
  <si>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</si>
  <si>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</si>
  <si>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</si>
  <si>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</si>
  <si>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</si>
  <si>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</si>
  <si>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</si>
  <si>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</si>
  <si>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</si>
  <si>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</si>
  <si>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</si>
  <si>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</si>
  <si>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</si>
  <si>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</si>
  <si>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</si>
  <si>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</si>
  <si>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</si>
  <si>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</si>
  <si>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</si>
  <si>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</si>
  <si>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</si>
  <si>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</si>
  <si>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</si>
  <si>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</si>
  <si>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</si>
  <si>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</si>
  <si>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</si>
  <si>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</si>
  <si>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</si>
  <si>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</si>
  <si>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</si>
  <si>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</si>
  <si>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</si>
  <si>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</si>
  <si>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</si>
  <si>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</si>
  <si>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</si>
  <si>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</si>
  <si>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</si>
  <si>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</si>
  <si>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</si>
  <si>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</si>
  <si>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</si>
  <si>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</si>
  <si>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</si>
  <si>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</si>
  <si>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</si>
  <si>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</si>
  <si>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</si>
  <si>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</si>
  <si>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</si>
  <si>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</si>
  <si>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</si>
  <si>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</si>
  <si>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</si>
  <si>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北京国锐房地产开发有限公司</t>
    <phoneticPr fontId="6" type="noConversion"/>
  </si>
  <si>
    <t>中粮信托</t>
    <phoneticPr fontId="6" type="noConversion"/>
  </si>
  <si>
    <t>抵押</t>
  </si>
  <si>
    <t>房地产抵押价值</t>
  </si>
  <si>
    <t>北京市</t>
  </si>
  <si>
    <t>企业</t>
  </si>
  <si>
    <t>出让</t>
  </si>
  <si>
    <t>商业</t>
    <phoneticPr fontId="6" type="noConversion"/>
  </si>
  <si>
    <t>否</t>
  </si>
  <si>
    <t>商业项目</t>
  </si>
  <si>
    <t>无</t>
  </si>
  <si>
    <t>现房</t>
  </si>
  <si>
    <t>通路</t>
  </si>
  <si>
    <t>通电</t>
  </si>
  <si>
    <t>通讯</t>
  </si>
  <si>
    <t>通上水</t>
  </si>
  <si>
    <t>通下水</t>
  </si>
  <si>
    <t>通热</t>
  </si>
  <si>
    <t>燃气</t>
  </si>
  <si>
    <t>Ⅵ-亦1</t>
  </si>
  <si>
    <t>会所</t>
    <phoneticPr fontId="3" type="noConversion"/>
  </si>
  <si>
    <t>是</t>
  </si>
  <si>
    <t>地上</t>
  </si>
  <si>
    <t>商业</t>
    <phoneticPr fontId="7" type="noConversion"/>
  </si>
  <si>
    <t>地下</t>
  </si>
  <si>
    <t>成新度</t>
  </si>
  <si>
    <t>收益法</t>
  </si>
  <si>
    <t>商务金融用地（商业类）</t>
  </si>
  <si>
    <t>宗地容积率</t>
  </si>
  <si>
    <t>不临58条商业街</t>
  </si>
  <si>
    <t>七通一平</t>
  </si>
  <si>
    <t>一致</t>
  </si>
  <si>
    <t>按公示增长率计算</t>
  </si>
  <si>
    <t>容积率修正</t>
  </si>
  <si>
    <t>好</t>
  </si>
  <si>
    <t>较好</t>
  </si>
  <si>
    <t>全部缴纳</t>
  </si>
  <si>
    <t>未包含在土地购买价格中</t>
  </si>
  <si>
    <t>已包含在土地取得成本中</t>
  </si>
  <si>
    <t>项目局部</t>
  </si>
  <si>
    <t>售价</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</si>
  <si>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</si>
  <si>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</si>
  <si>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</si>
  <si>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</si>
  <si>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</si>
  <si>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</si>
  <si>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</si>
  <si>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</si>
  <si>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</si>
  <si>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</si>
  <si>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</si>
  <si>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</si>
  <si>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</si>
  <si>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</si>
  <si>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</si>
  <si>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</si>
  <si>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</si>
  <si>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</si>
  <si>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</si>
  <si>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</si>
  <si>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</si>
  <si>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</si>
  <si>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</si>
  <si>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</si>
  <si>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</si>
  <si>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</si>
  <si>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</si>
  <si>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</si>
  <si>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</si>
  <si>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</si>
  <si>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超低</t>
    <phoneticPr fontId="3" type="noConversion"/>
  </si>
  <si>
    <t>较适宜</t>
    <phoneticPr fontId="3" type="noConversion"/>
  </si>
  <si>
    <t>正常</t>
  </si>
  <si>
    <t>1层</t>
  </si>
  <si>
    <t>负1层</t>
  </si>
  <si>
    <t>2层</t>
  </si>
  <si>
    <t>负2层</t>
  </si>
  <si>
    <t>1层</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</si>
  <si>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</si>
  <si>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5" type="noConversion"/>
  </si>
  <si>
    <t>典型户型修正</t>
  </si>
  <si>
    <t>典型户型修正</t>
    <phoneticPr fontId="16" type="noConversion"/>
  </si>
  <si>
    <t>亦庄创意生活广场</t>
    <phoneticPr fontId="3" type="noConversion"/>
  </si>
  <si>
    <t>上海沙龙新天地</t>
    <phoneticPr fontId="3" type="noConversion"/>
  </si>
  <si>
    <t>大兴区亦庄文化园东路6号</t>
    <phoneticPr fontId="3" type="noConversion"/>
  </si>
  <si>
    <t>大兴区天宝南街4号</t>
    <phoneticPr fontId="3" type="noConversion"/>
  </si>
  <si>
    <t>亦庄经济技术开发区荣华中路与天华北街交汇处</t>
    <phoneticPr fontId="3" type="noConversion"/>
  </si>
  <si>
    <t>富兴国际中心</t>
    <phoneticPr fontId="3" type="noConversion"/>
  </si>
  <si>
    <t>双面临街</t>
  </si>
  <si>
    <t>单面临街</t>
  </si>
  <si>
    <t>商业街商铺</t>
  </si>
  <si>
    <t>住宅底商</t>
  </si>
  <si>
    <t>独栋商业</t>
  </si>
  <si>
    <t>不可餐饮</t>
  </si>
  <si>
    <t>可餐饮</t>
  </si>
  <si>
    <t>标准</t>
  </si>
  <si>
    <t>超高</t>
  </si>
  <si>
    <t>一般</t>
  </si>
  <si>
    <t>1层租金</t>
    <phoneticPr fontId="143" type="noConversion"/>
  </si>
  <si>
    <t>地下1层租金</t>
    <phoneticPr fontId="143" type="noConversion"/>
  </si>
  <si>
    <t>地下2层租金</t>
    <phoneticPr fontId="143" type="noConversion"/>
  </si>
  <si>
    <t>平均值</t>
    <phoneticPr fontId="143" type="noConversion"/>
  </si>
  <si>
    <t>押一</t>
  </si>
  <si>
    <t>钢混</t>
  </si>
  <si>
    <t>非生产用房</t>
  </si>
  <si>
    <t>较大</t>
  </si>
  <si>
    <t>精装</t>
  </si>
  <si>
    <t>普装</t>
  </si>
  <si>
    <t>临内部道路</t>
  </si>
  <si>
    <t>临内部道路</t>
    <phoneticPr fontId="3" type="noConversion"/>
  </si>
  <si>
    <t>七通</t>
  </si>
  <si>
    <t>30-40（含）</t>
  </si>
  <si>
    <t>商业</t>
    <phoneticPr fontId="31"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</si>
  <si>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</si>
  <si>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</si>
  <si>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</si>
  <si>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t>租金</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</si>
  <si>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</si>
  <si>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</si>
  <si>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</si>
  <si>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</si>
  <si>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</si>
  <si>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</si>
  <si>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</si>
  <si>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</si>
  <si>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</si>
  <si>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</si>
  <si>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</si>
  <si>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</si>
  <si>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</si>
  <si>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</si>
  <si>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</si>
  <si>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theme="9" tint="-0.249977111117893"/>
        <rFont val="宋体"/>
        <family val="3"/>
        <charset val="134"/>
      </rPr>
      <t>估价对象名称</t>
    </r>
    <phoneticPr fontId="3" type="noConversion"/>
  </si>
  <si>
    <t>富兴国际中心</t>
    <phoneticPr fontId="3" type="noConversion"/>
  </si>
  <si>
    <t>力宝广场</t>
    <phoneticPr fontId="3" type="noConversion"/>
  </si>
  <si>
    <t>林肯公园</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</si>
  <si>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</si>
  <si>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</si>
  <si>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</si>
  <si>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</si>
  <si>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</si>
  <si>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</si>
  <si>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sz val="11"/>
        <color indexed="8"/>
        <rFont val="宋体"/>
        <family val="3"/>
        <charset val="134"/>
      </rPr>
      <t>正常</t>
    </r>
    <phoneticPr fontId="3" type="noConversion"/>
  </si>
  <si>
    <t>100/</t>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</si>
  <si>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</si>
  <si>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</si>
  <si>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</si>
  <si>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</si>
  <si>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</si>
  <si>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</si>
  <si>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</si>
  <si>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100/</t>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</si>
  <si>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</si>
  <si>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3" type="noConversion"/>
  </si>
  <si>
    <t>100/</t>
    <phoneticPr fontId="3" type="noConversion"/>
  </si>
  <si>
    <t>100/</t>
    <phoneticPr fontId="3" type="noConversion"/>
  </si>
  <si>
    <r>
      <rPr>
        <sz val="11"/>
        <color indexed="8"/>
        <rFont val="宋体"/>
        <family val="3"/>
        <charset val="134"/>
      </rPr>
      <t>人流量</t>
    </r>
    <phoneticPr fontId="3" type="noConversion"/>
  </si>
  <si>
    <t>100/</t>
    <phoneticPr fontId="3" type="noConversion"/>
  </si>
  <si>
    <r>
      <rPr>
        <sz val="11"/>
        <color indexed="8"/>
        <rFont val="宋体"/>
        <family val="3"/>
        <charset val="134"/>
      </rPr>
      <t>楼层</t>
    </r>
    <phoneticPr fontId="3" type="noConversion"/>
  </si>
  <si>
    <t>100/</t>
    <phoneticPr fontId="3" type="noConversion"/>
  </si>
  <si>
    <t>写字楼底商</t>
  </si>
  <si>
    <r>
      <rPr>
        <sz val="11"/>
        <rFont val="宋体"/>
        <family val="3"/>
        <charset val="134"/>
      </rPr>
      <t>实物状况</t>
    </r>
    <phoneticPr fontId="3" type="noConversion"/>
  </si>
  <si>
    <t>100/</t>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</si>
  <si>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</si>
  <si>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</si>
  <si>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业态</t>
    </r>
    <phoneticPr fontId="3" type="noConversion"/>
  </si>
  <si>
    <r>
      <rPr>
        <sz val="11"/>
        <rFont val="宋体"/>
        <family val="3"/>
        <charset val="134"/>
      </rPr>
      <t>实物状况</t>
    </r>
    <phoneticPr fontId="3" type="noConversion"/>
  </si>
  <si>
    <t>100/</t>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</si>
  <si>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</si>
  <si>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</si>
  <si>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</si>
  <si>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t>100/</t>
    <phoneticPr fontId="3" type="noConversion"/>
  </si>
  <si>
    <r>
      <rPr>
        <sz val="11"/>
        <color indexed="8"/>
        <rFont val="宋体"/>
        <family val="3"/>
        <charset val="134"/>
      </rPr>
      <t>内部装修</t>
    </r>
    <phoneticPr fontId="3" type="noConversion"/>
  </si>
  <si>
    <t>毛坯</t>
  </si>
  <si>
    <t>100/</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</si>
  <si>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</si>
  <si>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</si>
  <si>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</si>
  <si>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</si>
  <si>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</si>
  <si>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</si>
  <si>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</si>
  <si>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</si>
  <si>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</si>
  <si>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</si>
  <si>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</si>
  <si>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</si>
  <si>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</si>
  <si>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</si>
  <si>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</si>
  <si>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</si>
  <si>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</si>
  <si>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</si>
  <si>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</si>
  <si>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</si>
  <si>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</si>
  <si>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</si>
  <si>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</si>
  <si>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</si>
  <si>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</si>
  <si>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</si>
  <si>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</si>
  <si>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</si>
  <si>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</si>
  <si>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</si>
  <si>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</si>
  <si>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</si>
  <si>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</si>
  <si>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</si>
  <si>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</si>
  <si>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</si>
  <si>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</si>
  <si>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</si>
  <si>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</si>
  <si>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</si>
  <si>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</si>
  <si>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</si>
  <si>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</si>
  <si>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</si>
  <si>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</si>
  <si>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</si>
  <si>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</si>
  <si>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</si>
  <si>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</si>
  <si>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</si>
  <si>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</si>
  <si>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</si>
  <si>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</si>
  <si>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</si>
  <si>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</si>
  <si>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</si>
  <si>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</si>
  <si>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临内部道路</t>
    <phoneticPr fontId="3" type="noConversion"/>
  </si>
  <si>
    <t>租金表</t>
    <phoneticPr fontId="143" type="noConversion"/>
  </si>
  <si>
    <t>楼层系数</t>
    <phoneticPr fontId="14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</si>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</sst>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9" fontId="50" fillId="17" borderId="1" xfId="0" applyNumberFormat="1" applyFont="1" applyFill="1" applyBorder="1" applyAlignment="1" applyProtection="1">
      <alignment horizontal="center" vertical="center" wrapText="1"/>
      <protection locked="0"/>
    </xf>
    <xf numFmtId="0" fontId="54" fillId="17" borderId="37" xfId="0" applyNumberFormat="1"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49"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4" fillId="6" borderId="14" xfId="10" applyFont="1" applyFill="1" applyBorder="1" applyAlignment="1" applyProtection="1">
      <alignment horizontal="center" vertical="center" textRotation="255" wrapText="1"/>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0" fontId="54" fillId="6" borderId="41"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1" xfId="10" applyFont="1" applyFill="1" applyBorder="1" applyAlignment="1" applyProtection="1">
      <alignment horizontal="center" vertical="center" wrapText="1"/>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5" borderId="1"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141829</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71429" cy="4771429"/>
        </a:xfrm>
        <a:prstGeom prst="rect">
          <a:avLst/>
        </a:prstGeom>
      </xdr:spPr>
    </xdr:pic>
    <xdr:clientData/>
  </xdr:twoCellAnchor>
  <xdr:twoCellAnchor editAs="oneCell">
    <xdr:from>
      <xdr:col>0</xdr:col>
      <xdr:colOff>0</xdr:colOff>
      <xdr:row>28</xdr:row>
      <xdr:rowOff>0</xdr:rowOff>
    </xdr:from>
    <xdr:to>
      <xdr:col>12</xdr:col>
      <xdr:colOff>8496</xdr:colOff>
      <xdr:row>55</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238096" cy="4742857"/>
        </a:xfrm>
        <a:prstGeom prst="rect">
          <a:avLst/>
        </a:prstGeom>
      </xdr:spPr>
    </xdr:pic>
    <xdr:clientData/>
  </xdr:twoCellAnchor>
  <xdr:twoCellAnchor editAs="oneCell">
    <xdr:from>
      <xdr:col>0</xdr:col>
      <xdr:colOff>0</xdr:colOff>
      <xdr:row>56</xdr:row>
      <xdr:rowOff>0</xdr:rowOff>
    </xdr:from>
    <xdr:to>
      <xdr:col>12</xdr:col>
      <xdr:colOff>94210</xdr:colOff>
      <xdr:row>83</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323810" cy="4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8&#24180;\&#29616;&#25151;\2018-1-0101&#22269;&#38160;&#37329;&#23935;\F&#21495;\&#26368;&#32456;\&#12304;&#27979;&#31639;&#12305;2018-1-0101-F01&#21271;&#20140;&#32463;&#27982;&#25216;&#26415;&#24320;&#21457;&#21306;&#33635;&#21326;&#21335;&#36335;1&#21495;&#38498;6&#21495;&#27004;1&#21333;&#20803;402&#31561;&#20849;&#35745;15&#22871;&#20303;&#23429;&#29992;&#25151;&#25151;&#22320;&#20135;&#21450;7-10&#21495;&#27004;&#20849;&#35745;15&#22871;&#37197;&#22871;&#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住宅"/>
      <sheetName val="比较法-住宅"/>
      <sheetName val="成本法 (元)"/>
      <sheetName val="假设开发法"/>
      <sheetName val="比较法-住宅 (2)"/>
      <sheetName val="成本法"/>
      <sheetName val="基准地价修正住宅"/>
      <sheetName val="地价"/>
      <sheetName val="结果表商业"/>
      <sheetName val="比较法-商业"/>
      <sheetName val="收益法 (未出租)"/>
      <sheetName val="比较法-商业 (租金)"/>
      <sheetName val="典型户型修正"/>
      <sheetName val="收益法已出租"/>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废）"/>
      <sheetName val="区片价"/>
      <sheetName val="因素修正幅度"/>
      <sheetName val="存贷款利率"/>
      <sheetName val="区片价（范围）"/>
      <sheetName val="成本法商业"/>
      <sheetName val="基准地价修正商业"/>
      <sheetName val="楼层修正"/>
      <sheetName val="Sheet1"/>
      <sheetName val="已出租明细表"/>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收益法已出租</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基准地价修正住宅</v>
          </cell>
        </row>
        <row r="17">
          <cell r="A17" t="str">
            <v>特殊厂房</v>
          </cell>
          <cell r="B17" t="str">
            <v>比较法-住宅 (2)</v>
          </cell>
        </row>
        <row r="18">
          <cell r="A18" t="str">
            <v>办公楼</v>
          </cell>
          <cell r="B18" t="str">
            <v>基准地价修正商业</v>
          </cell>
        </row>
        <row r="19">
          <cell r="A19" t="str">
            <v>宿舍</v>
          </cell>
          <cell r="B19" t="str">
            <v>结果表住宅</v>
          </cell>
        </row>
        <row r="20">
          <cell r="A20" t="str">
            <v>食堂</v>
          </cell>
          <cell r="B20" t="str">
            <v>结果表商业</v>
          </cell>
        </row>
        <row r="21">
          <cell r="A21" t="str">
            <v>车库</v>
          </cell>
          <cell r="B21" t="str">
            <v>成本法商业</v>
          </cell>
        </row>
        <row r="22">
          <cell r="A22" t="str">
            <v>戊类库房</v>
          </cell>
          <cell r="B22" t="str">
            <v>收益法 (未出租)</v>
          </cell>
        </row>
        <row r="23">
          <cell r="A23" t="str">
            <v>燃品库房</v>
          </cell>
          <cell r="B23" t="str">
            <v>典型户型修正</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5687.79</v>
          </cell>
        </row>
        <row r="17">
          <cell r="C17" t="str">
            <v>项目类型</v>
          </cell>
        </row>
        <row r="19">
          <cell r="C19" t="str">
            <v>住宅</v>
          </cell>
          <cell r="E19">
            <v>5031.53</v>
          </cell>
        </row>
        <row r="20">
          <cell r="C20" t="str">
            <v>商业</v>
          </cell>
          <cell r="E20">
            <v>656.26</v>
          </cell>
        </row>
        <row r="21">
          <cell r="E21">
            <v>0</v>
          </cell>
        </row>
        <row r="22">
          <cell r="E22">
            <v>0</v>
          </cell>
        </row>
        <row r="23">
          <cell r="E23">
            <v>0</v>
          </cell>
        </row>
        <row r="24">
          <cell r="E24">
            <v>0</v>
          </cell>
        </row>
        <row r="25">
          <cell r="E25">
            <v>0</v>
          </cell>
        </row>
        <row r="26">
          <cell r="E26">
            <v>0</v>
          </cell>
        </row>
        <row r="27">
          <cell r="C27" t="str">
            <v>小计</v>
          </cell>
          <cell r="E27">
            <v>5687.79</v>
          </cell>
        </row>
        <row r="28">
          <cell r="C28" t="str">
            <v>设备及其他</v>
          </cell>
          <cell r="E28">
            <v>0</v>
          </cell>
        </row>
        <row r="29">
          <cell r="C29" t="str">
            <v>公共配套及物业（住宅）</v>
          </cell>
          <cell r="E29">
            <v>0</v>
          </cell>
        </row>
        <row r="30">
          <cell r="C30" t="str">
            <v>小计</v>
          </cell>
          <cell r="E30">
            <v>0</v>
          </cell>
        </row>
        <row r="31">
          <cell r="C31" t="str">
            <v>合计</v>
          </cell>
          <cell r="E31">
            <v>5687.79</v>
          </cell>
        </row>
        <row r="32">
          <cell r="E32">
            <v>5031.53</v>
          </cell>
        </row>
      </sheetData>
      <sheetData sheetId="14">
        <row r="2">
          <cell r="B2">
            <v>43155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普通住宅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row>
        <row r="114">
          <cell r="B114" t="str">
            <v>物业管理</v>
          </cell>
          <cell r="C114" t="str">
            <v>专业</v>
          </cell>
          <cell r="D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ow r="5">
          <cell r="B5" t="str">
            <v>业态</v>
          </cell>
          <cell r="C5" t="str">
            <v>可餐饮</v>
          </cell>
          <cell r="D5" t="str">
            <v>不可餐饮</v>
          </cell>
          <cell r="T5">
            <v>5</v>
          </cell>
        </row>
        <row r="7">
          <cell r="B7" t="str">
            <v>层高</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负1至2层</v>
          </cell>
        </row>
      </sheetData>
      <sheetData sheetId="30" refreshError="1"/>
      <sheetData sheetId="31" refreshError="1"/>
      <sheetData sheetId="32" refreshError="1"/>
      <sheetData sheetId="33" refreshError="1"/>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北京市房地产抵押价值预评估</v>
      </c>
    </row>
    <row r="3" spans="1:2" s="1593" customFormat="1">
      <c r="A3" s="1591" t="s">
        <v>1221</v>
      </c>
      <c r="B3" s="1592" t="str">
        <f>'预评函-封皮'!B40</f>
        <v>北京国锐房地产开发有限公司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受贵公司委托，我公司对北京市房地产抵押价值进行了预评估。</v>
      </c>
    </row>
    <row r="7" spans="1:2" s="1593" customFormat="1">
      <c r="A7" s="1591" t="s">
        <v>1264</v>
      </c>
      <c r="B7" s="1592" t="str">
        <f>'预评函-1'!A7</f>
        <v>估价对象为北京市房地产，为所有。根据《国有土地使用证》[]，估价对象（分摊）出让国有建设用地使用权面积为12718.02平方米，建筑面积为28056.88平方米。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估价对象为北京市房地产,属开发建设的商业项目，该项目尚在开发建设中。根据《国有土地使用证》[]，估价对象（分摊）出让国有建设用地使用权面积为12718.02平方米，规划建筑面积为28056.88平方米。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为估价委托人在向中粮信托办理贷款手续过程中，确定房地产抵押贷款额度提供参考依据而评估房地产抵押价值。</v>
      </c>
    </row>
    <row r="12" spans="1:2" s="1593" customFormat="1">
      <c r="A12" s="1591" t="s">
        <v>1226</v>
      </c>
      <c r="B12" s="1592" t="str">
        <f>'预评函-1'!A15</f>
        <v>2018年4月18日（评估专业人员实地查勘之日）</v>
      </c>
    </row>
    <row r="13" spans="1:2" s="1593" customFormat="1">
      <c r="A13" s="1591" t="s">
        <v>1227</v>
      </c>
      <c r="B13" s="1592" t="str">
        <f>'预评函-1'!A18</f>
        <v>本次估价的“房地产价值”是指在正常市场情况下，在价值时点2018年4月18日，估价对象规划用途为商业，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本次评估采用的主估价方法为基准地价系数修正法和收益法。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71259</v>
      </c>
    </row>
    <row r="21" spans="1:2" s="1593" customFormat="1">
      <c r="A21" s="1591" t="s">
        <v>1235</v>
      </c>
      <c r="B21" s="1592">
        <f ca="1">'预评函-2'!D7</f>
        <v>25398</v>
      </c>
    </row>
    <row r="22" spans="1:2" s="1593" customFormat="1">
      <c r="A22" s="1591" t="s">
        <v>1236</v>
      </c>
      <c r="B22" s="1592" t="str">
        <f ca="1">'预评函-2'!D6</f>
        <v>柒亿壹仟贰佰伍拾玖万元整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71259</v>
      </c>
    </row>
    <row r="31" spans="1:2" s="1593" customFormat="1">
      <c r="A31" s="1591" t="s">
        <v>1274</v>
      </c>
      <c r="B31" s="1592">
        <f ca="1">'预评函-2'!D15</f>
        <v>25398</v>
      </c>
    </row>
    <row r="32" spans="1:2" s="1593" customFormat="1">
      <c r="A32" s="1591" t="s">
        <v>1241</v>
      </c>
      <c r="B32" s="1592" t="str">
        <f ca="1">'预评函-2'!D14</f>
        <v>柒亿壹仟贰佰伍拾玖万元整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28056.880000000005</v>
      </c>
    </row>
    <row r="44" spans="1:2" s="1593" customFormat="1">
      <c r="A44" s="1591" t="s">
        <v>1273</v>
      </c>
      <c r="B44" s="1592" t="str">
        <f>'预评函-3'!C2</f>
        <v>(分摊)土地面积</v>
      </c>
    </row>
    <row r="45" spans="1:2" s="1593" customFormat="1">
      <c r="A45" s="1591" t="s">
        <v>1245</v>
      </c>
      <c r="B45" s="1592">
        <f>'预评函-3'!C4</f>
        <v>12718.02</v>
      </c>
    </row>
    <row r="46" spans="1:2" s="1593" customFormat="1">
      <c r="A46" s="1591" t="s">
        <v>1271</v>
      </c>
      <c r="B46" s="1592" t="str">
        <f>'预评函-3'!D2</f>
        <v>出让国有建设用地使用权价值</v>
      </c>
    </row>
    <row r="47" spans="1:2" s="1593" customFormat="1">
      <c r="A47" s="1591" t="s">
        <v>1246</v>
      </c>
      <c r="B47" s="1592">
        <f ca="1">'预评函-3'!D4</f>
        <v>38979</v>
      </c>
    </row>
    <row r="48" spans="1:2" s="1593" customFormat="1">
      <c r="A48" s="1591" t="s">
        <v>1247</v>
      </c>
      <c r="B48" s="1592">
        <f ca="1">'预评函-3'!E4</f>
        <v>13893</v>
      </c>
    </row>
    <row r="49" spans="1:2" s="1593" customFormat="1">
      <c r="A49" s="1591" t="s">
        <v>1248</v>
      </c>
      <c r="B49" s="1592" t="str">
        <f ca="1">'预评函-3'!D5</f>
        <v>叁亿捌仟玖佰柒拾玖万元整</v>
      </c>
    </row>
    <row r="50" spans="1:2" s="1593" customFormat="1">
      <c r="A50" s="1591" t="s">
        <v>1272</v>
      </c>
      <c r="B50" s="1592" t="str">
        <f>'预评函-3'!F2</f>
        <v>在建建筑物价值</v>
      </c>
    </row>
    <row r="51" spans="1:2" s="1593" customFormat="1">
      <c r="A51" s="1591" t="s">
        <v>1249</v>
      </c>
      <c r="B51" s="1592">
        <f ca="1">'预评函-3'!F4</f>
        <v>32280</v>
      </c>
    </row>
    <row r="52" spans="1:2" s="1593" customFormat="1">
      <c r="A52" s="1591" t="s">
        <v>1250</v>
      </c>
      <c r="B52" s="1592">
        <f ca="1">'预评函-3'!G4</f>
        <v>11505</v>
      </c>
    </row>
    <row r="53" spans="1:2" s="1593" customFormat="1">
      <c r="A53" s="1591" t="s">
        <v>1278</v>
      </c>
      <c r="B53" s="1592" t="str">
        <f ca="1">'预评函-3'!F5</f>
        <v>叁亿贰仟贰佰捌拾万元整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3131</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房地产作为抵押担保物，向中粮信托办理贷款手续。中粮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299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8"/>
      <c r="B54" s="2022" t="s">
        <v>864</v>
      </c>
      <c r="C54" s="2019" t="s">
        <v>1281</v>
      </c>
    </row>
    <row r="55" spans="1:4">
      <c r="A55" s="2998"/>
      <c r="B55" s="2022" t="s">
        <v>865</v>
      </c>
      <c r="C55" s="2019" t="s">
        <v>1282</v>
      </c>
    </row>
    <row r="56" spans="1:4">
      <c r="A56" s="2998"/>
      <c r="B56" s="2022" t="s">
        <v>866</v>
      </c>
      <c r="C56" s="2019" t="s">
        <v>1286</v>
      </c>
    </row>
    <row r="57" spans="1:4">
      <c r="A57" s="299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1776</v>
      </c>
      <c r="B1" s="2999" t="str">
        <f>IF(B10="北京市","北京市",C10)&amp;F10&amp;IF(结果表!G1="在建","出让国有建设用地使用权及在建建筑物",IF(结果表!G1="土地","出让国有建设用地使用权",))&amp;B9&amp;"预评估"</f>
        <v>北京市房地产抵押价值预评估</v>
      </c>
      <c r="C1" s="3000"/>
      <c r="D1" s="3000"/>
      <c r="E1" s="3000"/>
      <c r="F1" s="3000"/>
      <c r="G1" s="3000"/>
      <c r="H1" s="3000"/>
      <c r="I1" s="300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43208</v>
      </c>
      <c r="C3" s="2037" t="s">
        <v>1779</v>
      </c>
      <c r="D3" s="2036">
        <v>43208</v>
      </c>
      <c r="E3" s="2026"/>
      <c r="F3" s="2026"/>
      <c r="G3" s="2026"/>
      <c r="H3" s="2026"/>
      <c r="I3" s="2026"/>
      <c r="J3" s="2026"/>
      <c r="K3" s="2027"/>
      <c r="L3" s="2028"/>
      <c r="M3" s="2028"/>
      <c r="N3" s="2029"/>
      <c r="O3" s="2030"/>
      <c r="P3" s="2029"/>
      <c r="Q3" s="2029"/>
      <c r="R3" s="2029"/>
      <c r="S3" s="2031"/>
    </row>
    <row r="4" spans="1:19" ht="18" customHeight="1" thickBot="1">
      <c r="A4" s="2038" t="s">
        <v>1780</v>
      </c>
      <c r="B4" s="2039" t="s">
        <v>3047</v>
      </c>
      <c r="C4" s="1037">
        <f ca="1">SUMIF(注册房地产估价师,B4,估价师及机构信息!B3:B24)</f>
        <v>1120140022</v>
      </c>
      <c r="D4" s="2039" t="s">
        <v>3048</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1781</v>
      </c>
      <c r="B5" s="2943" t="s">
        <v>3049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4" t="s">
        <v>3050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1784</v>
      </c>
      <c r="B8" s="2053" t="s">
        <v>3051</v>
      </c>
      <c r="C8" s="2054"/>
      <c r="D8" s="3002" t="s">
        <v>1785</v>
      </c>
      <c r="E8" s="2055" t="s">
        <v>3052</v>
      </c>
      <c r="F8" s="2056"/>
      <c r="G8" s="2026"/>
      <c r="H8" s="2026"/>
      <c r="I8" s="2026"/>
      <c r="J8" s="2042"/>
      <c r="K8" s="2043"/>
      <c r="L8" s="2028"/>
      <c r="M8" s="2028"/>
      <c r="N8" s="2029"/>
      <c r="O8" s="2030"/>
      <c r="P8" s="2029"/>
      <c r="Q8" s="2029"/>
      <c r="R8" s="2029"/>
    </row>
    <row r="9" spans="1:19" ht="18" customHeight="1" thickBot="1">
      <c r="A9" s="2040" t="s">
        <v>1786</v>
      </c>
      <c r="B9" s="2057" t="s">
        <v>3052</v>
      </c>
      <c r="C9" s="2058"/>
      <c r="D9" s="3003"/>
      <c r="E9" s="2057"/>
      <c r="F9" s="2059"/>
      <c r="G9" s="2060"/>
      <c r="H9" s="2060"/>
      <c r="I9" s="2060"/>
      <c r="J9" s="2042"/>
      <c r="K9" s="2052"/>
      <c r="L9" s="2028"/>
      <c r="M9" s="2028"/>
      <c r="N9" s="2029"/>
      <c r="O9" s="2030"/>
      <c r="P9" s="2029"/>
      <c r="Q9" s="2029"/>
      <c r="R9" s="2029"/>
    </row>
    <row r="10" spans="1:19" ht="18" customHeight="1" thickTop="1">
      <c r="A10" s="2061" t="s">
        <v>1787</v>
      </c>
      <c r="B10" s="2062" t="s">
        <v>3053</v>
      </c>
      <c r="C10" s="2063"/>
      <c r="D10" s="2046"/>
      <c r="E10" s="2064" t="s">
        <v>1788</v>
      </c>
      <c r="F10" s="2065"/>
      <c r="G10" s="2066"/>
      <c r="H10" s="2067"/>
      <c r="I10" s="2046"/>
      <c r="J10" s="2042"/>
      <c r="K10" s="2052"/>
      <c r="L10" s="2028"/>
      <c r="M10" s="2028"/>
      <c r="N10" s="2029"/>
      <c r="O10" s="2030"/>
      <c r="P10" s="2029"/>
      <c r="Q10" s="2029"/>
      <c r="R10" s="2029"/>
    </row>
    <row r="11" spans="1:19" ht="18" customHeight="1">
      <c r="A11" s="2068" t="s">
        <v>1789</v>
      </c>
      <c r="B11" s="2069" t="s">
        <v>3054</v>
      </c>
      <c r="C11" s="2070"/>
      <c r="D11" s="2071"/>
      <c r="E11" s="2042"/>
      <c r="F11" s="2042"/>
      <c r="G11" s="2042"/>
      <c r="H11" s="2042"/>
      <c r="I11" s="2042"/>
      <c r="J11" s="2042"/>
      <c r="K11" s="2052"/>
      <c r="L11" s="2028"/>
      <c r="M11" s="2028"/>
      <c r="N11" s="2029"/>
      <c r="O11" s="2030"/>
      <c r="P11" s="2029"/>
      <c r="Q11" s="2029"/>
      <c r="R11" s="2029"/>
    </row>
    <row r="12" spans="1:19" ht="18" customHeight="1">
      <c r="A12" s="2072" t="s">
        <v>1790</v>
      </c>
      <c r="B12" s="2069" t="s">
        <v>3055</v>
      </c>
      <c r="C12" s="2073" t="s">
        <v>1791</v>
      </c>
      <c r="D12" s="2074" t="s">
        <v>1792</v>
      </c>
      <c r="E12" s="2074" t="s">
        <v>1793</v>
      </c>
      <c r="F12" s="2074" t="s">
        <v>1794</v>
      </c>
      <c r="G12" s="2074" t="s">
        <v>1795</v>
      </c>
      <c r="H12" s="2074" t="s">
        <v>1796</v>
      </c>
      <c r="I12" s="2074" t="s">
        <v>1797</v>
      </c>
      <c r="J12" s="2042"/>
      <c r="K12" s="2052"/>
      <c r="L12" s="2028"/>
      <c r="M12" s="2028"/>
      <c r="N12" s="2029"/>
      <c r="O12" s="2030"/>
      <c r="P12" s="2029"/>
      <c r="Q12" s="2029"/>
      <c r="R12" s="2029"/>
    </row>
    <row r="13" spans="1:19" ht="18" customHeight="1">
      <c r="A13" s="2075"/>
      <c r="B13" s="2076"/>
      <c r="C13" s="2077" t="s">
        <v>1798</v>
      </c>
      <c r="D13" s="2078"/>
      <c r="E13" s="2078">
        <v>54595</v>
      </c>
      <c r="F13" s="2078"/>
      <c r="G13" s="2078"/>
      <c r="H13" s="2078"/>
      <c r="I13" s="1047"/>
      <c r="J13" s="2042"/>
      <c r="K13" s="2052"/>
      <c r="L13" s="2028"/>
      <c r="M13" s="2028"/>
      <c r="N13" s="2029"/>
      <c r="O13" s="2030"/>
      <c r="P13" s="2029"/>
      <c r="Q13" s="2029"/>
      <c r="R13" s="2029"/>
    </row>
    <row r="14" spans="1:19" ht="18" customHeight="1">
      <c r="A14" s="2075"/>
      <c r="B14" s="2076"/>
      <c r="C14" s="2077" t="s">
        <v>1799</v>
      </c>
      <c r="D14" s="1050"/>
      <c r="E14" s="1050">
        <v>40</v>
      </c>
      <c r="F14" s="1050"/>
      <c r="G14" s="1050"/>
      <c r="H14" s="1050"/>
      <c r="I14" s="1050"/>
      <c r="J14" s="2042"/>
      <c r="K14" s="2079"/>
      <c r="L14" s="2028"/>
      <c r="M14" s="2028"/>
      <c r="N14" s="2029"/>
      <c r="O14" s="2030"/>
      <c r="P14" s="2029"/>
      <c r="Q14" s="2029"/>
      <c r="R14" s="2029"/>
    </row>
    <row r="15" spans="1:19" ht="18" customHeight="1">
      <c r="A15" s="2061"/>
      <c r="B15" s="2080"/>
      <c r="C15" s="2077" t="s">
        <v>1800</v>
      </c>
      <c r="D15" s="1049" t="str">
        <f>IF(B12="出让",IF(D13="","",ROUNDDOWN(MIN((D13-$D$3)/365,D14),2)),D14)</f>
        <v/>
      </c>
      <c r="E15" s="1049">
        <f>IF(B12="出让",IF(E13="","",ROUNDDOWN(MIN((E13-$D$3)/365,E14),2)),E14)</f>
        <v>31.19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1801</v>
      </c>
      <c r="B16" s="3009" t="s">
        <v>3056</v>
      </c>
      <c r="C16" s="3010"/>
      <c r="D16" s="3011"/>
      <c r="E16" s="2084" t="s">
        <v>1802</v>
      </c>
      <c r="F16" s="3012"/>
      <c r="G16" s="3013"/>
      <c r="H16" s="3013"/>
      <c r="I16" s="3014"/>
      <c r="J16" s="2029"/>
      <c r="K16" s="2081"/>
      <c r="L16" s="2082"/>
      <c r="M16" s="2082"/>
      <c r="N16" s="2083"/>
      <c r="O16" s="2082"/>
      <c r="P16" s="2083"/>
      <c r="Q16" s="2029"/>
      <c r="R16" s="2029"/>
    </row>
    <row r="17" spans="1:22" ht="18" customHeight="1">
      <c r="A17" s="2085" t="s">
        <v>1803</v>
      </c>
      <c r="B17" s="2035" t="s">
        <v>1804</v>
      </c>
      <c r="C17" s="1054">
        <f>'数据-汇总表'!E3</f>
        <v>28056.880000000005</v>
      </c>
      <c r="D17" s="2086" t="s">
        <v>1805</v>
      </c>
      <c r="E17" s="3015" t="s">
        <v>1806</v>
      </c>
      <c r="F17" s="3016"/>
      <c r="G17" s="3016"/>
      <c r="H17" s="3016"/>
      <c r="I17" s="3017"/>
      <c r="J17" s="2029"/>
      <c r="K17" s="2087"/>
      <c r="L17" s="2082"/>
      <c r="M17" s="2082"/>
      <c r="N17" s="2083"/>
      <c r="O17" s="2082"/>
      <c r="P17" s="2083"/>
      <c r="Q17" s="2029"/>
      <c r="R17" s="2029"/>
      <c r="S17" s="2029"/>
      <c r="T17" s="2029"/>
      <c r="U17" s="2029"/>
      <c r="V17" s="2029"/>
    </row>
    <row r="18" spans="1:22" ht="36" customHeight="1" thickBot="1">
      <c r="A18" s="2088" t="s">
        <v>1807</v>
      </c>
      <c r="B18" s="2038" t="s">
        <v>1808</v>
      </c>
      <c r="C18" s="1444">
        <f>'数据-汇总表'!D3</f>
        <v>12718.02</v>
      </c>
      <c r="D18" s="2089" t="s">
        <v>1805</v>
      </c>
      <c r="E18" s="3018" t="s">
        <v>1809</v>
      </c>
      <c r="F18" s="3019"/>
      <c r="G18" s="3019"/>
      <c r="H18" s="3019"/>
      <c r="I18" s="3020"/>
      <c r="J18" s="2029"/>
      <c r="K18" s="2087"/>
      <c r="L18" s="2082"/>
      <c r="M18" s="2082"/>
      <c r="N18" s="2083"/>
      <c r="O18" s="2082"/>
      <c r="P18" s="2083"/>
      <c r="Q18" s="2029"/>
      <c r="R18" s="2029"/>
      <c r="S18" s="2029"/>
      <c r="T18" s="2029"/>
      <c r="U18" s="2029"/>
      <c r="V18" s="2029"/>
    </row>
    <row r="19" spans="1:22" ht="37.5" customHeight="1" thickTop="1" thickBot="1">
      <c r="A19" s="372" t="s">
        <v>1810</v>
      </c>
      <c r="B19" s="351" t="s">
        <v>1811</v>
      </c>
      <c r="C19" s="2090" t="s">
        <v>3057</v>
      </c>
      <c r="D19" s="2091" t="s">
        <v>1812</v>
      </c>
      <c r="E19" s="2092"/>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1813</v>
      </c>
      <c r="B20" s="3005" t="s">
        <v>1814</v>
      </c>
      <c r="C20" s="3006"/>
      <c r="D20" s="3007" t="s">
        <v>1815</v>
      </c>
      <c r="E20" s="3008"/>
      <c r="F20" s="2096" t="s">
        <v>1816</v>
      </c>
      <c r="G20" s="2042"/>
      <c r="H20" s="2042"/>
      <c r="I20" s="2042"/>
      <c r="J20" s="2042"/>
      <c r="K20" s="3004"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1818</v>
      </c>
      <c r="C21" s="2098" t="s">
        <v>1819</v>
      </c>
      <c r="D21" s="2099" t="s">
        <v>1820</v>
      </c>
      <c r="E21" s="2100" t="s">
        <v>1819</v>
      </c>
      <c r="F21" s="2101"/>
      <c r="G21" s="2042"/>
      <c r="H21" s="2042"/>
      <c r="I21" s="2042"/>
      <c r="J21" s="2042"/>
      <c r="K21" s="300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1821</v>
      </c>
      <c r="C22" s="2098" t="s">
        <v>1822</v>
      </c>
      <c r="D22" s="2026"/>
      <c r="E22" s="2026"/>
      <c r="F22" s="2103"/>
      <c r="G22" s="2042"/>
      <c r="H22" s="2042"/>
      <c r="I22" s="2042"/>
      <c r="J22" s="2042"/>
      <c r="K22" s="300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1823</v>
      </c>
      <c r="B23" s="182" t="s">
        <v>1824</v>
      </c>
      <c r="C23" s="2105"/>
      <c r="D23" s="2106" t="s">
        <v>1824</v>
      </c>
      <c r="E23" s="2107"/>
      <c r="F23" s="2103"/>
      <c r="G23" s="2042"/>
      <c r="H23" s="2042"/>
      <c r="I23" s="2042"/>
      <c r="J23" s="2042"/>
      <c r="K23" s="2108"/>
      <c r="L23" s="745"/>
      <c r="M23" s="2028"/>
      <c r="N23" s="2083"/>
      <c r="O23" s="2082"/>
      <c r="P23" s="2083"/>
      <c r="Q23" s="2029"/>
      <c r="R23" s="2029"/>
      <c r="S23" s="2029"/>
      <c r="T23" s="2029"/>
      <c r="U23" s="2029"/>
      <c r="V23" s="2029"/>
    </row>
    <row r="24" spans="1:22" ht="18" customHeight="1">
      <c r="A24" s="2109"/>
      <c r="B24" s="182" t="s">
        <v>1825</v>
      </c>
      <c r="C24" s="2110"/>
      <c r="D24" s="2104" t="s">
        <v>1825</v>
      </c>
      <c r="E24" s="2111"/>
      <c r="F24" s="2103"/>
      <c r="G24" s="2042"/>
      <c r="H24" s="2042"/>
      <c r="I24" s="2042"/>
      <c r="J24" s="2042"/>
      <c r="K24" s="2108"/>
      <c r="L24" s="745"/>
      <c r="M24" s="2028"/>
      <c r="N24" s="2083"/>
      <c r="O24" s="2082"/>
      <c r="P24" s="2083"/>
      <c r="Q24" s="2029"/>
      <c r="R24" s="2029"/>
      <c r="S24" s="2029"/>
      <c r="T24" s="2029"/>
      <c r="U24" s="2029"/>
      <c r="V24" s="2029"/>
    </row>
    <row r="25" spans="1:22" ht="18" customHeight="1">
      <c r="A25" s="2109"/>
      <c r="B25" s="182" t="s">
        <v>1826</v>
      </c>
      <c r="C25" s="2110"/>
      <c r="D25" s="2104" t="s">
        <v>1826</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1827</v>
      </c>
      <c r="C26" s="2114"/>
      <c r="D26" s="2115" t="s">
        <v>1828</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22" t="s">
        <v>1829</v>
      </c>
      <c r="B27" s="2061" t="s">
        <v>1830</v>
      </c>
      <c r="C27" s="2118" t="s">
        <v>3058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22"/>
      <c r="B28" s="2035" t="s">
        <v>1831</v>
      </c>
      <c r="C28" s="2120" t="s">
        <v>3059</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22"/>
      <c r="B29" s="2035" t="s">
        <v>1832</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23"/>
      <c r="B30" s="2035" t="s">
        <v>1833</v>
      </c>
      <c r="C30" s="3024"/>
      <c r="D30" s="3025"/>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26" t="s">
        <v>1834</v>
      </c>
      <c r="B31" s="2125" t="s">
        <v>3060</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27"/>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27"/>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1835</v>
      </c>
      <c r="B34" s="2132" t="s">
        <v>3061</v>
      </c>
      <c r="C34" s="2132" t="s">
        <v>3062</v>
      </c>
      <c r="D34" s="2132" t="s">
        <v>3063</v>
      </c>
      <c r="E34" s="2132" t="s">
        <v>3064</v>
      </c>
      <c r="F34" s="2132" t="s">
        <v>3065</v>
      </c>
      <c r="G34" s="2132" t="s">
        <v>3066</v>
      </c>
      <c r="H34" s="2132" t="s">
        <v>3067</v>
      </c>
      <c r="I34" s="2042"/>
      <c r="J34" s="2042"/>
      <c r="K34" s="1795">
        <f>COUNTIF(B34:H34,"——")</f>
        <v>0</v>
      </c>
      <c r="L34" s="2073" t="s">
        <v>1836</v>
      </c>
      <c r="M34" s="2073" t="s">
        <v>1837</v>
      </c>
      <c r="N34" s="2073" t="s">
        <v>1838</v>
      </c>
      <c r="O34" s="2073" t="s">
        <v>1839</v>
      </c>
      <c r="P34" s="2073" t="s">
        <v>1840</v>
      </c>
      <c r="Q34" s="2073" t="s">
        <v>1841</v>
      </c>
      <c r="R34" s="2073" t="s">
        <v>1842</v>
      </c>
      <c r="S34" s="3021" t="s">
        <v>1843</v>
      </c>
      <c r="T34" s="2133" t="str">
        <f>NUMBERSTRING(7-K34,1)&amp;"通"</f>
        <v>七通</v>
      </c>
      <c r="U34" s="2029"/>
      <c r="V34" s="2029"/>
    </row>
    <row r="35" spans="1:22" ht="18" customHeight="1">
      <c r="A35" s="2134"/>
      <c r="B35" s="3028" t="s">
        <v>1844</v>
      </c>
      <c r="C35" s="3028"/>
      <c r="D35" s="3028"/>
      <c r="E35" s="3028"/>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21"/>
      <c r="T35" s="47" t="str">
        <f>IF(T34="一通",L35,IF(T34="二通",M35,IF(T34="三通",N35,IF(T34="四通",O35,IF(T34="五通",P35,IF(T34="六通",Q35,R35))))))</f>
        <v>通路、通电、通讯、通上水、通下水、通热、燃气</v>
      </c>
      <c r="U35" s="2029"/>
      <c r="V35" s="2029"/>
    </row>
    <row r="36" spans="1:22" ht="18" customHeight="1">
      <c r="A36" s="2136"/>
      <c r="B36" s="2135" t="s">
        <v>1845</v>
      </c>
      <c r="C36" s="2135" t="s">
        <v>1846</v>
      </c>
      <c r="D36" s="2135" t="s">
        <v>1847</v>
      </c>
      <c r="E36" s="2135" t="s">
        <v>1848</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1849</v>
      </c>
      <c r="B37" s="2139" t="s">
        <v>56</v>
      </c>
      <c r="C37" s="2139"/>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1850</v>
      </c>
      <c r="B38" s="2141" t="s">
        <v>3068</v>
      </c>
      <c r="C38" s="2141"/>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1852</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1853</v>
      </c>
      <c r="B42" s="1795" t="s">
        <v>1854</v>
      </c>
      <c r="C42" s="1795" t="s">
        <v>1855</v>
      </c>
      <c r="D42" s="1795" t="s">
        <v>1856</v>
      </c>
      <c r="E42" s="1795" t="s">
        <v>1857</v>
      </c>
      <c r="F42" s="1795" t="s">
        <v>1858</v>
      </c>
      <c r="G42" s="1795" t="s">
        <v>1859</v>
      </c>
      <c r="H42" s="1795" t="s">
        <v>1860</v>
      </c>
      <c r="I42" s="1795" t="s">
        <v>1861</v>
      </c>
      <c r="J42" s="2151" t="s">
        <v>1862</v>
      </c>
      <c r="K42" s="2074" t="s">
        <v>1863</v>
      </c>
      <c r="L42" s="2074" t="s">
        <v>1864</v>
      </c>
      <c r="M42" s="2074" t="s">
        <v>1865</v>
      </c>
      <c r="N42" s="1795" t="s">
        <v>1866</v>
      </c>
      <c r="O42" s="1795" t="s">
        <v>1867</v>
      </c>
      <c r="P42" s="1795" t="s">
        <v>1868</v>
      </c>
      <c r="Q42" s="2073" t="s">
        <v>1869</v>
      </c>
      <c r="R42" s="2073" t="s">
        <v>1870</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8" sqref="A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1876</v>
      </c>
      <c r="AZ2" s="1270"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52">
        <v>12718.02</v>
      </c>
      <c r="B3" s="13">
        <f>IF(C3="否",G5-AT5,G5)</f>
        <v>28056.880000000005</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1880</v>
      </c>
      <c r="B5" s="1803"/>
      <c r="C5" s="1803"/>
      <c r="D5" s="1806"/>
      <c r="E5" s="15" t="s">
        <v>1</v>
      </c>
      <c r="F5" s="15">
        <f>SUM(F13:F587)</f>
        <v>0</v>
      </c>
      <c r="G5" s="15">
        <f>SUM(G13:G587)</f>
        <v>28056.880000000005</v>
      </c>
      <c r="H5" s="15">
        <f t="shared" ref="H5:AT5" si="0">SUM(H13:H656)</f>
        <v>28056.880000000005</v>
      </c>
      <c r="I5" s="15">
        <f t="shared" si="0"/>
        <v>9285.3700000000008</v>
      </c>
      <c r="J5" s="15">
        <f t="shared" si="0"/>
        <v>0</v>
      </c>
      <c r="K5" s="15">
        <f t="shared" si="0"/>
        <v>18771.510000000002</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28056.880000000005</v>
      </c>
      <c r="BA5" s="17">
        <f t="shared" si="1"/>
        <v>28056.880000000005</v>
      </c>
      <c r="BB5" s="17">
        <f t="shared" si="1"/>
        <v>9285.3700000000008</v>
      </c>
      <c r="BC5" s="17">
        <f t="shared" si="1"/>
        <v>18771.510000000002</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1881</v>
      </c>
      <c r="B6" s="2173"/>
      <c r="C6" s="2173"/>
      <c r="D6" s="2174"/>
      <c r="E6" s="15">
        <f>H6+AC6+AT6</f>
        <v>12718.02</v>
      </c>
      <c r="F6" s="15" t="s">
        <v>1</v>
      </c>
      <c r="G6" s="15" t="s">
        <v>2</v>
      </c>
      <c r="H6" s="19">
        <f>SUMIF(I$12:AB$12,"总值",I6:AB6)</f>
        <v>12718.02</v>
      </c>
      <c r="I6" s="15">
        <f t="shared" ref="I6:AB6" si="2">ROUND($A$3*I5/$B$3,2)</f>
        <v>4209</v>
      </c>
      <c r="J6" s="15">
        <f t="shared" si="2"/>
        <v>0</v>
      </c>
      <c r="K6" s="15">
        <f t="shared" si="2"/>
        <v>8509.02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1881</v>
      </c>
      <c r="AW6" s="2173"/>
      <c r="AX6" s="2173"/>
      <c r="AY6" s="20">
        <f>IF(AY3&gt;0,AY3,ROUND($A$3*AZ5/$B$3,2))</f>
        <v>12718.02</v>
      </c>
      <c r="AZ6" s="15" t="s">
        <v>3</v>
      </c>
      <c r="BA6" s="15">
        <f>ROUND($AY$6*BA5/$AZ$5,2)</f>
        <v>12718.02</v>
      </c>
      <c r="BB6" s="15">
        <f>ROUND($AY$6*BB5/$AZ$5,2)</f>
        <v>4209</v>
      </c>
      <c r="BC6" s="15">
        <f t="shared" ref="BC6:BH6" si="4">ROUND($AY$6*BC5/$AZ$5,2)</f>
        <v>8509.02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1889</v>
      </c>
      <c r="AV7" s="22" t="s">
        <v>1890</v>
      </c>
      <c r="AW7" s="2165" t="s">
        <v>1891</v>
      </c>
      <c r="AX7" s="22" t="s">
        <v>1884</v>
      </c>
      <c r="AY7" s="1803"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8"/>
      <c r="K8" s="1818"/>
      <c r="L8" s="1818"/>
      <c r="M8" s="1818"/>
      <c r="N8" s="1818"/>
      <c r="O8" s="1818"/>
      <c r="P8" s="1818"/>
      <c r="Q8" s="1818"/>
      <c r="R8" s="1818"/>
      <c r="S8" s="1818"/>
      <c r="T8" s="1818"/>
      <c r="U8" s="1818"/>
      <c r="V8" s="2185"/>
      <c r="W8" s="1818"/>
      <c r="X8" s="1818"/>
      <c r="Y8" s="1818"/>
      <c r="Z8" s="1818"/>
      <c r="AA8" s="2185"/>
      <c r="AB8" s="2186"/>
      <c r="AC8" s="981" t="s">
        <v>1895</v>
      </c>
      <c r="AD8" s="2187"/>
      <c r="AE8" s="2179"/>
      <c r="AF8" s="1818"/>
      <c r="AG8" s="1818"/>
      <c r="AH8" s="1818"/>
      <c r="AI8" s="1818"/>
      <c r="AJ8" s="1818"/>
      <c r="AK8" s="1818"/>
      <c r="AL8" s="1818"/>
      <c r="AM8" s="1818"/>
      <c r="AN8" s="1818"/>
      <c r="AO8" s="1818"/>
      <c r="AP8" s="1818"/>
      <c r="AQ8" s="1818"/>
      <c r="AR8" s="1818"/>
      <c r="AS8" s="1818"/>
      <c r="AT8" s="1292" t="s">
        <v>1896</v>
      </c>
      <c r="AU8" s="2181" t="s">
        <v>1897</v>
      </c>
      <c r="AV8" s="1292"/>
      <c r="AW8" s="2164"/>
      <c r="AX8" s="1292"/>
      <c r="AY8" s="2165"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2"/>
      <c r="H9" s="2189" t="s">
        <v>1900</v>
      </c>
      <c r="I9" s="2190" t="s">
        <v>3071</v>
      </c>
      <c r="J9" s="981"/>
      <c r="K9" s="2190" t="s">
        <v>3073</v>
      </c>
      <c r="L9" s="981"/>
      <c r="M9" s="2190"/>
      <c r="N9" s="981"/>
      <c r="O9" s="2190"/>
      <c r="P9" s="981"/>
      <c r="Q9" s="2190"/>
      <c r="R9" s="981"/>
      <c r="S9" s="2190"/>
      <c r="T9" s="981"/>
      <c r="U9" s="2190"/>
      <c r="V9" s="981"/>
      <c r="W9" s="2190"/>
      <c r="X9" s="2191"/>
      <c r="Y9" s="2190"/>
      <c r="Z9" s="981"/>
      <c r="AA9" s="2190"/>
      <c r="AB9" s="981"/>
      <c r="AC9" s="2182"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92"/>
      <c r="AT9" s="2181"/>
      <c r="AU9" s="2181" t="s">
        <v>1903</v>
      </c>
      <c r="AV9" s="1292"/>
      <c r="AW9" s="2164"/>
      <c r="AX9" s="1292"/>
      <c r="AY9" s="27"/>
      <c r="AZ9" s="27" t="s">
        <v>1893</v>
      </c>
      <c r="BA9" s="2193" t="s">
        <v>1904</v>
      </c>
      <c r="BB9" s="2194"/>
      <c r="BC9" s="1338"/>
      <c r="BD9" s="1338"/>
      <c r="BE9" s="1338"/>
      <c r="BF9" s="1338"/>
      <c r="BG9" s="1338"/>
      <c r="BH9" s="1338"/>
      <c r="BI9" s="1338"/>
      <c r="BJ9" s="1338"/>
      <c r="BK9" s="2195"/>
      <c r="BL9" s="14" t="s">
        <v>1905</v>
      </c>
      <c r="BM9" s="1818"/>
      <c r="BN9" s="2184"/>
      <c r="BO9" s="1818"/>
      <c r="BP9" s="1818"/>
      <c r="BQ9" s="1818"/>
      <c r="BR9" s="1818"/>
      <c r="BS9" s="1818"/>
      <c r="BT9" s="25"/>
    </row>
    <row r="10" spans="1:72" s="2188" customFormat="1" ht="12.75">
      <c r="A10" s="2181"/>
      <c r="B10" s="2181"/>
      <c r="C10" s="2181"/>
      <c r="D10" s="2181"/>
      <c r="E10" s="2181"/>
      <c r="F10" s="2181"/>
      <c r="G10" s="1292"/>
      <c r="H10" s="27"/>
      <c r="I10" s="2190" t="s">
        <v>1377</v>
      </c>
      <c r="J10" s="981"/>
      <c r="K10" s="2196" t="s">
        <v>1377</v>
      </c>
      <c r="L10" s="981"/>
      <c r="M10" s="2196"/>
      <c r="N10" s="981"/>
      <c r="O10" s="2196"/>
      <c r="P10" s="981"/>
      <c r="Q10" s="2196"/>
      <c r="R10" s="981"/>
      <c r="S10" s="2196"/>
      <c r="T10" s="981"/>
      <c r="U10" s="2196"/>
      <c r="V10" s="981"/>
      <c r="W10" s="2196"/>
      <c r="X10" s="981"/>
      <c r="Y10" s="2196"/>
      <c r="Z10" s="981"/>
      <c r="AA10" s="2196"/>
      <c r="AB10" s="981"/>
      <c r="AC10" s="1292"/>
      <c r="AD10" s="14" t="s">
        <v>1906</v>
      </c>
      <c r="AE10" s="2197"/>
      <c r="AF10" s="14" t="s">
        <v>1906</v>
      </c>
      <c r="AG10" s="2197"/>
      <c r="AH10" s="14" t="s">
        <v>1907</v>
      </c>
      <c r="AI10" s="2197"/>
      <c r="AJ10" s="14" t="s">
        <v>1907</v>
      </c>
      <c r="AK10" s="2197"/>
      <c r="AL10" s="14" t="s">
        <v>1908</v>
      </c>
      <c r="AM10" s="1298"/>
      <c r="AN10" s="14" t="s">
        <v>1908</v>
      </c>
      <c r="AO10" s="1298"/>
      <c r="AP10" s="14" t="s">
        <v>1909</v>
      </c>
      <c r="AQ10" s="1298"/>
      <c r="AR10" s="14" t="s">
        <v>1909</v>
      </c>
      <c r="AS10" s="1298"/>
      <c r="AT10" s="2181"/>
      <c r="AU10" s="2181"/>
      <c r="AV10" s="1292"/>
      <c r="AW10" s="2164"/>
      <c r="AX10" s="1292"/>
      <c r="AY10" s="27"/>
      <c r="AZ10" s="27"/>
      <c r="BA10" s="2198" t="s">
        <v>1900</v>
      </c>
      <c r="BB10" s="2199" t="str">
        <f>I9</f>
        <v>地上</v>
      </c>
      <c r="BC10" s="28" t="str">
        <f>K9</f>
        <v>地下</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1910</v>
      </c>
      <c r="AE11" s="1819"/>
      <c r="AF11" s="2203" t="s">
        <v>1910</v>
      </c>
      <c r="AG11" s="1819"/>
      <c r="AH11" s="2203" t="s">
        <v>1911</v>
      </c>
      <c r="AI11" s="2204"/>
      <c r="AJ11" s="2203" t="s">
        <v>1911</v>
      </c>
      <c r="AK11" s="1819"/>
      <c r="AL11" s="1817"/>
      <c r="AM11" s="1819"/>
      <c r="AN11" s="1817"/>
      <c r="AO11" s="1819"/>
      <c r="AP11" s="1817"/>
      <c r="AQ11" s="1819"/>
      <c r="AR11" s="1817"/>
      <c r="AS11" s="1819"/>
      <c r="AT11" s="2164"/>
      <c r="AU11" s="2181"/>
      <c r="AV11" s="1292"/>
      <c r="AW11" s="2164"/>
      <c r="AX11" s="1292"/>
      <c r="AY11" s="27"/>
      <c r="AZ11" s="27"/>
      <c r="BA11" s="27"/>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8"/>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6" t="s">
        <v>1913</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2"/>
      <c r="B13" s="1272"/>
      <c r="C13" s="2945" t="s">
        <v>3069</v>
      </c>
      <c r="D13" s="2212" t="s">
        <v>3070</v>
      </c>
      <c r="E13" s="15">
        <f>IF($C$3="是",ROUND($A$3*G13/$B$3,2),ROUND($A$3*(G13-AT13)/$B$3,2))</f>
        <v>12718.02</v>
      </c>
      <c r="F13" s="31"/>
      <c r="G13" s="32">
        <f>H13+AC13+AT13</f>
        <v>28056.880000000005</v>
      </c>
      <c r="H13" s="19">
        <f>SUMIF(I$12:AB$12,"总值",I13:AB13)</f>
        <v>28056.880000000005</v>
      </c>
      <c r="I13" s="2213">
        <v>9285.3700000000008</v>
      </c>
      <c r="J13" s="2213"/>
      <c r="K13" s="2213">
        <f>6835.68+11935.83</f>
        <v>18771.510000000002</v>
      </c>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会所</v>
      </c>
      <c r="AY13" s="1806">
        <f>ROUND($AY$6*AZ13/$AZ$5,2)</f>
        <v>12718.02</v>
      </c>
      <c r="AZ13" s="15">
        <f>BA13+BL13</f>
        <v>28056.880000000005</v>
      </c>
      <c r="BA13" s="15">
        <f>SUM(BB13:BK13)</f>
        <v>28056.880000000005</v>
      </c>
      <c r="BB13" s="15">
        <f>IF($D13="是",I13-J13,0)</f>
        <v>9285.3700000000008</v>
      </c>
      <c r="BC13" s="15">
        <f>IF($D13="是",K13-L13,0)</f>
        <v>18771.510000000002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2"/>
      <c r="B14" s="1272"/>
      <c r="C14" s="2152"/>
      <c r="D14" s="2212"/>
      <c r="E14" s="15">
        <f>IF($C$3="是",ROUND($A$3*G14/$B$3,2),ROUND($A$3*(G14-AT14)/$B$3,2))</f>
        <v>0</v>
      </c>
      <c r="F14" s="31"/>
      <c r="G14" s="32">
        <f>H14+AC14+AT14</f>
        <v>0</v>
      </c>
      <c r="H14" s="19">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2"/>
      <c r="B15" s="1272"/>
      <c r="C15" s="2152"/>
      <c r="D15" s="2212"/>
      <c r="E15" s="15">
        <f>IF($C$3="是",ROUND($A$3*G15/$B$3,2),ROUND($A$3*(G15-AT15)/$B$3,2))</f>
        <v>0</v>
      </c>
      <c r="F15" s="31"/>
      <c r="G15" s="32">
        <f>H15+AC15+AT15</f>
        <v>0</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2"/>
      <c r="B16" s="1272"/>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2"/>
      <c r="B17" s="1272"/>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2"/>
      <c r="C1" s="1392"/>
      <c r="D1" s="1392"/>
      <c r="E1" s="1392"/>
      <c r="F1" s="1392"/>
      <c r="G1" s="1392"/>
      <c r="H1" s="1392"/>
      <c r="I1" s="1392"/>
      <c r="J1" s="1392"/>
      <c r="K1" s="1392"/>
      <c r="L1" s="1392"/>
      <c r="M1" s="1392"/>
      <c r="N1" s="1392"/>
      <c r="O1" s="1392"/>
      <c r="P1" s="1392"/>
    </row>
    <row r="2" spans="1:16" ht="15">
      <c r="A2" s="3040" t="s">
        <v>1940</v>
      </c>
      <c r="B2" s="3040"/>
      <c r="C2" s="3040"/>
      <c r="D2" s="967" t="s">
        <v>1916</v>
      </c>
      <c r="E2" s="2226" t="s">
        <v>1917</v>
      </c>
      <c r="F2" s="1392"/>
      <c r="G2" s="2227"/>
      <c r="H2" s="2228"/>
      <c r="I2" s="2229" t="s">
        <v>1941</v>
      </c>
      <c r="J2" s="1392"/>
      <c r="K2" s="1392"/>
      <c r="L2" s="1392"/>
      <c r="M2" s="1392"/>
      <c r="N2" s="1427"/>
      <c r="O2" s="1392"/>
      <c r="P2" s="1392"/>
    </row>
    <row r="3" spans="1:16" ht="15.75" thickBot="1">
      <c r="A3" s="3041" t="s">
        <v>1914</v>
      </c>
      <c r="B3" s="3041"/>
      <c r="C3" s="3041"/>
      <c r="D3" s="45">
        <f>'数据-基础表'!AY6</f>
        <v>12718.02</v>
      </c>
      <c r="E3" s="45">
        <f>'数据-基础表'!AZ5</f>
        <v>28056.880000000005</v>
      </c>
      <c r="F3" s="1392"/>
      <c r="G3" s="1399"/>
      <c r="H3" s="1247" t="s">
        <v>1915</v>
      </c>
      <c r="I3" s="54">
        <f>ROUND('数据-基础表'!B3/'数据-基础表'!A3,2)</f>
        <v>2.21</v>
      </c>
      <c r="J3" s="1392"/>
      <c r="K3" s="1392"/>
      <c r="L3" s="1392"/>
      <c r="M3" s="1392"/>
      <c r="N3" s="1427"/>
      <c r="O3" s="1392"/>
      <c r="P3" s="1392"/>
    </row>
    <row r="4" spans="1:16" ht="15">
      <c r="A4" s="3042"/>
      <c r="B4" s="3043"/>
      <c r="C4" s="3044"/>
      <c r="D4" s="2230" t="s">
        <v>1916</v>
      </c>
      <c r="E4" s="2231" t="s">
        <v>1917</v>
      </c>
      <c r="F4" s="1392"/>
      <c r="G4" s="2232" t="s">
        <v>1942</v>
      </c>
      <c r="H4" s="1247" t="s">
        <v>1922</v>
      </c>
      <c r="I4" s="54">
        <f>ROUND(SUMIF('数据-基础表'!I9:AS9,"地上",'数据-基础表'!I5:AS5)/'数据-基础表'!A3,2)</f>
        <v>0.73</v>
      </c>
      <c r="J4" s="1392"/>
      <c r="K4" s="1392"/>
      <c r="L4" s="1392"/>
      <c r="M4" s="1392"/>
      <c r="N4" s="1427"/>
      <c r="O4" s="1392"/>
      <c r="P4" s="1392"/>
    </row>
    <row r="5" spans="1:16">
      <c r="A5" s="46" t="s">
        <v>1918</v>
      </c>
      <c r="B5" s="3045" t="s">
        <v>1919</v>
      </c>
      <c r="C5" s="3045"/>
      <c r="D5" s="47">
        <f>ROUND($D$3*E5/$E$3,2)</f>
        <v>0</v>
      </c>
      <c r="E5" s="48">
        <f>SUMIF('数据-基础表'!$11:$11,"住宅",'数据-基础表'!$5:$5)</f>
        <v>0</v>
      </c>
      <c r="F5" s="1392"/>
      <c r="G5" s="1399"/>
      <c r="H5" s="1247" t="s">
        <v>1915</v>
      </c>
      <c r="I5" s="54">
        <f>ROUND(E31/D31,2)</f>
        <v>2.21</v>
      </c>
      <c r="J5" s="1392"/>
      <c r="K5" s="1392"/>
      <c r="L5" s="1392"/>
      <c r="M5" s="1392"/>
      <c r="N5" s="1392"/>
      <c r="O5" s="1392"/>
      <c r="P5" s="1392"/>
    </row>
    <row r="6" spans="1:16" ht="15" thickBot="1">
      <c r="A6" s="2233"/>
      <c r="B6" s="3045" t="s">
        <v>1920</v>
      </c>
      <c r="C6" s="3045"/>
      <c r="D6" s="47">
        <f>ROUND($D$3*E6/$E$3,2)</f>
        <v>12718.02</v>
      </c>
      <c r="E6" s="48">
        <f>E3-E5</f>
        <v>28056.880000000005</v>
      </c>
      <c r="F6" s="1392"/>
      <c r="G6" s="2234" t="s">
        <v>1921</v>
      </c>
      <c r="H6" s="1399" t="s">
        <v>1922</v>
      </c>
      <c r="I6" s="939">
        <f>ROUND(F31/D31,2)</f>
        <v>0.73</v>
      </c>
      <c r="J6" s="1392"/>
      <c r="K6" s="1392"/>
      <c r="L6" s="1392"/>
      <c r="M6" s="1392"/>
      <c r="N6" s="1392"/>
      <c r="O6" s="1392"/>
      <c r="P6" s="1392"/>
    </row>
    <row r="7" spans="1:16" ht="15">
      <c r="A7" s="3037"/>
      <c r="B7" s="3038"/>
      <c r="C7" s="3039"/>
      <c r="D7" s="2230" t="s">
        <v>1916</v>
      </c>
      <c r="E7" s="2235" t="s">
        <v>1923</v>
      </c>
      <c r="F7" s="1392"/>
      <c r="G7" s="2227" t="s">
        <v>1924</v>
      </c>
      <c r="H7" s="63"/>
      <c r="I7" s="419"/>
      <c r="J7" s="1392"/>
      <c r="K7" s="1392"/>
      <c r="L7" s="1392"/>
      <c r="M7" s="1392"/>
      <c r="N7" s="1392"/>
      <c r="O7" s="1392"/>
      <c r="P7" s="1392"/>
    </row>
    <row r="8" spans="1:16">
      <c r="A8" s="46" t="s">
        <v>1925</v>
      </c>
      <c r="B8" s="49" t="s">
        <v>1926</v>
      </c>
      <c r="C8" s="47" t="s">
        <v>1927</v>
      </c>
      <c r="D8" s="47">
        <f t="shared" ref="D8:D15" si="0">ROUND($D$3*E8/$E$3,2)</f>
        <v>4209</v>
      </c>
      <c r="E8" s="50">
        <f>SUMIF('数据-基础表'!BB10:BK10,"地上",'数据-基础表'!BB5:BK5)</f>
        <v>9285.3700000000008</v>
      </c>
      <c r="F8" s="1392"/>
      <c r="G8" s="2236"/>
      <c r="H8" s="2236"/>
      <c r="I8" s="1392"/>
      <c r="J8" s="1392"/>
      <c r="K8" s="1392"/>
      <c r="L8" s="1392"/>
      <c r="M8" s="1392"/>
      <c r="N8" s="1392"/>
      <c r="O8" s="1392"/>
      <c r="P8" s="1392"/>
    </row>
    <row r="9" spans="1:16">
      <c r="A9" s="2237"/>
      <c r="B9" s="2238"/>
      <c r="C9" s="47" t="s">
        <v>1928</v>
      </c>
      <c r="D9" s="47">
        <f t="shared" si="0"/>
        <v>0</v>
      </c>
      <c r="E9" s="51">
        <v>0</v>
      </c>
      <c r="F9" s="1392"/>
      <c r="G9" s="2236"/>
      <c r="H9" s="2236"/>
      <c r="I9" s="1392"/>
      <c r="J9" s="1392"/>
      <c r="K9" s="1392"/>
      <c r="L9" s="1392"/>
      <c r="M9" s="1392"/>
      <c r="N9" s="1392"/>
      <c r="O9" s="1392"/>
      <c r="P9" s="1392"/>
    </row>
    <row r="10" spans="1:16">
      <c r="A10" s="2237"/>
      <c r="B10" s="2238"/>
      <c r="C10" s="47" t="s">
        <v>1937</v>
      </c>
      <c r="D10" s="47">
        <f t="shared" si="0"/>
        <v>8509.02</v>
      </c>
      <c r="E10" s="50">
        <f>SUMPRODUCT(('数据-基础表'!BB10:BK10="地下")*('数据-基础表'!BB11:BK11="商业")*('数据-基础表'!BB5:BK5))</f>
        <v>18771.510000000002</v>
      </c>
      <c r="F10" s="1392"/>
      <c r="G10" s="2236"/>
      <c r="H10" s="2236"/>
      <c r="I10" s="1392"/>
      <c r="J10" s="1392"/>
      <c r="K10" s="1392"/>
      <c r="L10" s="1392"/>
      <c r="M10" s="1392"/>
      <c r="N10" s="1392"/>
      <c r="O10" s="1392"/>
      <c r="P10" s="1392"/>
    </row>
    <row r="11" spans="1:16">
      <c r="A11" s="2237"/>
      <c r="B11" s="2238"/>
      <c r="C11" s="47" t="s">
        <v>1929</v>
      </c>
      <c r="D11" s="47">
        <f t="shared" si="0"/>
        <v>0</v>
      </c>
      <c r="E11" s="50">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7" t="s">
        <v>1930</v>
      </c>
      <c r="D12" s="47">
        <f t="shared" si="0"/>
        <v>0</v>
      </c>
      <c r="E12" s="50">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7" t="s">
        <v>1931</v>
      </c>
      <c r="D13" s="47">
        <f t="shared" si="0"/>
        <v>0</v>
      </c>
      <c r="E13" s="50">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7" t="s">
        <v>1943</v>
      </c>
      <c r="D14" s="47">
        <f t="shared" si="0"/>
        <v>0</v>
      </c>
      <c r="E14" s="50">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7" t="s">
        <v>1938</v>
      </c>
      <c r="D15" s="47">
        <f t="shared" si="0"/>
        <v>0</v>
      </c>
      <c r="E15" s="50">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49" t="s">
        <v>1932</v>
      </c>
      <c r="D16" s="49">
        <f>SUM(D8:D15)</f>
        <v>12718.02</v>
      </c>
      <c r="E16" s="52">
        <f>SUM(E8:E15)</f>
        <v>28056.880000000005</v>
      </c>
      <c r="F16" s="1392"/>
      <c r="G16" s="2236"/>
      <c r="H16" s="2239" t="s">
        <v>1944</v>
      </c>
      <c r="I16" s="2240"/>
      <c r="J16" s="1392"/>
      <c r="K16" s="3034" t="s">
        <v>1944</v>
      </c>
      <c r="L16" s="3035"/>
      <c r="M16" s="3035"/>
      <c r="N16" s="3035"/>
      <c r="O16" s="3035"/>
      <c r="P16" s="3036"/>
    </row>
    <row r="17" spans="1:19" ht="15">
      <c r="A17" s="2241" t="s">
        <v>1945</v>
      </c>
      <c r="B17" s="2242" t="s">
        <v>1946</v>
      </c>
      <c r="C17" s="2243" t="s">
        <v>1947</v>
      </c>
      <c r="D17" s="2244" t="s">
        <v>1935</v>
      </c>
      <c r="E17" s="2245" t="s">
        <v>1936</v>
      </c>
      <c r="F17" s="2246"/>
      <c r="G17" s="2247"/>
      <c r="H17" s="2248" t="s">
        <v>1948</v>
      </c>
      <c r="I17" s="2249" t="s">
        <v>1933</v>
      </c>
      <c r="J17" s="1392"/>
      <c r="K17" s="3031" t="s">
        <v>1949</v>
      </c>
      <c r="L17" s="3032"/>
      <c r="M17" s="3033"/>
      <c r="N17" s="3031" t="s">
        <v>1950</v>
      </c>
      <c r="O17" s="3032"/>
      <c r="P17" s="3033"/>
      <c r="R17" s="2227" t="s">
        <v>1951</v>
      </c>
      <c r="S17" s="63"/>
    </row>
    <row r="18" spans="1:19" ht="15">
      <c r="A18" s="2237"/>
      <c r="B18" s="2250"/>
      <c r="C18" s="2251"/>
      <c r="D18" s="2252"/>
      <c r="E18" s="2253" t="s">
        <v>1952</v>
      </c>
      <c r="F18" s="2254" t="s">
        <v>1953</v>
      </c>
      <c r="G18" s="2255" t="s">
        <v>1954</v>
      </c>
      <c r="H18" s="1262" t="s">
        <v>1955</v>
      </c>
      <c r="I18" s="2256" t="s">
        <v>1956</v>
      </c>
      <c r="J18" s="1392"/>
      <c r="K18" s="1262" t="s">
        <v>1957</v>
      </c>
      <c r="L18" s="2257" t="s">
        <v>1958</v>
      </c>
      <c r="M18" s="1046" t="s">
        <v>1959</v>
      </c>
      <c r="N18" s="1262" t="s">
        <v>1957</v>
      </c>
      <c r="O18" s="2257" t="s">
        <v>1958</v>
      </c>
      <c r="P18" s="1046" t="s">
        <v>1959</v>
      </c>
      <c r="R18" s="1247" t="s">
        <v>1960</v>
      </c>
      <c r="S18" s="1247" t="s">
        <v>1961</v>
      </c>
    </row>
    <row r="19" spans="1:19">
      <c r="A19" s="2258"/>
      <c r="B19" s="49" t="s">
        <v>1934</v>
      </c>
      <c r="C19" s="2946" t="s">
        <v>3072</v>
      </c>
      <c r="D19" s="47">
        <f>ROUND($D$3*E19/$E$3,2)</f>
        <v>12718.02</v>
      </c>
      <c r="E19" s="55">
        <f t="shared" ref="E19:E26" si="1">SUM(F19:G19)</f>
        <v>28056.880000000005</v>
      </c>
      <c r="F19" s="56">
        <f>9285.37</f>
        <v>9285.3700000000008</v>
      </c>
      <c r="G19" s="57">
        <f>6835.68+11935.83</f>
        <v>18771.510000000002</v>
      </c>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12718.02</v>
      </c>
      <c r="S19" s="1248">
        <f t="shared" si="5"/>
        <v>28056.880000000005</v>
      </c>
    </row>
    <row r="20" spans="1:19">
      <c r="A20" s="2262"/>
      <c r="B20" s="49" t="s">
        <v>1962</v>
      </c>
      <c r="C20" s="2259"/>
      <c r="D20" s="47">
        <f t="shared" ref="D20:D26" si="6">ROUND($D$3*E20/$E$3,2)</f>
        <v>0</v>
      </c>
      <c r="E20" s="55">
        <f t="shared" si="1"/>
        <v>0</v>
      </c>
      <c r="F20" s="56"/>
      <c r="G20" s="57"/>
      <c r="H20" s="720">
        <f t="shared" ref="H20:H26" si="7">ROUND($D$3*I20/$E$3,2)</f>
        <v>0</v>
      </c>
      <c r="I20" s="50">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49" t="s">
        <v>1962</v>
      </c>
      <c r="C21" s="2259"/>
      <c r="D21" s="47">
        <f t="shared" si="6"/>
        <v>0</v>
      </c>
      <c r="E21" s="55">
        <f t="shared" si="1"/>
        <v>0</v>
      </c>
      <c r="F21" s="56"/>
      <c r="G21" s="57"/>
      <c r="H21" s="720">
        <f t="shared" si="7"/>
        <v>0</v>
      </c>
      <c r="I21" s="50">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49" t="s">
        <v>1962</v>
      </c>
      <c r="C22" s="59"/>
      <c r="D22" s="47">
        <f t="shared" si="6"/>
        <v>0</v>
      </c>
      <c r="E22" s="55">
        <f t="shared" si="1"/>
        <v>0</v>
      </c>
      <c r="F22" s="60"/>
      <c r="G22" s="61"/>
      <c r="H22" s="720">
        <f t="shared" si="7"/>
        <v>0</v>
      </c>
      <c r="I22" s="50">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49" t="s">
        <v>1962</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49" t="s">
        <v>1962</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49" t="s">
        <v>1962</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49" t="s">
        <v>1962</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3"/>
      <c r="O26" s="2264"/>
      <c r="P26" s="66">
        <f t="shared" si="9"/>
        <v>0</v>
      </c>
      <c r="R26" s="1247">
        <f t="shared" si="5"/>
        <v>0</v>
      </c>
      <c r="S26" s="1248">
        <f t="shared" si="5"/>
        <v>0</v>
      </c>
    </row>
    <row r="27" spans="1:19" ht="15.75" thickBot="1">
      <c r="A27" s="2262"/>
      <c r="B27" s="47"/>
      <c r="C27" s="2265" t="s">
        <v>1963</v>
      </c>
      <c r="D27" s="1393">
        <f>SUM(D19:D26)</f>
        <v>12718.02</v>
      </c>
      <c r="E27" s="1394">
        <f>IF(SUM(E19:E26)='数据-基础表'!BA5,SUM(E19:E26),IF(F27="地上面积有误","面积有误","地下面积有误"))</f>
        <v>28056.880000000005</v>
      </c>
      <c r="F27" s="1393">
        <f>IF(SUM(F19:F26)=E8,SUM(F19:F26),"地上面积有误")</f>
        <v>9285.3700000000008</v>
      </c>
      <c r="G27" s="1395">
        <f>SUM(G19:G26)</f>
        <v>18771.510000000002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12718.02</v>
      </c>
      <c r="S27" s="1247">
        <f>IF(SUM(S19:S26)=$E$3,SUM(S19:S26),SUM(S19:S26)&amp;"误差"&amp;ROUND(SUM(S19:S26)-E3,2))</f>
        <v>28056.880000000005</v>
      </c>
    </row>
    <row r="28" spans="1:19">
      <c r="A28" s="2262"/>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2"/>
      <c r="B29" s="49" t="s">
        <v>1964</v>
      </c>
      <c r="C29" s="2266"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2"/>
      <c r="B30" s="49"/>
      <c r="C30" s="2267"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1967</v>
      </c>
      <c r="D31" s="726">
        <f>D27+D30</f>
        <v>12718.02</v>
      </c>
      <c r="E31" s="726">
        <f>E27+E30</f>
        <v>28056.880000000005</v>
      </c>
      <c r="F31" s="727">
        <f>F27+F30</f>
        <v>9285.3700000000008</v>
      </c>
      <c r="G31" s="728">
        <f>G27+G30</f>
        <v>18771.510000000002</v>
      </c>
      <c r="H31" s="1392"/>
      <c r="I31" s="1392"/>
      <c r="J31" s="1392"/>
      <c r="K31" s="1392"/>
      <c r="L31" s="1392"/>
      <c r="M31" s="1392"/>
      <c r="N31" s="1392"/>
      <c r="O31" s="1392"/>
      <c r="P31" s="1392"/>
    </row>
    <row r="32" spans="1:19">
      <c r="A32" s="2232"/>
      <c r="B32" s="2232" t="s">
        <v>1968</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29"/>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1970</v>
      </c>
      <c r="B2" s="1266">
        <f>项目基本情况!D3</f>
        <v>43208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68" t="s">
        <v>1981</v>
      </c>
      <c r="F5" s="2292" t="s">
        <v>1982</v>
      </c>
      <c r="G5" s="1268" t="s">
        <v>1983</v>
      </c>
      <c r="H5" s="1268" t="s">
        <v>1984</v>
      </c>
      <c r="I5" s="1268" t="s">
        <v>1985</v>
      </c>
      <c r="J5" s="2293" t="s">
        <v>1986</v>
      </c>
      <c r="K5" s="2294" t="s">
        <v>1987</v>
      </c>
      <c r="L5" s="2295" t="s">
        <v>1988</v>
      </c>
      <c r="M5" s="2296" t="s">
        <v>1989</v>
      </c>
      <c r="N5" s="2297" t="s">
        <v>3074</v>
      </c>
      <c r="O5" s="2295" t="s">
        <v>1990</v>
      </c>
      <c r="P5" s="2298" t="s">
        <v>1991</v>
      </c>
      <c r="Q5" s="68" t="s">
        <v>1992</v>
      </c>
      <c r="R5" s="2299" t="s">
        <v>1993</v>
      </c>
      <c r="S5" s="2300" t="s">
        <v>1994</v>
      </c>
      <c r="T5" s="2301" t="s">
        <v>1995</v>
      </c>
      <c r="U5" s="1267" t="s">
        <v>1996</v>
      </c>
      <c r="V5" s="1268" t="s">
        <v>1997</v>
      </c>
      <c r="W5" s="1268" t="s">
        <v>1998</v>
      </c>
      <c r="X5" s="70"/>
      <c r="Y5" s="69" t="s">
        <v>1999</v>
      </c>
      <c r="Z5" s="2302" t="s">
        <v>1996</v>
      </c>
      <c r="AA5" s="1268" t="s">
        <v>1997</v>
      </c>
      <c r="AB5" s="1268" t="s">
        <v>1998</v>
      </c>
      <c r="AC5" s="70"/>
      <c r="AD5" s="70" t="s">
        <v>1999</v>
      </c>
      <c r="AE5" s="1267" t="s">
        <v>2000</v>
      </c>
      <c r="AF5" s="1268" t="s">
        <v>2001</v>
      </c>
      <c r="AG5" s="69" t="s">
        <v>2002</v>
      </c>
      <c r="AH5" s="1267" t="s">
        <v>2003</v>
      </c>
      <c r="AI5" s="2302" t="s">
        <v>2004</v>
      </c>
      <c r="AJ5" s="2302" t="s">
        <v>2005</v>
      </c>
      <c r="AK5" s="1268" t="s">
        <v>2006</v>
      </c>
      <c r="AL5" s="1268" t="s">
        <v>2007</v>
      </c>
      <c r="AM5" s="69" t="s">
        <v>2008</v>
      </c>
      <c r="AN5" s="2303" t="s">
        <v>2009</v>
      </c>
      <c r="AO5" s="2073" t="s">
        <v>2010</v>
      </c>
      <c r="AP5" s="1249"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1377</v>
      </c>
      <c r="D6" s="1051">
        <f>SUMIF(项目基本情况!D$12:I$12,C6,项目基本情况!D$14:I$14)</f>
        <v>40</v>
      </c>
      <c r="E6" s="1048">
        <f>IF(B6="","",SUMIF(项目基本情况!D$12:I$12,C6,项目基本情况!D$13:I$13))</f>
        <v>54595</v>
      </c>
      <c r="F6" s="71">
        <f>SUMIF(项目基本情况!D$12:I$12,C6,项目基本情况!D$15:I$15)</f>
        <v>31.19</v>
      </c>
      <c r="G6" s="72">
        <f>IF(ISERROR(ROUND(POWER(1+H6,D6-F6)*(POWER(1+H6,F6)-1)/(POWER(1+H6,D6)-1),3)),0,ROUND(POWER(1+H6,D6-F6)*(POWER(1+H6,F6)-1)/(POWER(1+H6,D6)-1),3))</f>
        <v>0.91100000000000003</v>
      </c>
      <c r="H6" s="799">
        <v>0.05</v>
      </c>
      <c r="I6" s="799">
        <v>5.5E-2</v>
      </c>
      <c r="J6" s="73">
        <v>8.5000000000000006E-2</v>
      </c>
      <c r="K6" s="1251">
        <f>SUMIF('数据-汇总表'!C$19:C$33,A6,'数据-汇总表'!E$19:E$33)</f>
        <v>28056.880000000005</v>
      </c>
      <c r="L6" s="800">
        <v>3500</v>
      </c>
      <c r="M6" s="74">
        <f t="shared" ref="M6:M14" si="0">ROUND(K6*L6/10000,0)</f>
        <v>9820</v>
      </c>
      <c r="N6" s="798">
        <v>0.95</v>
      </c>
      <c r="O6" s="74" t="str">
        <f>IF($N$5="成新度","——",ROUND(M6*N6,0))</f>
        <v>——</v>
      </c>
      <c r="P6" s="75" t="str">
        <f>IF($N$5="成新度","——",M6-O6)</f>
        <v>——</v>
      </c>
      <c r="Q6" s="801">
        <v>0.3</v>
      </c>
      <c r="R6" s="76">
        <f ca="1">SUMIF('数据-汇总表'!C$19:C$33,A6,'数据-汇总表'!R$19:R$27)</f>
        <v>12718.02</v>
      </c>
      <c r="S6" s="53">
        <f>IF('数据-汇总表'!$I$17="按面积比例",SUMIF('数据-汇总表'!C$19:C$33,A6,'数据-汇总表'!K$19:K$33),SUMIF('数据-汇总表'!C$19:C$33,A6,'数据-汇总表'!N$19:N$33))</f>
        <v>0</v>
      </c>
      <c r="T6" s="1443">
        <f>ROUND($L$14*S6/10000,0)</f>
        <v>0</v>
      </c>
      <c r="U6" s="77">
        <f>案例!O7</f>
        <v>4.3</v>
      </c>
      <c r="V6" s="78">
        <v>0.03</v>
      </c>
      <c r="W6" s="78">
        <v>0.15</v>
      </c>
      <c r="X6" s="1261"/>
      <c r="Y6" s="79">
        <v>0.95</v>
      </c>
      <c r="Z6" s="80"/>
      <c r="AA6" s="73"/>
      <c r="AB6" s="73"/>
      <c r="AC6" s="1261"/>
      <c r="AD6" s="81"/>
      <c r="AE6" s="1262">
        <f ca="1">IF(AN6="",0,SUMIF(INDIRECT("'"&amp;AN6&amp;"'"&amp;"!E:E"),$AE$5,INDIRECT("'"&amp;AN6&amp;"'"&amp;"!F:F")))</f>
        <v>31.19</v>
      </c>
      <c r="AF6" s="1804"/>
      <c r="AG6" s="146">
        <f>IF(AF6="",0,AE6-AF6)</f>
        <v>0</v>
      </c>
      <c r="AH6" s="82"/>
      <c r="AI6" s="84">
        <v>365</v>
      </c>
      <c r="AJ6" s="85"/>
      <c r="AK6" s="86">
        <v>0.02</v>
      </c>
      <c r="AL6" s="87">
        <v>2E-3</v>
      </c>
      <c r="AM6" s="88">
        <v>2.5000000000000001E-2</v>
      </c>
      <c r="AN6" s="2308" t="s">
        <v>3075</v>
      </c>
      <c r="AO6" s="54">
        <f ca="1">SUMIF(INDIRECT("'"&amp;AN6&amp;"'"&amp;"!A:A"),"总价",INDIRECT("'"&amp;AN6&amp;"'"&amp;"!B:B"))</f>
        <v>62233</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6"/>
      <c r="C16" s="1005"/>
      <c r="D16" s="2313"/>
      <c r="E16" s="96"/>
      <c r="F16" s="96"/>
      <c r="G16" s="97">
        <f>ROUND(SUMPRODUCT(G6:G13,K6:K13)/SUMPRODUCT((G6:G13&gt;0)*(K6:K13)),3)</f>
        <v>0.91100000000000003</v>
      </c>
      <c r="H16" s="98">
        <f>ROUND(SUMPRODUCT(H6:H13,K6:K13)/SUMPRODUCT((H6:H13&gt;0)*(K6:K13)),3)</f>
        <v>0.05</v>
      </c>
      <c r="I16" s="99"/>
      <c r="J16" s="99"/>
      <c r="K16" s="100">
        <f>SUM(K6:K15)</f>
        <v>28056.880000000005</v>
      </c>
      <c r="L16" s="101">
        <f>ROUND(M16*10000/SUM(K6:K14),0)</f>
        <v>3500</v>
      </c>
      <c r="M16" s="101">
        <f>SUM(M6:M14)</f>
        <v>9820</v>
      </c>
      <c r="N16" s="102">
        <f>ROUND(SUMPRODUCT(M6:M14,N6:N14)/M16,3)</f>
        <v>0.95</v>
      </c>
      <c r="O16" s="101">
        <f>SUM(O6:O14)</f>
        <v>0</v>
      </c>
      <c r="P16" s="101">
        <f>SUM(P6:P14)</f>
        <v>0</v>
      </c>
      <c r="Q16" s="103">
        <f>ROUND(SUMPRODUCT(Q6:Q13,K6:K13)/SUMPRODUCT((Q6:Q13&gt;0)*(K6:K13)),2)</f>
        <v>0.3</v>
      </c>
      <c r="R16" s="1255">
        <f ca="1">SUM(R6:R13)</f>
        <v>12718.02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29"/>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79"/>
      <c r="C18" s="2276"/>
      <c r="D18" s="2277"/>
      <c r="E18" s="2276"/>
      <c r="F18" s="2276"/>
      <c r="G18" s="2276"/>
      <c r="H18" s="2276"/>
      <c r="I18" s="2276"/>
      <c r="J18" s="2276"/>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2020</v>
      </c>
      <c r="B19" s="111">
        <v>0</v>
      </c>
      <c r="C19" s="2276" t="s">
        <v>2021</v>
      </c>
      <c r="D19" s="2277"/>
      <c r="E19" s="2276"/>
      <c r="F19" s="2276"/>
      <c r="G19" s="2276"/>
      <c r="H19" s="2276"/>
      <c r="I19" s="2276"/>
      <c r="J19" s="2276"/>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2022</v>
      </c>
      <c r="B20" s="112">
        <v>2</v>
      </c>
      <c r="C20" s="2276" t="s">
        <v>2023</v>
      </c>
      <c r="D20" s="2277"/>
      <c r="E20" s="2276"/>
      <c r="F20" s="2276"/>
      <c r="G20" s="2276"/>
      <c r="H20" s="2276"/>
      <c r="I20" s="2276"/>
      <c r="J20" s="2276"/>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2024</v>
      </c>
      <c r="B21" s="112">
        <v>2</v>
      </c>
      <c r="C21" s="2276"/>
      <c r="D21" s="2277"/>
      <c r="E21" s="2276"/>
      <c r="F21" s="2276"/>
      <c r="G21" s="2276"/>
      <c r="H21" s="2276"/>
      <c r="I21" s="2276"/>
      <c r="J21" s="2276"/>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2025</v>
      </c>
      <c r="B22" s="113">
        <f>B19+B20</f>
        <v>2</v>
      </c>
      <c r="C22" s="2276"/>
      <c r="D22" s="2277"/>
      <c r="E22" s="2276"/>
      <c r="F22" s="2276"/>
      <c r="G22" s="2276"/>
      <c r="H22" s="2276"/>
      <c r="I22" s="2276"/>
      <c r="J22" s="2276"/>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2026</v>
      </c>
      <c r="B23" s="113">
        <f>B19+B21</f>
        <v>2</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2027</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2028</v>
      </c>
      <c r="B26" s="2319" t="s">
        <v>2029</v>
      </c>
      <c r="C26" s="2320" t="s">
        <v>2030</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2031</v>
      </c>
      <c r="B27" s="115">
        <v>160</v>
      </c>
      <c r="C27" s="1764" t="s">
        <v>2032</v>
      </c>
      <c r="D27" s="2322"/>
      <c r="E27" s="1427"/>
      <c r="F27" s="1427"/>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2033</v>
      </c>
      <c r="B28" s="118">
        <v>200</v>
      </c>
      <c r="C28" s="2325"/>
      <c r="D28" s="2322"/>
      <c r="E28" s="1427"/>
      <c r="F28" s="1427"/>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2034</v>
      </c>
      <c r="B29" s="120">
        <v>0</v>
      </c>
      <c r="C29" s="1764" t="s">
        <v>2035</v>
      </c>
      <c r="D29" s="2322"/>
      <c r="E29" s="1427"/>
      <c r="F29" s="1427"/>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2036</v>
      </c>
      <c r="B30" s="721">
        <v>200</v>
      </c>
      <c r="C30" s="2325"/>
      <c r="D30" s="2322"/>
      <c r="E30" s="1427"/>
      <c r="F30" s="1427"/>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2037</v>
      </c>
      <c r="B31" s="119">
        <f>B30-B32</f>
        <v>200</v>
      </c>
      <c r="C31" s="1764"/>
      <c r="D31" s="2322"/>
      <c r="E31" s="1427"/>
      <c r="F31" s="1427"/>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2038</v>
      </c>
      <c r="B32" s="722">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2039</v>
      </c>
      <c r="B33" s="723">
        <v>0.03</v>
      </c>
      <c r="C33" s="1763" t="s">
        <v>2040</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2041</v>
      </c>
      <c r="B34" s="121">
        <v>0.03</v>
      </c>
      <c r="C34" s="1763" t="s">
        <v>2042</v>
      </c>
      <c r="D34" s="2277" t="s">
        <v>2043</v>
      </c>
      <c r="E34" s="729"/>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2044</v>
      </c>
      <c r="B35" s="118">
        <v>200</v>
      </c>
      <c r="C35" s="1763" t="s">
        <v>2045</v>
      </c>
      <c r="D35" s="2322"/>
      <c r="E35" s="1427"/>
      <c r="F35" s="1427"/>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2046</v>
      </c>
      <c r="B36" s="122">
        <v>1.4999999999999999E-2</v>
      </c>
      <c r="C36" s="1763" t="s">
        <v>2047</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2048</v>
      </c>
      <c r="B37" s="123">
        <v>0.03</v>
      </c>
      <c r="C37" s="1763" t="s">
        <v>2049</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2050</v>
      </c>
      <c r="B38" s="121">
        <v>0.03</v>
      </c>
      <c r="C38" s="1763" t="s">
        <v>2049</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2051</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2052</v>
      </c>
      <c r="B40" s="1300">
        <f ca="1">存贷款利率!G1</f>
        <v>4.7500000000000001E-2</v>
      </c>
      <c r="C40" s="1763" t="s">
        <v>2053</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2054</v>
      </c>
      <c r="B41" s="124">
        <f>B42+B43</f>
        <v>5.5000000000000007E-2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2055</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2056</v>
      </c>
      <c r="B43" s="126">
        <f>B42*(B44+B45+B46)+B47</f>
        <v>5.000000000000001E-3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2057</v>
      </c>
      <c r="B44" s="127">
        <v>0.05</v>
      </c>
      <c r="C44" s="1763" t="s">
        <v>2058</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2059</v>
      </c>
      <c r="B45" s="125">
        <v>0.03</v>
      </c>
      <c r="C45" s="1764" t="s">
        <v>2060</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2061</v>
      </c>
      <c r="B46" s="125">
        <v>0.02</v>
      </c>
      <c r="C46" s="1764" t="s">
        <v>2062</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2063</v>
      </c>
      <c r="B47" s="128"/>
      <c r="C47" s="1764" t="s">
        <v>2064</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2065</v>
      </c>
      <c r="B48" s="129">
        <v>0.03</v>
      </c>
      <c r="C48" s="1771" t="s">
        <v>2066</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2067</v>
      </c>
      <c r="B49" s="125">
        <v>5.0000000000000001E-4</v>
      </c>
      <c r="C49" s="1771" t="s">
        <v>2068</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2069</v>
      </c>
      <c r="B50" s="130">
        <v>1.2E-2</v>
      </c>
      <c r="C50" s="1427"/>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2070</v>
      </c>
      <c r="B51" s="131">
        <v>0.12</v>
      </c>
      <c r="C51" s="1427"/>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2071</v>
      </c>
      <c r="B52" s="132">
        <f>SUMIF(A54:A63,B53,B54:B63)</f>
        <v>1.5</v>
      </c>
      <c r="C52" s="1427"/>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2072</v>
      </c>
      <c r="B53" s="2335" t="s">
        <v>56</v>
      </c>
      <c r="C53" s="1427" t="s">
        <v>2073</v>
      </c>
      <c r="D53" s="2336" t="s">
        <v>2074</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2075</v>
      </c>
      <c r="B54" s="83"/>
      <c r="C54" s="1427">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2076</v>
      </c>
      <c r="B55" s="83"/>
      <c r="C55" s="1427">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2077</v>
      </c>
      <c r="B56" s="83"/>
      <c r="C56" s="1427">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2078</v>
      </c>
      <c r="B57" s="83"/>
      <c r="C57" s="1427">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2079</v>
      </c>
      <c r="B58" s="83"/>
      <c r="C58" s="1427">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2080</v>
      </c>
      <c r="B59" s="83">
        <v>1.5</v>
      </c>
      <c r="C59" s="1427">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2081</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2082</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2083</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2084</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5"/>
      <c r="L64" s="795"/>
    </row>
    <row r="65" spans="1:12" s="964" customFormat="1">
      <c r="A65" s="2340"/>
      <c r="D65" s="2341"/>
      <c r="K65" s="795"/>
      <c r="L65" s="795"/>
    </row>
    <row r="66" spans="1:12" s="964" customFormat="1">
      <c r="A66" s="2340"/>
      <c r="D66" s="2341"/>
      <c r="K66" s="795"/>
      <c r="L66" s="795"/>
    </row>
    <row r="67" spans="1:12" s="964" customFormat="1">
      <c r="A67" s="2340"/>
      <c r="D67" s="2341"/>
      <c r="K67" s="795"/>
      <c r="L67" s="795"/>
    </row>
    <row r="68" spans="1:12" s="964" customFormat="1">
      <c r="A68" s="2340"/>
      <c r="D68" s="2341"/>
      <c r="K68" s="795"/>
      <c r="L68" s="795"/>
    </row>
    <row r="69" spans="1:12" s="964" customFormat="1">
      <c r="A69" s="2340"/>
      <c r="D69" s="2341"/>
      <c r="K69" s="795"/>
      <c r="L69" s="795"/>
    </row>
    <row r="70" spans="1:12" s="964" customFormat="1">
      <c r="A70" s="2340"/>
      <c r="D70" s="2341"/>
      <c r="K70" s="795"/>
      <c r="L70" s="795"/>
    </row>
    <row r="71" spans="1:12" s="964" customFormat="1">
      <c r="A71" s="2340"/>
      <c r="D71" s="2341"/>
      <c r="K71" s="795"/>
      <c r="L71" s="795"/>
    </row>
    <row r="72" spans="1:12" s="964" customFormat="1">
      <c r="A72" s="2340"/>
      <c r="D72" s="2341"/>
      <c r="K72" s="795"/>
      <c r="L72" s="795"/>
    </row>
    <row r="73" spans="1:12" s="964" customFormat="1">
      <c r="A73" s="2340"/>
      <c r="D73" s="2341"/>
      <c r="K73" s="795"/>
      <c r="L73" s="795"/>
    </row>
    <row r="74" spans="1:12" s="964" customFormat="1">
      <c r="A74" s="2340"/>
      <c r="D74" s="2341"/>
      <c r="K74" s="795"/>
      <c r="L74" s="795"/>
    </row>
    <row r="75" spans="1:12" s="964" customFormat="1">
      <c r="A75" s="2340"/>
      <c r="D75" s="2341"/>
      <c r="K75" s="795"/>
      <c r="L75" s="795"/>
    </row>
    <row r="76" spans="1:12" s="964" customFormat="1">
      <c r="A76" s="2340"/>
      <c r="D76" s="2341"/>
      <c r="K76" s="795"/>
      <c r="L76" s="795"/>
    </row>
    <row r="77" spans="1:12" s="964" customFormat="1">
      <c r="A77" s="2340"/>
      <c r="D77" s="2341"/>
      <c r="K77" s="795"/>
      <c r="L77" s="795"/>
    </row>
    <row r="78" spans="1:12" s="964" customFormat="1">
      <c r="A78" s="2340"/>
      <c r="D78" s="2341"/>
      <c r="K78" s="795"/>
      <c r="L78" s="795"/>
    </row>
    <row r="79" spans="1:12" s="964" customFormat="1">
      <c r="A79" s="2340"/>
      <c r="D79" s="2341"/>
      <c r="K79" s="795"/>
      <c r="L79" s="795"/>
    </row>
    <row r="80" spans="1:12" s="964" customFormat="1">
      <c r="A80" s="2340"/>
      <c r="D80" s="2341"/>
      <c r="K80" s="795"/>
      <c r="L80" s="795"/>
    </row>
    <row r="81" spans="1:12" s="964" customFormat="1">
      <c r="A81" s="2340"/>
      <c r="D81" s="2341"/>
      <c r="K81" s="795"/>
      <c r="L81" s="795"/>
    </row>
    <row r="82" spans="1:12" s="964" customFormat="1">
      <c r="A82" s="2340"/>
      <c r="D82" s="2341"/>
      <c r="K82" s="795"/>
      <c r="L82" s="795"/>
    </row>
    <row r="83" spans="1:12" s="964" customFormat="1">
      <c r="A83" s="2340"/>
      <c r="D83" s="2341"/>
      <c r="K83" s="795"/>
      <c r="L83" s="795"/>
    </row>
    <row r="84" spans="1:12" s="964" customFormat="1">
      <c r="A84" s="2340"/>
      <c r="D84" s="2341"/>
      <c r="K84" s="795"/>
      <c r="L84" s="795"/>
    </row>
    <row r="85" spans="1:12" s="964" customFormat="1">
      <c r="A85" s="2340"/>
      <c r="D85" s="2341"/>
      <c r="K85" s="795"/>
      <c r="L85" s="795"/>
    </row>
    <row r="86" spans="1:12" s="964" customFormat="1">
      <c r="A86" s="2340"/>
      <c r="D86" s="2341"/>
      <c r="K86" s="795"/>
      <c r="L86" s="795"/>
    </row>
    <row r="87" spans="1:12" s="964" customFormat="1">
      <c r="A87" s="2340"/>
      <c r="D87" s="2341"/>
      <c r="K87" s="795"/>
      <c r="L87" s="795"/>
    </row>
    <row r="88" spans="1:12" s="964" customFormat="1">
      <c r="A88" s="2340"/>
      <c r="D88" s="2341"/>
      <c r="K88" s="795"/>
      <c r="L88" s="795"/>
    </row>
    <row r="89" spans="1:12" s="964" customFormat="1">
      <c r="A89" s="2340"/>
      <c r="D89" s="2341"/>
      <c r="K89" s="795"/>
      <c r="L89" s="795"/>
    </row>
    <row r="90" spans="1:12" s="964" customFormat="1">
      <c r="A90" s="2340"/>
      <c r="D90" s="2341"/>
      <c r="K90" s="795"/>
      <c r="L90" s="795"/>
    </row>
    <row r="91" spans="1:12" s="964" customFormat="1">
      <c r="A91" s="2340"/>
      <c r="D91" s="2341"/>
      <c r="K91" s="795"/>
      <c r="L91" s="795"/>
    </row>
    <row r="92" spans="1:12" s="964" customFormat="1">
      <c r="A92" s="2340"/>
      <c r="D92" s="2341"/>
      <c r="K92" s="795"/>
      <c r="L92" s="795"/>
    </row>
    <row r="93" spans="1:12" s="964" customFormat="1">
      <c r="A93" s="2340"/>
      <c r="D93" s="2341"/>
      <c r="K93" s="795"/>
      <c r="L93" s="795"/>
    </row>
    <row r="94" spans="1:12" s="964" customFormat="1">
      <c r="A94" s="2340"/>
      <c r="D94" s="2341"/>
      <c r="K94" s="795"/>
      <c r="L94" s="795"/>
    </row>
    <row r="95" spans="1:12" s="964" customFormat="1">
      <c r="A95" s="2340"/>
      <c r="D95" s="2341"/>
      <c r="K95" s="795"/>
      <c r="L95" s="795"/>
    </row>
    <row r="96" spans="1:12" s="964" customFormat="1">
      <c r="A96" s="2340"/>
      <c r="D96" s="2341"/>
      <c r="K96" s="795"/>
      <c r="L96" s="795"/>
    </row>
    <row r="97" spans="1:12" s="964" customFormat="1">
      <c r="A97" s="2340"/>
      <c r="D97" s="2341"/>
      <c r="K97" s="795"/>
      <c r="L97" s="795"/>
    </row>
    <row r="98" spans="1:12" s="964" customFormat="1">
      <c r="A98" s="2340"/>
      <c r="D98" s="2341"/>
      <c r="K98" s="795"/>
      <c r="L98" s="795"/>
    </row>
    <row r="99" spans="1:12" s="964" customFormat="1">
      <c r="A99" s="2340"/>
      <c r="D99" s="2341"/>
      <c r="K99" s="795"/>
      <c r="L99" s="795"/>
    </row>
    <row r="100" spans="1:12" s="964" customFormat="1">
      <c r="A100" s="2340"/>
      <c r="D100" s="2341"/>
      <c r="K100" s="795"/>
      <c r="L100" s="795"/>
    </row>
    <row r="101" spans="1:12" s="964" customFormat="1">
      <c r="A101" s="2340"/>
      <c r="D101" s="2341"/>
      <c r="K101" s="795"/>
      <c r="L101" s="795"/>
    </row>
    <row r="102" spans="1:12" s="964" customFormat="1">
      <c r="A102" s="2340"/>
      <c r="D102" s="2341"/>
      <c r="K102" s="795"/>
      <c r="L102" s="795"/>
    </row>
    <row r="103" spans="1:12" s="964" customFormat="1">
      <c r="A103" s="2340"/>
      <c r="D103" s="2341"/>
      <c r="K103" s="795"/>
      <c r="L103" s="795"/>
    </row>
    <row r="104" spans="1:12" s="964" customFormat="1">
      <c r="A104" s="2340"/>
      <c r="D104" s="2341"/>
      <c r="K104" s="795"/>
      <c r="L104" s="795"/>
    </row>
    <row r="105" spans="1:12" s="964" customFormat="1">
      <c r="A105" s="2340"/>
      <c r="D105" s="2341"/>
      <c r="K105" s="795"/>
      <c r="L105" s="795"/>
    </row>
    <row r="106" spans="1:12" s="964" customFormat="1">
      <c r="A106" s="2340"/>
      <c r="D106" s="2341"/>
      <c r="K106" s="795"/>
      <c r="L106" s="795"/>
    </row>
    <row r="107" spans="1:12" s="964" customFormat="1">
      <c r="A107" s="2340"/>
      <c r="D107" s="2341"/>
      <c r="K107" s="795"/>
      <c r="L107" s="795"/>
    </row>
    <row r="108" spans="1:12" s="964" customFormat="1">
      <c r="A108" s="2340"/>
      <c r="D108" s="2341"/>
      <c r="K108" s="795"/>
      <c r="L108" s="795"/>
    </row>
    <row r="109" spans="1:12" s="964" customFormat="1">
      <c r="A109" s="2340"/>
      <c r="D109" s="2341"/>
      <c r="K109" s="795"/>
      <c r="L109" s="795"/>
    </row>
    <row r="110" spans="1:12" s="964" customFormat="1">
      <c r="A110" s="2340"/>
      <c r="D110" s="2341"/>
      <c r="K110" s="795"/>
      <c r="L110" s="795"/>
    </row>
    <row r="111" spans="1:12" s="964" customFormat="1">
      <c r="A111" s="2340"/>
      <c r="D111" s="2341"/>
      <c r="K111" s="795"/>
      <c r="L111" s="795"/>
    </row>
    <row r="112" spans="1:12" s="964" customFormat="1">
      <c r="A112" s="2340"/>
      <c r="D112" s="2341"/>
      <c r="K112" s="795"/>
      <c r="L112" s="795"/>
    </row>
    <row r="113" spans="1:12" s="964" customFormat="1">
      <c r="A113" s="2340"/>
      <c r="D113" s="2341"/>
      <c r="K113" s="795"/>
      <c r="L113" s="795"/>
    </row>
    <row r="114" spans="1:12" s="964" customFormat="1">
      <c r="A114" s="2340"/>
      <c r="D114" s="2341"/>
      <c r="K114" s="795"/>
      <c r="L114" s="795"/>
    </row>
    <row r="115" spans="1:12" s="964" customFormat="1">
      <c r="A115" s="2340"/>
      <c r="D115" s="2341"/>
      <c r="K115" s="795"/>
      <c r="L115" s="795"/>
    </row>
    <row r="116" spans="1:12" s="964" customFormat="1">
      <c r="A116" s="2340"/>
      <c r="D116" s="2341"/>
      <c r="K116" s="795"/>
      <c r="L116" s="795"/>
    </row>
    <row r="117" spans="1:12" s="964" customFormat="1">
      <c r="A117" s="2340"/>
      <c r="D117" s="2341"/>
      <c r="K117" s="795"/>
      <c r="L117" s="795"/>
    </row>
    <row r="118" spans="1:12" s="964" customFormat="1">
      <c r="A118" s="2340"/>
      <c r="D118" s="2341"/>
      <c r="K118" s="795"/>
      <c r="L118" s="795"/>
    </row>
    <row r="119" spans="1:12" s="964" customFormat="1">
      <c r="A119" s="2340"/>
      <c r="D119" s="2341"/>
      <c r="K119" s="795"/>
      <c r="L119" s="795"/>
    </row>
    <row r="120" spans="1:12" s="964" customFormat="1">
      <c r="A120" s="2340"/>
      <c r="D120" s="2341"/>
      <c r="K120" s="795"/>
      <c r="L120" s="795"/>
    </row>
    <row r="121" spans="1:12" s="964" customFormat="1">
      <c r="A121" s="2340"/>
      <c r="D121" s="2341"/>
      <c r="K121" s="795"/>
      <c r="L121" s="795"/>
    </row>
    <row r="122" spans="1:12" s="964" customFormat="1">
      <c r="A122" s="2340"/>
      <c r="D122" s="2341"/>
      <c r="K122" s="795"/>
      <c r="L122" s="795"/>
    </row>
    <row r="123" spans="1:12" s="964" customFormat="1">
      <c r="A123" s="2340"/>
      <c r="D123" s="2341"/>
      <c r="K123" s="795"/>
      <c r="L123" s="795"/>
    </row>
    <row r="124" spans="1:12" s="964" customFormat="1">
      <c r="A124" s="2340"/>
      <c r="D124" s="2341"/>
      <c r="K124" s="795"/>
      <c r="L124" s="795"/>
    </row>
    <row r="125" spans="1:12" s="964" customFormat="1">
      <c r="A125" s="2340"/>
      <c r="D125" s="2341"/>
      <c r="K125" s="795"/>
      <c r="L125" s="795"/>
    </row>
    <row r="126" spans="1:12" s="964" customFormat="1">
      <c r="A126" s="2340"/>
      <c r="D126" s="2341"/>
      <c r="K126" s="795"/>
      <c r="L126" s="795"/>
    </row>
    <row r="127" spans="1:12" s="964" customFormat="1">
      <c r="A127" s="2340"/>
      <c r="D127" s="2341"/>
      <c r="K127" s="795"/>
      <c r="L127" s="795"/>
    </row>
    <row r="128" spans="1:12" s="964" customFormat="1">
      <c r="A128" s="2340"/>
      <c r="D128" s="2341"/>
      <c r="K128" s="795"/>
      <c r="L128" s="795"/>
    </row>
    <row r="129" spans="1:12" s="964" customFormat="1">
      <c r="A129" s="2340"/>
      <c r="D129" s="2341"/>
      <c r="K129" s="795"/>
      <c r="L129" s="795"/>
    </row>
    <row r="130" spans="1:12" s="964" customFormat="1">
      <c r="A130" s="2340"/>
      <c r="D130" s="2341"/>
      <c r="K130" s="795"/>
      <c r="L130" s="795"/>
    </row>
    <row r="131" spans="1:12" s="964" customFormat="1">
      <c r="A131" s="2340"/>
      <c r="D131" s="2341"/>
      <c r="K131" s="795"/>
      <c r="L131" s="795"/>
    </row>
    <row r="132" spans="1:12" s="964" customFormat="1">
      <c r="A132" s="2340"/>
      <c r="D132" s="2341"/>
      <c r="K132" s="795"/>
      <c r="L132" s="795"/>
    </row>
    <row r="133" spans="1:12" s="964" customFormat="1">
      <c r="A133" s="2340"/>
      <c r="D133" s="2341"/>
      <c r="K133" s="795"/>
      <c r="L133" s="795"/>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6" t="s">
        <v>2085</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4" t="s">
        <v>2088</v>
      </c>
      <c r="B3" s="1268" t="s">
        <v>2089</v>
      </c>
      <c r="C3" s="2369" t="s">
        <v>2090</v>
      </c>
      <c r="D3" s="2370"/>
      <c r="E3" s="430" t="s">
        <v>2088</v>
      </c>
      <c r="F3" s="2371" t="s">
        <v>2091</v>
      </c>
      <c r="G3" s="2372" t="s">
        <v>2092</v>
      </c>
      <c r="H3" s="2367"/>
      <c r="I3" s="2367"/>
      <c r="J3" s="2367"/>
      <c r="K3" s="2367"/>
      <c r="L3" s="2367"/>
      <c r="M3" s="2367"/>
      <c r="N3" s="2367"/>
      <c r="O3" s="2367"/>
      <c r="P3" s="2367"/>
      <c r="Q3" s="2367"/>
      <c r="R3" s="2367"/>
    </row>
    <row r="4" spans="1:29" ht="41.25">
      <c r="A4" s="430"/>
      <c r="B4" s="1795" t="s">
        <v>2093</v>
      </c>
      <c r="C4" s="2373" t="s">
        <v>2094</v>
      </c>
      <c r="D4" s="2370"/>
      <c r="E4" s="2374"/>
      <c r="F4" s="41" t="s">
        <v>2095</v>
      </c>
      <c r="G4" s="2375" t="s">
        <v>2096</v>
      </c>
      <c r="H4" s="2367"/>
      <c r="I4" s="2367"/>
      <c r="J4" s="2367"/>
      <c r="K4" s="2367"/>
      <c r="L4" s="2367"/>
      <c r="M4" s="2367"/>
      <c r="N4" s="2367"/>
      <c r="O4" s="2367"/>
      <c r="P4" s="2367"/>
      <c r="Q4" s="2367"/>
      <c r="R4" s="2367"/>
    </row>
    <row r="5" spans="1:29" ht="41.25">
      <c r="A5" s="430"/>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0"/>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0"/>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0"/>
      <c r="B8" s="1795" t="s">
        <v>2102</v>
      </c>
      <c r="C8" s="2375" t="s">
        <v>2103</v>
      </c>
      <c r="D8" s="2376"/>
      <c r="E8" s="2376"/>
      <c r="F8" s="1133"/>
      <c r="G8" s="1133"/>
      <c r="H8" s="2367"/>
      <c r="I8" s="2367"/>
      <c r="J8" s="2367"/>
      <c r="K8" s="2367"/>
      <c r="L8" s="2367"/>
      <c r="M8" s="2367"/>
      <c r="N8" s="2367"/>
      <c r="O8" s="2367"/>
      <c r="P8" s="2367"/>
      <c r="Q8" s="2367"/>
      <c r="R8" s="2367"/>
    </row>
    <row r="9" spans="1:29" ht="27">
      <c r="A9" s="430"/>
      <c r="B9" s="1795" t="s">
        <v>2106</v>
      </c>
      <c r="C9" s="2373" t="s">
        <v>2107</v>
      </c>
      <c r="D9" s="2370"/>
      <c r="E9" s="2376"/>
      <c r="F9" s="1133"/>
      <c r="G9" s="1133"/>
      <c r="H9" s="2367"/>
      <c r="I9" s="2367"/>
      <c r="J9" s="2367"/>
      <c r="K9" s="2367"/>
      <c r="L9" s="2367"/>
      <c r="M9" s="2367"/>
      <c r="N9" s="2367"/>
      <c r="O9" s="2367"/>
      <c r="P9" s="2367"/>
      <c r="Q9" s="2367"/>
      <c r="R9" s="2367"/>
    </row>
    <row r="10" spans="1:29" s="116" customFormat="1" ht="15.75" thickBot="1">
      <c r="A10" s="2380"/>
      <c r="B10" s="2381" t="s">
        <v>2108</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7" t="s">
        <v>2112</v>
      </c>
      <c r="B15" s="1267" t="s">
        <v>2089</v>
      </c>
      <c r="C15" s="2402" t="str">
        <f>C3</f>
        <v>估价对象周边居住用地比例、居住小区规模和社区发展完善程度，综合评价居住社区成熟度一般</v>
      </c>
      <c r="D15" s="2370"/>
      <c r="E15" s="2403" t="s">
        <v>2113</v>
      </c>
      <c r="F15" s="1267" t="s">
        <v>2114</v>
      </c>
      <c r="G15" s="134"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5"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69"/>
    </row>
    <row r="18" spans="1:18" ht="57">
      <c r="A18" s="644"/>
      <c r="B18" s="2407" t="s">
        <v>2101</v>
      </c>
      <c r="C18" s="135" t="str">
        <f>C6</f>
        <v>估价对象周边道路状况、公共交通通达情况、停车便捷程度，综合评价交通便捷度较好</v>
      </c>
      <c r="D18" s="2376"/>
      <c r="E18" s="2406"/>
      <c r="F18" s="2407" t="s">
        <v>2104</v>
      </c>
      <c r="G18" s="135" t="str">
        <f>G7</f>
        <v>该园区内是否有污染型企业，绿化情况，卫生条件，整体环境状况判断</v>
      </c>
    </row>
    <row r="19" spans="1:18" ht="28.5">
      <c r="A19" s="644"/>
      <c r="B19" s="2407" t="s">
        <v>2116</v>
      </c>
      <c r="C19" s="1569"/>
      <c r="D19" s="2370"/>
      <c r="E19" s="2406"/>
      <c r="F19" s="1795" t="s">
        <v>2099</v>
      </c>
      <c r="G19" s="135"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5" t="str">
        <f>G6</f>
        <v>估价对象所在区域基础设施水平</v>
      </c>
    </row>
    <row r="21" spans="1:18" ht="28.5">
      <c r="A21" s="644"/>
      <c r="B21" s="1795" t="s">
        <v>2099</v>
      </c>
      <c r="C21" s="135" t="str">
        <f>C7</f>
        <v>估价对象所在区域公共配套设施齐备情况</v>
      </c>
      <c r="D21" s="2370"/>
      <c r="E21" s="2406"/>
      <c r="F21" s="2407" t="s">
        <v>2119</v>
      </c>
      <c r="G21" s="2408"/>
    </row>
    <row r="22" spans="1:18" ht="13.5" customHeight="1">
      <c r="A22" s="644"/>
      <c r="B22" s="1795" t="s">
        <v>2102</v>
      </c>
      <c r="C22" s="135" t="str">
        <f>C8</f>
        <v>估价对象所在区域基础设施水平</v>
      </c>
      <c r="D22" s="2370"/>
      <c r="E22" s="2406"/>
      <c r="F22" s="2407" t="s">
        <v>2108</v>
      </c>
      <c r="G22" s="1569"/>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8" customWidth="1"/>
    <col min="2" max="9" width="15.75" style="1738" customWidth="1"/>
    <col min="10" max="16384" width="9" style="1738"/>
  </cols>
  <sheetData>
    <row r="1" spans="1:10" ht="16.5">
      <c r="A1" s="1743" t="s">
        <v>1365</v>
      </c>
      <c r="B1" s="1743">
        <f>SUM(B14:B23)</f>
        <v>28056.880000000005</v>
      </c>
      <c r="C1" s="1742"/>
      <c r="D1" s="1742"/>
      <c r="E1" s="1742"/>
      <c r="F1" s="1742"/>
      <c r="G1" s="1740"/>
    </row>
    <row r="2" spans="1:10" ht="16.5">
      <c r="A2" s="1743" t="s">
        <v>1353</v>
      </c>
      <c r="B2" s="1743">
        <f>SUM(C14:C23)</f>
        <v>12718.02</v>
      </c>
      <c r="C2" s="1742"/>
      <c r="D2" s="1742"/>
      <c r="E2" s="1742"/>
      <c r="F2" s="1742"/>
      <c r="G2" s="1740"/>
    </row>
    <row r="3" spans="1:10" ht="16.5">
      <c r="A3" s="1743" t="s">
        <v>1362</v>
      </c>
      <c r="B3" s="1744">
        <f>项目基本情况!D3</f>
        <v>43208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71259</v>
      </c>
      <c r="C5" s="1743">
        <f ca="1">ROUND(B5*10000/$B$1,0)</f>
        <v>25398</v>
      </c>
      <c r="D5" s="1743">
        <f ca="1">ROUND(B5*10000/$B$2,0)</f>
        <v>56030</v>
      </c>
      <c r="E5" s="1742"/>
      <c r="F5" s="1740"/>
      <c r="G5" s="1740"/>
    </row>
    <row r="6" spans="1:10" ht="16.5">
      <c r="A6" s="1743" t="s">
        <v>1356</v>
      </c>
      <c r="B6" s="1743">
        <f ca="1">SUM(G14:G23)</f>
        <v>71259</v>
      </c>
      <c r="C6" s="1743">
        <f ca="1">ROUND(B6*10000/$B$1,0)</f>
        <v>25398</v>
      </c>
      <c r="D6" s="1743">
        <f ca="1">ROUND(B6*10000/$B$2,0)</f>
        <v>56030</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28056.880000000005</v>
      </c>
      <c r="C14" s="1741">
        <f>结果表!C118</f>
        <v>12718.02</v>
      </c>
      <c r="D14" s="1741">
        <f ca="1">结果表!H118</f>
        <v>71259</v>
      </c>
      <c r="E14" s="1741">
        <f ca="1">ROUND(D14*10000/B14,0)</f>
        <v>25398</v>
      </c>
      <c r="F14" s="1741">
        <f ca="1">ROUND(D14*10000/C14,0)</f>
        <v>56030</v>
      </c>
      <c r="G14" s="1741">
        <f ca="1">结果表!D122</f>
        <v>71259</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106" zoomScaleNormal="100" zoomScaleSheetLayoutView="106" zoomScalePageLayoutView="80" workbookViewId="0">
      <selection activeCell="F29" sqref="F29"/>
    </sheetView>
  </sheetViews>
  <sheetFormatPr defaultColWidth="12.625" defaultRowHeight="21.75" customHeight="1"/>
  <cols>
    <col min="1" max="2" width="12.625" style="2424"/>
    <col min="3" max="4" width="12.625" style="2424" customWidth="1"/>
    <col min="5" max="9" width="12.625" style="2424"/>
    <col min="10" max="11" width="12.625" style="792" customWidth="1"/>
    <col min="12" max="12" width="12.625" style="792"/>
    <col min="13" max="13" width="14.125" style="792" bestFit="1" customWidth="1"/>
    <col min="14" max="26" width="12.625" style="792"/>
    <col min="27" max="35" width="12.625" style="2423"/>
    <col min="36" max="16384" width="12.625" style="2424"/>
  </cols>
  <sheetData>
    <row r="1" spans="1:12" ht="21.75" customHeight="1" thickBot="1">
      <c r="A1" s="2224" t="s">
        <v>2122</v>
      </c>
      <c r="B1" s="2418"/>
      <c r="C1" s="2419" t="s">
        <v>1377</v>
      </c>
      <c r="D1" s="2418"/>
      <c r="E1" s="2418"/>
      <c r="F1" s="2420" t="s">
        <v>2123</v>
      </c>
      <c r="G1" s="2069" t="s">
        <v>3060</v>
      </c>
      <c r="H1" s="2421" t="str">
        <f>IF(G1="现房","——","估价对象范围")</f>
        <v>——</v>
      </c>
      <c r="I1" s="2422" t="s">
        <v>3088</v>
      </c>
    </row>
    <row r="2" spans="1:12" ht="21.75" customHeight="1" thickBot="1">
      <c r="A2" s="3120" t="str">
        <f>项目基本情况!S2</f>
        <v>北京市房地产</v>
      </c>
      <c r="B2" s="3121"/>
      <c r="C2" s="3121"/>
      <c r="D2" s="3121"/>
      <c r="E2" s="3121"/>
      <c r="F2" s="3121"/>
      <c r="G2" s="3121"/>
      <c r="H2" s="3121"/>
      <c r="I2" s="3122"/>
    </row>
    <row r="3" spans="1:12" ht="12.75">
      <c r="A3" s="3124" t="s">
        <v>2124</v>
      </c>
      <c r="B3" s="3125"/>
      <c r="C3" s="3125"/>
      <c r="D3" s="3125"/>
      <c r="E3" s="3125"/>
      <c r="F3" s="3125"/>
      <c r="G3" s="3125"/>
      <c r="H3" s="3125"/>
      <c r="I3" s="3125"/>
    </row>
    <row r="4" spans="1:12" ht="14.25">
      <c r="A4" s="2425" t="s">
        <v>2125</v>
      </c>
      <c r="B4" s="2426" t="s">
        <v>2126</v>
      </c>
      <c r="C4" s="2427" t="s">
        <v>3130</v>
      </c>
      <c r="D4" s="2427" t="s">
        <v>3075</v>
      </c>
      <c r="E4" s="3104" t="s">
        <v>2127</v>
      </c>
      <c r="F4" s="3117"/>
      <c r="G4" s="3117"/>
      <c r="H4" s="3117"/>
      <c r="I4" s="3105"/>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2128</v>
      </c>
      <c r="B5" s="3021">
        <v>25</v>
      </c>
      <c r="C5" s="3126"/>
      <c r="D5" s="3123"/>
      <c r="E5" s="139" t="s">
        <v>2129</v>
      </c>
      <c r="F5" s="2429"/>
      <c r="G5" s="2429"/>
      <c r="H5" s="2429"/>
      <c r="I5" s="1831"/>
    </row>
    <row r="6" spans="1:12" ht="12.75">
      <c r="A6" s="3095"/>
      <c r="B6" s="3021"/>
      <c r="C6" s="3128"/>
      <c r="D6" s="3123"/>
      <c r="E6" s="139" t="s">
        <v>2130</v>
      </c>
      <c r="F6" s="2429"/>
      <c r="G6" s="2429"/>
      <c r="H6" s="2429"/>
      <c r="I6" s="1831"/>
    </row>
    <row r="7" spans="1:12" ht="12.75">
      <c r="A7" s="3095"/>
      <c r="B7" s="3021"/>
      <c r="C7" s="3127"/>
      <c r="D7" s="3123"/>
      <c r="E7" s="139" t="s">
        <v>2131</v>
      </c>
      <c r="F7" s="2429"/>
      <c r="G7" s="2429"/>
      <c r="H7" s="2429"/>
      <c r="I7" s="1831"/>
    </row>
    <row r="8" spans="1:12" ht="12.75">
      <c r="A8" s="3095" t="s">
        <v>2132</v>
      </c>
      <c r="B8" s="3021">
        <v>15</v>
      </c>
      <c r="C8" s="3126"/>
      <c r="D8" s="3123"/>
      <c r="E8" s="139" t="s">
        <v>2133</v>
      </c>
      <c r="F8" s="2429"/>
      <c r="G8" s="2429"/>
      <c r="H8" s="2429"/>
      <c r="I8" s="1831"/>
    </row>
    <row r="9" spans="1:12" ht="12.75">
      <c r="A9" s="3095"/>
      <c r="B9" s="3021"/>
      <c r="C9" s="3127"/>
      <c r="D9" s="3123"/>
      <c r="E9" s="139" t="s">
        <v>2134</v>
      </c>
      <c r="F9" s="2429"/>
      <c r="G9" s="2429"/>
      <c r="H9" s="2429"/>
      <c r="I9" s="1831"/>
    </row>
    <row r="10" spans="1:12" ht="12.75">
      <c r="A10" s="3095" t="s">
        <v>2135</v>
      </c>
      <c r="B10" s="3021">
        <v>15</v>
      </c>
      <c r="C10" s="3126"/>
      <c r="D10" s="3123"/>
      <c r="E10" s="139" t="s">
        <v>2136</v>
      </c>
      <c r="F10" s="2429"/>
      <c r="G10" s="2429"/>
      <c r="H10" s="2429"/>
      <c r="I10" s="1831"/>
    </row>
    <row r="11" spans="1:12" ht="12.75">
      <c r="A11" s="3095"/>
      <c r="B11" s="3021"/>
      <c r="C11" s="3127"/>
      <c r="D11" s="3123"/>
      <c r="E11" s="139" t="s">
        <v>2137</v>
      </c>
      <c r="F11" s="2429"/>
      <c r="G11" s="2429"/>
      <c r="H11" s="2429"/>
      <c r="I11" s="1831"/>
    </row>
    <row r="12" spans="1:12" ht="12.75">
      <c r="A12" s="3095" t="s">
        <v>2138</v>
      </c>
      <c r="B12" s="3021">
        <v>15</v>
      </c>
      <c r="C12" s="3126"/>
      <c r="D12" s="3123"/>
      <c r="E12" s="139" t="s">
        <v>2139</v>
      </c>
      <c r="F12" s="2429"/>
      <c r="G12" s="2429"/>
      <c r="H12" s="2429"/>
      <c r="I12" s="1831"/>
    </row>
    <row r="13" spans="1:12" ht="12.75">
      <c r="A13" s="3095"/>
      <c r="B13" s="3021"/>
      <c r="C13" s="3127"/>
      <c r="D13" s="3123"/>
      <c r="E13" s="139" t="s">
        <v>2140</v>
      </c>
      <c r="F13" s="2429"/>
      <c r="G13" s="2429"/>
      <c r="H13" s="2429"/>
      <c r="I13" s="1831"/>
    </row>
    <row r="14" spans="1:12" ht="12.75">
      <c r="A14" s="3095" t="s">
        <v>2141</v>
      </c>
      <c r="B14" s="3021">
        <v>30</v>
      </c>
      <c r="C14" s="3139">
        <v>0.45</v>
      </c>
      <c r="D14" s="3113">
        <f>1-C14</f>
        <v>0.55000000000000004</v>
      </c>
      <c r="E14" s="139" t="s">
        <v>2142</v>
      </c>
      <c r="F14" s="2429"/>
      <c r="G14" s="2429"/>
      <c r="H14" s="2429"/>
      <c r="I14" s="1831"/>
    </row>
    <row r="15" spans="1:12" ht="12.75">
      <c r="A15" s="3095"/>
      <c r="B15" s="3021"/>
      <c r="C15" s="3140"/>
      <c r="D15" s="3113"/>
      <c r="E15" s="139" t="s">
        <v>2143</v>
      </c>
      <c r="F15" s="2429"/>
      <c r="G15" s="2429"/>
      <c r="H15" s="2429"/>
      <c r="I15" s="1831"/>
    </row>
    <row r="16" spans="1:12" ht="12.75">
      <c r="A16" s="3095"/>
      <c r="B16" s="3021"/>
      <c r="C16" s="3141"/>
      <c r="D16" s="3113"/>
      <c r="E16" s="139" t="s">
        <v>2144</v>
      </c>
      <c r="F16" s="2429"/>
      <c r="G16" s="2429"/>
      <c r="H16" s="2429"/>
      <c r="I16" s="1831"/>
    </row>
    <row r="17" spans="1:35" ht="15">
      <c r="A17" s="2430" t="s">
        <v>2145</v>
      </c>
      <c r="B17" s="63"/>
      <c r="C17" s="140">
        <f>SUM(C5:C16)</f>
        <v>0.45</v>
      </c>
      <c r="D17" s="140">
        <f>SUM(D5:D16)</f>
        <v>0.55000000000000004</v>
      </c>
      <c r="E17" s="137"/>
      <c r="F17" s="137"/>
      <c r="G17" s="137"/>
      <c r="H17" s="137"/>
      <c r="I17" s="137"/>
      <c r="K17" s="2428"/>
      <c r="L17" s="2431" t="s">
        <v>2146</v>
      </c>
      <c r="M17" s="2431" t="s">
        <v>2147</v>
      </c>
    </row>
    <row r="18" spans="1:35" ht="15.75" thickBot="1">
      <c r="A18" s="2432" t="s">
        <v>2148</v>
      </c>
      <c r="B18" s="2433"/>
      <c r="C18" s="141">
        <f>ROUND(C17/SUM(C17:D17),2)</f>
        <v>0.45</v>
      </c>
      <c r="D18" s="141">
        <f>1-C18</f>
        <v>0.55000000000000004</v>
      </c>
      <c r="E18" s="137"/>
      <c r="F18" s="137"/>
      <c r="G18" s="137"/>
      <c r="H18" s="137"/>
      <c r="I18" s="137"/>
      <c r="K18" s="2428" t="s">
        <v>2149</v>
      </c>
      <c r="L18" s="2428">
        <f>IF(C1="",'数据-汇总表'!E3,SUMIF(项目类型,C1,'数据-汇总表'!E17:E26)+SUMIF(项目类型,C1,'数据-汇总表'!I17:I26))</f>
        <v>28056.880000000005</v>
      </c>
      <c r="M18" s="2428">
        <f>IF(C1="",'数据-汇总表'!E3,SUMIF(项目类型,C1,'数据-汇总表'!E17:E26))</f>
        <v>28056.880000000005</v>
      </c>
    </row>
    <row r="19" spans="1:35" ht="15">
      <c r="A19" s="2434" t="s">
        <v>2150</v>
      </c>
      <c r="B19" s="2435" t="s">
        <v>2151</v>
      </c>
      <c r="C19" s="142">
        <f ca="1">SUMIF(INDIRECT("'"&amp;C4&amp;"'"&amp;"!A:A"),结果表!B19,INDIRECT("'"&amp;C4&amp;"'"&amp;"!B:B"))</f>
        <v>82291</v>
      </c>
      <c r="D19" s="143">
        <f ca="1">SUMIF(INDIRECT("'"&amp;D4&amp;"'"&amp;"!A:A"),结果表!B19,INDIRECT("'"&amp;D4&amp;"'"&amp;"!B:B"))</f>
        <v>62233</v>
      </c>
      <c r="E19" s="2434" t="s">
        <v>2152</v>
      </c>
      <c r="F19" s="2435" t="s">
        <v>2151</v>
      </c>
      <c r="G19" s="144">
        <f ca="1">ROUND(C19*$C$18+D19*$D$18,0)</f>
        <v>71259</v>
      </c>
      <c r="H19" s="2436" t="s">
        <v>2153</v>
      </c>
      <c r="I19" s="137"/>
      <c r="K19" s="2428" t="s">
        <v>2154</v>
      </c>
      <c r="L19" s="2428">
        <f>IF(C1="",'数据-汇总表'!D3,SUMIF(项目类型,C1,'数据-汇总表'!D17:D26)+SUMIF(项目类型,C1,'数据-汇总表'!H17:H27))</f>
        <v>12718.02</v>
      </c>
      <c r="M19" s="2428">
        <f>IF(C1="",'数据-汇总表'!D3,SUMIF(项目类型,C1,'数据-汇总表'!D17:D26))</f>
        <v>12718.02</v>
      </c>
    </row>
    <row r="20" spans="1:35" ht="15">
      <c r="A20" s="2437"/>
      <c r="B20" s="1247" t="s">
        <v>2155</v>
      </c>
      <c r="C20" s="145">
        <f ca="1">SUMIF(INDIRECT("'"&amp;C4&amp;"'"&amp;"!A:A"),结果表!B20,INDIRECT("'"&amp;C4&amp;"'"&amp;"!B:B"))</f>
        <v>29330</v>
      </c>
      <c r="D20" s="146">
        <f ca="1">SUMIF(INDIRECT("'"&amp;D4&amp;"'"&amp;"!A:A"),结果表!B20,INDIRECT("'"&amp;D4&amp;"'"&amp;"!B:B"))</f>
        <v>22181</v>
      </c>
      <c r="E20" s="2437"/>
      <c r="F20" s="1247" t="s">
        <v>2155</v>
      </c>
      <c r="G20" s="147">
        <f ca="1">ROUND(C20*$C$18+D20*$D$18,0)</f>
        <v>25398</v>
      </c>
      <c r="H20" s="980" t="s">
        <v>2156</v>
      </c>
      <c r="I20" s="137"/>
    </row>
    <row r="21" spans="1:35" ht="15" customHeight="1" thickBot="1">
      <c r="A21" s="1000"/>
      <c r="B21" s="2438" t="s">
        <v>2157</v>
      </c>
      <c r="C21" s="786">
        <f ca="1">ROUND(C19*10000/L19,0)</f>
        <v>64704</v>
      </c>
      <c r="D21" s="787">
        <f ca="1">ROUND(D19*10000/L19,0)</f>
        <v>48933</v>
      </c>
      <c r="E21" s="1000"/>
      <c r="F21" s="2438" t="s">
        <v>2157</v>
      </c>
      <c r="G21" s="148">
        <f ca="1">ROUND(G19*10000/L19,0)</f>
        <v>56030</v>
      </c>
      <c r="H21" s="2439" t="s">
        <v>2156</v>
      </c>
      <c r="I21" s="137"/>
    </row>
    <row r="22" spans="1:35" ht="15" thickBot="1">
      <c r="A22" s="2280" t="s">
        <v>2158</v>
      </c>
      <c r="B22" s="2440"/>
      <c r="C22" s="2441"/>
      <c r="D22" s="788">
        <f ca="1">IF(C19&lt;D19,D19/C19-1,C19/D19-1)</f>
        <v>0.32230488647502131</v>
      </c>
      <c r="E22" s="137"/>
      <c r="F22" s="137"/>
      <c r="G22" s="137"/>
      <c r="H22" s="137"/>
      <c r="I22" s="137"/>
    </row>
    <row r="23" spans="1:35" ht="13.5" thickBot="1">
      <c r="A23" s="2418"/>
      <c r="B23" s="2418"/>
      <c r="C23" s="2418"/>
      <c r="D23" s="2418"/>
      <c r="E23" s="137"/>
      <c r="F23" s="137"/>
      <c r="G23" s="137"/>
      <c r="H23" s="137"/>
      <c r="I23" s="137"/>
    </row>
    <row r="24" spans="1:35" ht="14.25">
      <c r="A24" s="3135" t="s">
        <v>2159</v>
      </c>
      <c r="B24" s="2435" t="s">
        <v>2151</v>
      </c>
      <c r="C24" s="144">
        <f>IF(B30=0,0,D30)</f>
        <v>0</v>
      </c>
      <c r="D24" s="2442"/>
      <c r="E24" s="137"/>
      <c r="F24" s="137"/>
      <c r="G24" s="137"/>
      <c r="H24" s="137"/>
      <c r="I24" s="137"/>
    </row>
    <row r="25" spans="1:35" ht="14.25">
      <c r="A25" s="3136"/>
      <c r="B25" s="1247" t="s">
        <v>2155</v>
      </c>
      <c r="C25" s="149">
        <f>IF(B30=0,0,C30)</f>
        <v>0</v>
      </c>
      <c r="D25" s="2443"/>
      <c r="E25" s="137"/>
      <c r="F25" s="137"/>
      <c r="G25" s="137"/>
      <c r="H25" s="137"/>
      <c r="I25" s="137"/>
    </row>
    <row r="26" spans="1:35" ht="13.5" customHeight="1">
      <c r="A26" s="2444" t="s">
        <v>2160</v>
      </c>
      <c r="B26" s="150" t="s">
        <v>2161</v>
      </c>
      <c r="C26" s="150" t="s">
        <v>2162</v>
      </c>
      <c r="D26" s="151" t="s">
        <v>2163</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2164</v>
      </c>
      <c r="B30" s="150"/>
      <c r="C30" s="150"/>
      <c r="D30" s="150"/>
      <c r="E30" s="2927" t="s">
        <v>3038</v>
      </c>
      <c r="F30" s="137"/>
      <c r="G30" s="137"/>
      <c r="H30" s="137"/>
      <c r="I30" s="137"/>
    </row>
    <row r="31" spans="1:35" s="2446" customFormat="1" ht="15" thickBot="1">
      <c r="A31" s="2445"/>
      <c r="B31" s="2445"/>
      <c r="C31" s="2445"/>
      <c r="D31" s="2445"/>
      <c r="E31" s="137"/>
      <c r="F31" s="137"/>
      <c r="G31" s="137"/>
      <c r="H31" s="137"/>
      <c r="I31" s="137"/>
      <c r="J31" s="792"/>
      <c r="K31" s="792"/>
      <c r="L31" s="792"/>
      <c r="M31" s="792"/>
      <c r="N31" s="792"/>
      <c r="O31" s="792"/>
      <c r="P31" s="792"/>
      <c r="Q31" s="792"/>
      <c r="R31" s="792"/>
      <c r="S31" s="792"/>
      <c r="T31" s="792"/>
      <c r="U31" s="792"/>
      <c r="V31" s="792"/>
      <c r="W31" s="792"/>
      <c r="X31" s="792"/>
      <c r="Y31" s="792"/>
      <c r="Z31" s="792"/>
      <c r="AA31" s="2423"/>
      <c r="AB31" s="2423"/>
      <c r="AC31" s="2423"/>
      <c r="AD31" s="2423"/>
      <c r="AE31" s="2423"/>
      <c r="AF31" s="2423"/>
      <c r="AG31" s="2423"/>
      <c r="AH31" s="2423"/>
      <c r="AI31" s="2423"/>
    </row>
    <row r="32" spans="1:35" ht="15.75" thickBot="1">
      <c r="A32" s="2447" t="s">
        <v>2165</v>
      </c>
      <c r="B32" s="2448"/>
      <c r="C32" s="152">
        <f ca="1">IF(D32="总价",G19-C24,G20-C25)</f>
        <v>71259</v>
      </c>
      <c r="D32" s="2449" t="s">
        <v>2166</v>
      </c>
      <c r="E32" s="137"/>
      <c r="F32" s="137"/>
      <c r="G32" s="137"/>
      <c r="H32" s="137"/>
      <c r="I32" s="137"/>
    </row>
    <row r="33" spans="1:15" ht="15">
      <c r="A33" s="957" t="s">
        <v>2167</v>
      </c>
      <c r="B33" s="2450"/>
      <c r="C33" s="2451" t="s">
        <v>3285</v>
      </c>
      <c r="D33" s="2452" t="s">
        <v>3075</v>
      </c>
      <c r="E33" s="2453" t="s">
        <v>2168</v>
      </c>
      <c r="F33" s="2454" t="str">
        <f>IF(D32="楼面单价","取值（单价）","取值（总价）")</f>
        <v>取值（总价）</v>
      </c>
      <c r="G33" s="137"/>
      <c r="H33" s="137"/>
      <c r="I33" s="137"/>
    </row>
    <row r="34" spans="1:15" ht="15">
      <c r="A34" s="2455"/>
      <c r="B34" s="2456" t="s">
        <v>2169</v>
      </c>
      <c r="C34" s="156">
        <f ca="1">IF(C33="自定义",F34,C32-C35)</f>
        <v>38979</v>
      </c>
      <c r="D34" s="1055">
        <f ca="1">IF(C33="自定义",ROUND(C34/C32,3),IF(C33="收益比率",SUMIF(INDIRECT("'"&amp;D33&amp;"'"&amp;"!b:b"),"土地收益比率",INDIRECT("'"&amp;D33&amp;"'"&amp;"!c:c")),SUMIF(INDIRECT("'"&amp;D33&amp;"'"&amp;"!b:b"),"土地成本比率",INDIRECT("'"&amp;D33&amp;"'"&amp;"!c:c"))))</f>
        <v>0.54699999999999993</v>
      </c>
      <c r="E34" s="2457" t="s">
        <v>2170</v>
      </c>
      <c r="F34" s="1736"/>
      <c r="G34" s="137"/>
      <c r="H34" s="137"/>
      <c r="I34" s="137"/>
    </row>
    <row r="35" spans="1:15" ht="15.75" thickBot="1">
      <c r="A35" s="2458"/>
      <c r="B35" s="2459" t="s">
        <v>2171</v>
      </c>
      <c r="C35" s="1441">
        <f ca="1">IF(C33="自定义",F35,ROUND(C32*D35,0))</f>
        <v>32280</v>
      </c>
      <c r="D35" s="1442">
        <f ca="1">IF(C33="自定义",ROUND(C35/C32,3),IF(C33="收益比率",SUMIF(INDIRECT("'"&amp;D33&amp;"'"&amp;"!b:b"),"建筑物收益比率",INDIRECT("'"&amp;D33&amp;"'"&amp;"!c:c")),SUMIF(INDIRECT("'"&amp;D33&amp;"'"&amp;"!b:b"),"建筑物成本比率",INDIRECT("'"&amp;D33&amp;"'"&amp;"!c:c"))))</f>
        <v>0.45300000000000001</v>
      </c>
      <c r="E35" s="2460" t="s">
        <v>2172</v>
      </c>
      <c r="F35" s="162"/>
      <c r="G35" s="137"/>
      <c r="H35" s="137"/>
      <c r="I35" s="137"/>
    </row>
    <row r="36" spans="1:15" ht="15.75" thickBot="1">
      <c r="A36" s="3114" t="s">
        <v>2173</v>
      </c>
      <c r="B36" s="2461" t="s">
        <v>2174</v>
      </c>
      <c r="C36" s="153"/>
      <c r="D36" s="2462"/>
      <c r="E36" s="2463"/>
      <c r="F36" s="2464"/>
      <c r="G36" s="137"/>
      <c r="H36" s="137"/>
      <c r="I36" s="137"/>
    </row>
    <row r="37" spans="1:15" ht="15.75" thickBot="1">
      <c r="A37" s="3115"/>
      <c r="B37" s="2266" t="s">
        <v>2175</v>
      </c>
      <c r="C37" s="155"/>
      <c r="D37" s="1392"/>
      <c r="E37" s="1392"/>
      <c r="F37" s="2464"/>
      <c r="G37" s="137"/>
      <c r="H37" s="137"/>
      <c r="I37" s="137"/>
    </row>
    <row r="38" spans="1:15" ht="15.75" thickBot="1">
      <c r="A38" s="3116"/>
      <c r="B38" s="2465" t="s">
        <v>2176</v>
      </c>
      <c r="C38" s="724"/>
      <c r="D38" s="2466" t="s">
        <v>2177</v>
      </c>
      <c r="E38" s="1392"/>
      <c r="F38" s="2464"/>
      <c r="G38" s="137"/>
      <c r="H38" s="137"/>
      <c r="I38" s="137"/>
    </row>
    <row r="39" spans="1:15" ht="15">
      <c r="A39" s="2437" t="s">
        <v>2178</v>
      </c>
      <c r="B39" s="2467" t="s">
        <v>2179</v>
      </c>
      <c r="C39" s="2468" t="s">
        <v>2180</v>
      </c>
      <c r="D39" s="2468" t="s">
        <v>2181</v>
      </c>
      <c r="E39" s="2469" t="s">
        <v>2182</v>
      </c>
      <c r="F39" s="2464"/>
      <c r="G39" s="137"/>
      <c r="H39" s="137"/>
      <c r="I39" s="137"/>
    </row>
    <row r="40" spans="1:15" ht="14.25">
      <c r="A40" s="2470" t="s">
        <v>2183</v>
      </c>
      <c r="B40" s="157"/>
      <c r="C40" s="158"/>
      <c r="D40" s="158"/>
      <c r="E40" s="159"/>
      <c r="F40" s="2464"/>
      <c r="G40" s="137"/>
      <c r="H40" s="137"/>
      <c r="I40" s="137"/>
    </row>
    <row r="41" spans="1:15" ht="14.25">
      <c r="A41" s="2470" t="s">
        <v>2184</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132" t="s">
        <v>2187</v>
      </c>
      <c r="B45" s="3133"/>
      <c r="C45" s="3134"/>
      <c r="D45" s="163">
        <f ca="1">ROUND(H101*F45,0)</f>
        <v>71259</v>
      </c>
      <c r="E45" s="164" t="s">
        <v>2188</v>
      </c>
      <c r="F45" s="165">
        <v>1</v>
      </c>
      <c r="G45" s="166" t="s">
        <v>2189</v>
      </c>
      <c r="H45" s="137"/>
      <c r="I45" s="137"/>
      <c r="J45" s="3050" t="s">
        <v>2190</v>
      </c>
      <c r="K45" s="3050"/>
      <c r="L45" s="3050"/>
      <c r="M45" s="3050"/>
      <c r="N45" s="3050"/>
      <c r="O45" s="3050"/>
    </row>
    <row r="46" spans="1:15" ht="14.25" customHeight="1">
      <c r="A46" s="3129" t="s">
        <v>2191</v>
      </c>
      <c r="B46" s="3130"/>
      <c r="C46" s="3130"/>
      <c r="D46" s="3130"/>
      <c r="E46" s="3130"/>
      <c r="F46" s="3130"/>
      <c r="G46" s="3131"/>
      <c r="H46" s="2480"/>
      <c r="I46" s="167"/>
      <c r="J46" s="1809">
        <v>1</v>
      </c>
      <c r="K46" s="3050" t="s">
        <v>2192</v>
      </c>
      <c r="L46" s="3050"/>
      <c r="M46" s="3051"/>
      <c r="N46" s="3051"/>
      <c r="O46" s="3051"/>
    </row>
    <row r="47" spans="1:15" ht="12" customHeight="1">
      <c r="A47" s="168" t="s">
        <v>2193</v>
      </c>
      <c r="B47" s="169"/>
      <c r="C47" s="170"/>
      <c r="D47" s="171" t="s">
        <v>2194</v>
      </c>
      <c r="E47" s="23" t="s">
        <v>2195</v>
      </c>
      <c r="F47" s="172" t="s">
        <v>2196</v>
      </c>
      <c r="G47" s="173" t="s">
        <v>2197</v>
      </c>
      <c r="H47" s="2480"/>
      <c r="I47" s="167"/>
      <c r="J47" s="1809">
        <v>2</v>
      </c>
      <c r="K47" s="3050" t="s">
        <v>2198</v>
      </c>
      <c r="L47" s="3050"/>
      <c r="M47" s="3052">
        <f>'数据-取费表'!B2</f>
        <v>43208</v>
      </c>
      <c r="N47" s="3052"/>
      <c r="O47" s="3052"/>
    </row>
    <row r="48" spans="1:15" ht="25.5">
      <c r="A48" s="3118" t="s">
        <v>2199</v>
      </c>
      <c r="B48" s="3119"/>
      <c r="C48" s="3119"/>
      <c r="D48" s="139">
        <f>IF(H48="情况1",0,IF(H48="情况2",D52,IF(H48="情况3",D53,IF(H48="情况4",D54))))</f>
        <v>0</v>
      </c>
      <c r="E48" s="1798" t="str">
        <f>IF(H48="情况4","(销售额-原购置价)×税（费）率","销售额×税（费）率")</f>
        <v>销售额×税（费）率</v>
      </c>
      <c r="F48" s="174" t="str">
        <f>IF(H48="情况1","免征",'数据-取费表'!B41)</f>
        <v>免征</v>
      </c>
      <c r="G48" s="2481" t="s">
        <v>2200</v>
      </c>
      <c r="H48" s="2482" t="s">
        <v>2201</v>
      </c>
      <c r="I48" s="2480"/>
      <c r="J48" s="1809">
        <v>3</v>
      </c>
      <c r="K48" s="3050" t="s">
        <v>2202</v>
      </c>
      <c r="L48" s="3050"/>
      <c r="M48" s="3053">
        <f ca="1">H101</f>
        <v>71259</v>
      </c>
      <c r="N48" s="3053"/>
      <c r="O48" s="3053"/>
    </row>
    <row r="49" spans="1:35" ht="25.5" customHeight="1">
      <c r="A49" s="175" t="s">
        <v>2203</v>
      </c>
      <c r="B49" s="3098" t="s">
        <v>2204</v>
      </c>
      <c r="C49" s="3098"/>
      <c r="D49" s="176">
        <v>0</v>
      </c>
      <c r="E49" s="22" t="s">
        <v>2205</v>
      </c>
      <c r="F49" s="27" t="s">
        <v>34</v>
      </c>
      <c r="G49" s="3079"/>
      <c r="H49" s="137"/>
      <c r="I49" s="2483"/>
      <c r="J49" s="1809">
        <v>4</v>
      </c>
      <c r="K49" s="3050" t="str">
        <f>IF(项目基本情况!E8="房地产抵押价值","房地产抵押价值","抵押担保权已注销时的房地产抵押价值")</f>
        <v>房地产抵押价值</v>
      </c>
      <c r="L49" s="3050"/>
      <c r="M49" s="3053">
        <f ca="1">IF(项目基本情况!E8="房地产抵押价值",H107,H109)</f>
        <v>71259</v>
      </c>
      <c r="N49" s="3053"/>
      <c r="O49" s="3053"/>
    </row>
    <row r="50" spans="1:35" ht="25.5" customHeight="1">
      <c r="A50" s="177"/>
      <c r="B50" s="3098" t="s">
        <v>2206</v>
      </c>
      <c r="C50" s="3098"/>
      <c r="D50" s="178"/>
      <c r="E50" s="30"/>
      <c r="F50" s="179"/>
      <c r="G50" s="3080"/>
      <c r="H50" s="137"/>
      <c r="I50" s="2483"/>
      <c r="J50" s="3050" t="s">
        <v>2207</v>
      </c>
      <c r="K50" s="3050"/>
      <c r="L50" s="3050"/>
      <c r="M50" s="3050"/>
      <c r="N50" s="3050"/>
      <c r="O50" s="3050"/>
    </row>
    <row r="51" spans="1:35" ht="12" customHeight="1">
      <c r="A51" s="180"/>
      <c r="B51" s="3098" t="s">
        <v>2208</v>
      </c>
      <c r="C51" s="3098"/>
      <c r="D51" s="181"/>
      <c r="E51" s="29"/>
      <c r="F51" s="179"/>
      <c r="G51" s="3081"/>
      <c r="H51" s="137"/>
      <c r="I51" s="2483"/>
      <c r="J51" s="2484" t="s">
        <v>2209</v>
      </c>
      <c r="K51" s="3050" t="s">
        <v>2210</v>
      </c>
      <c r="L51" s="3050"/>
      <c r="M51" s="2484" t="s">
        <v>2211</v>
      </c>
      <c r="N51" s="2484" t="s">
        <v>2212</v>
      </c>
      <c r="O51" s="2484" t="s">
        <v>2213</v>
      </c>
    </row>
    <row r="52" spans="1:35" ht="24" customHeight="1">
      <c r="A52" s="182" t="s">
        <v>2214</v>
      </c>
      <c r="B52" s="3098" t="s">
        <v>2215</v>
      </c>
      <c r="C52" s="3098"/>
      <c r="D52" s="181">
        <f ca="1">ROUND(D45*'数据-取费表'!B41/(1+'数据-取费表'!C42),0)</f>
        <v>3733</v>
      </c>
      <c r="E52" s="11" t="s">
        <v>2216</v>
      </c>
      <c r="F52" s="183">
        <f>'数据-取费表'!B41</f>
        <v>5.5000000000000007E-2</v>
      </c>
      <c r="G52" s="2485"/>
      <c r="H52" s="137"/>
      <c r="I52" s="2483"/>
      <c r="J52" s="1809">
        <v>1</v>
      </c>
      <c r="K52" s="3073" t="s">
        <v>2217</v>
      </c>
      <c r="L52" s="3073"/>
      <c r="M52" s="1751">
        <f>D48</f>
        <v>0</v>
      </c>
      <c r="N52" s="1809" t="str">
        <f>E48</f>
        <v>销售额×税（费）率</v>
      </c>
      <c r="O52" s="1752" t="str">
        <f>F48</f>
        <v>免征</v>
      </c>
    </row>
    <row r="53" spans="1:35" ht="12" customHeight="1">
      <c r="A53" s="182" t="s">
        <v>2218</v>
      </c>
      <c r="B53" s="3099" t="s">
        <v>2219</v>
      </c>
      <c r="C53" s="3100"/>
      <c r="D53" s="181">
        <f ca="1">ROUND(D45*'数据-取费表'!B41/(1+'数据-取费表'!C42),0)</f>
        <v>3733</v>
      </c>
      <c r="E53" s="11" t="s">
        <v>2216</v>
      </c>
      <c r="F53" s="183">
        <f>'数据-取费表'!B41</f>
        <v>5.5000000000000007E-2</v>
      </c>
      <c r="G53" s="2485"/>
      <c r="H53" s="137"/>
      <c r="I53" s="2483"/>
      <c r="J53" s="1809">
        <v>2</v>
      </c>
      <c r="K53" s="3073" t="s">
        <v>2220</v>
      </c>
      <c r="L53" s="3073"/>
      <c r="M53" s="1751">
        <f t="shared" ref="M53:O54" ca="1" si="0">D55</f>
        <v>36</v>
      </c>
      <c r="N53" s="1809" t="str">
        <f t="shared" si="0"/>
        <v>销售额×税（费）率</v>
      </c>
      <c r="O53" s="1752">
        <f t="shared" si="0"/>
        <v>5.0000000000000001E-4</v>
      </c>
    </row>
    <row r="54" spans="1:35" ht="12" customHeight="1">
      <c r="A54" s="182" t="s">
        <v>2221</v>
      </c>
      <c r="B54" s="3099" t="s">
        <v>2222</v>
      </c>
      <c r="C54" s="3100"/>
      <c r="D54" s="181">
        <f ca="1">C68</f>
        <v>3733</v>
      </c>
      <c r="E54" s="29" t="s">
        <v>2223</v>
      </c>
      <c r="F54" s="183">
        <f>'数据-取费表'!B41</f>
        <v>5.5000000000000007E-2</v>
      </c>
      <c r="G54" s="2485"/>
      <c r="H54" s="2486"/>
      <c r="I54" s="2483"/>
      <c r="J54" s="1809">
        <v>3</v>
      </c>
      <c r="K54" s="3073" t="s">
        <v>2224</v>
      </c>
      <c r="L54" s="3073"/>
      <c r="M54" s="1751">
        <f t="shared" ca="1" si="0"/>
        <v>40398</v>
      </c>
      <c r="N54" s="1809" t="str">
        <f t="shared" si="0"/>
        <v>增值额×税（费）率</v>
      </c>
      <c r="O54" s="1753" t="str">
        <f t="shared" si="0"/>
        <v>——</v>
      </c>
    </row>
    <row r="55" spans="1:35" ht="24" customHeight="1">
      <c r="A55" s="3138" t="s">
        <v>2225</v>
      </c>
      <c r="B55" s="3119"/>
      <c r="C55" s="3119"/>
      <c r="D55" s="184">
        <f ca="1">IF(H55="个人住宅",0,ROUND(D45*I55,0))</f>
        <v>36</v>
      </c>
      <c r="E55" s="11" t="s">
        <v>2226</v>
      </c>
      <c r="F55" s="183">
        <f>IF(H55="正常",I55,"免征")</f>
        <v>5.0000000000000001E-4</v>
      </c>
      <c r="G55" s="2485"/>
      <c r="H55" s="2482" t="s">
        <v>2227</v>
      </c>
      <c r="I55" s="185">
        <f>'数据-取费表'!B49</f>
        <v>5.0000000000000001E-4</v>
      </c>
      <c r="J55" s="1809" t="str">
        <f>IF(H59="非个人房产","",4)</f>
        <v/>
      </c>
      <c r="K55" s="3073" t="str">
        <f>IF(H59="非个人房产","——","个人所得税")</f>
        <v>——</v>
      </c>
      <c r="L55" s="3073"/>
      <c r="M55" s="1754" t="str">
        <f>D59</f>
        <v>——</v>
      </c>
      <c r="N55" s="1807" t="str">
        <f>E59</f>
        <v>——</v>
      </c>
      <c r="O55" s="1755" t="str">
        <f>F59</f>
        <v>——</v>
      </c>
    </row>
    <row r="56" spans="1:35" ht="24.75">
      <c r="A56" s="3138" t="s">
        <v>2228</v>
      </c>
      <c r="B56" s="3119"/>
      <c r="C56" s="3119"/>
      <c r="D56" s="184">
        <f ca="1">IF(H56="个人住宅",D57,D58)</f>
        <v>40398</v>
      </c>
      <c r="E56" s="11" t="s">
        <v>2229</v>
      </c>
      <c r="F56" s="183" t="str">
        <f>IF(H56="正常",F58,"免征")</f>
        <v>——</v>
      </c>
      <c r="G56" s="2487" t="s">
        <v>2230</v>
      </c>
      <c r="H56" s="2488" t="s">
        <v>2227</v>
      </c>
      <c r="I56" s="2489"/>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2.75">
      <c r="A57" s="182" t="s">
        <v>2203</v>
      </c>
      <c r="B57" s="3104" t="s">
        <v>2231</v>
      </c>
      <c r="C57" s="3105"/>
      <c r="D57" s="186">
        <v>0</v>
      </c>
      <c r="E57" s="22" t="s">
        <v>2205</v>
      </c>
      <c r="F57" s="154"/>
      <c r="G57" s="2485"/>
      <c r="H57" s="2489"/>
      <c r="I57" s="2489"/>
      <c r="J57" s="3073">
        <f>IF(AND(J55="",J56=""),4,IF(项目基本情况!K6="上海银行",结果表!J56+1,结果表!J55+1))</f>
        <v>4</v>
      </c>
      <c r="K57" s="3073" t="s">
        <v>2232</v>
      </c>
      <c r="L57" s="2490" t="s">
        <v>2233</v>
      </c>
      <c r="M57" s="1756"/>
      <c r="N57" s="1757">
        <f ca="1">SUMIF(M52:M56,"&lt;9e307")</f>
        <v>40434</v>
      </c>
      <c r="O57" s="2491"/>
      <c r="P57" s="1750">
        <f ca="1">N57/M49</f>
        <v>0.56742306235001894</v>
      </c>
    </row>
    <row r="58" spans="1:35" ht="24.75">
      <c r="A58" s="182" t="s">
        <v>2214</v>
      </c>
      <c r="B58" s="3104" t="s">
        <v>2234</v>
      </c>
      <c r="C58" s="3117"/>
      <c r="D58" s="184">
        <f ca="1">IF(H58="转让取得",C81,C97)</f>
        <v>40398</v>
      </c>
      <c r="E58" s="11" t="s">
        <v>2229</v>
      </c>
      <c r="F58" s="23" t="s">
        <v>34</v>
      </c>
      <c r="G58" s="2485"/>
      <c r="H58" s="2488" t="s">
        <v>2235</v>
      </c>
      <c r="I58" s="2489"/>
      <c r="J58" s="3073"/>
      <c r="K58" s="3073"/>
      <c r="L58" s="2490" t="s">
        <v>2236</v>
      </c>
      <c r="M58" s="1758"/>
      <c r="N58" s="2492" t="str">
        <f ca="1">NUMBERSTRING(INT(N57*10000),2)&amp;"元整"</f>
        <v>肆亿零肆佰叁拾肆万元整</v>
      </c>
      <c r="O58" s="2493"/>
    </row>
    <row r="59" spans="1:35" ht="24.75" thickBot="1">
      <c r="A59" s="3077" t="s">
        <v>2237</v>
      </c>
      <c r="B59" s="3078"/>
      <c r="C59" s="3078"/>
      <c r="D59" s="187" t="str">
        <f>IF(H59="非个人房产","——",IF(H59="个人住宅",0,ROUND(D45*I59,0)))</f>
        <v>——</v>
      </c>
      <c r="E59" s="188" t="str">
        <f>IF(H59="非个人房产","——","销售额×税（费）率")</f>
        <v>——</v>
      </c>
      <c r="F59" s="189" t="str">
        <f>IF(H59="非个人房产","——",IF(H59="个人住宅","免征",I59))</f>
        <v>——</v>
      </c>
      <c r="G59" s="2494" t="s">
        <v>2230</v>
      </c>
      <c r="H59" s="2488" t="s">
        <v>2238</v>
      </c>
      <c r="I59" s="190">
        <v>0.01</v>
      </c>
      <c r="J59" s="3075">
        <f>J57+1</f>
        <v>5</v>
      </c>
      <c r="K59" s="3073" t="s">
        <v>2239</v>
      </c>
      <c r="L59" s="1809" t="s">
        <v>2233</v>
      </c>
      <c r="M59" s="1759"/>
      <c r="N59" s="1760">
        <f ca="1">M49-N57</f>
        <v>30825</v>
      </c>
      <c r="O59" s="2495"/>
    </row>
    <row r="60" spans="1:35" ht="12" customHeight="1">
      <c r="A60" s="2496"/>
      <c r="B60" s="2418"/>
      <c r="C60" s="2418"/>
      <c r="D60" s="2418"/>
      <c r="E60" s="2165"/>
      <c r="F60" s="2489"/>
      <c r="G60" s="2489"/>
      <c r="H60" s="2497"/>
      <c r="I60" s="137"/>
      <c r="J60" s="3076"/>
      <c r="K60" s="3073"/>
      <c r="L60" s="2490" t="s">
        <v>2236</v>
      </c>
      <c r="M60" s="1758"/>
      <c r="N60" s="2492" t="str">
        <f ca="1">NUMBERSTRING(INT(N59*10000),2)&amp;"元整"</f>
        <v>叁亿零捌佰贰拾伍万元整</v>
      </c>
      <c r="O60" s="2493"/>
    </row>
    <row r="61" spans="1:35" ht="13.5" thickBot="1">
      <c r="A61" s="3137" t="s">
        <v>2240</v>
      </c>
      <c r="B61" s="3137"/>
      <c r="C61" s="3137"/>
      <c r="D61" s="3137"/>
      <c r="E61" s="3137"/>
      <c r="F61" s="2489"/>
      <c r="G61" s="2489"/>
      <c r="H61" s="2497"/>
      <c r="I61" s="137"/>
      <c r="J61" s="1809">
        <f>J59+1</f>
        <v>6</v>
      </c>
      <c r="K61" s="3073" t="s">
        <v>2241</v>
      </c>
      <c r="L61" s="3073"/>
      <c r="M61" s="1761"/>
      <c r="N61" s="1762">
        <f ca="1">ROUND(N59*10000/'数据-汇总表'!E3,0)</f>
        <v>10987</v>
      </c>
      <c r="O61" s="2498"/>
    </row>
    <row r="62" spans="1:35" ht="12.75">
      <c r="A62" s="3093" t="s">
        <v>2242</v>
      </c>
      <c r="B62" s="3094"/>
      <c r="C62" s="1801"/>
      <c r="D62" s="1801" t="s">
        <v>2243</v>
      </c>
      <c r="E62" s="191" t="s">
        <v>2244</v>
      </c>
      <c r="F62" s="2489"/>
      <c r="G62" s="2489"/>
      <c r="H62" s="2497"/>
      <c r="I62" s="137"/>
    </row>
    <row r="63" spans="1:35" ht="12.75">
      <c r="A63" s="202" t="s">
        <v>775</v>
      </c>
      <c r="B63" s="192" t="s">
        <v>2245</v>
      </c>
      <c r="C63" s="193">
        <f ca="1">ROUND((C64+C65)/(1+'数据-取费表'!C42),0)</f>
        <v>67866</v>
      </c>
      <c r="D63" s="194"/>
      <c r="E63" s="195"/>
      <c r="F63" s="2489"/>
      <c r="G63" s="2489"/>
      <c r="H63" s="2497"/>
      <c r="I63" s="137"/>
      <c r="J63" s="3058" t="s">
        <v>2246</v>
      </c>
      <c r="K63" s="2499" t="s">
        <v>2247</v>
      </c>
      <c r="L63" s="1749">
        <f ca="1">IF(M49&gt;10000,M49*0.5%,IF(AND(M49&gt;1000,M49&lt;=10000),M49*1%,IF(AND(M49&gt;100,M49&lt;=1000),M49*3%,IF(AND(M49&gt;10,M49&lt;=100),M49*5%,M49*8%))))</f>
        <v>356.29500000000002</v>
      </c>
      <c r="M63" s="23">
        <f ca="1">ROUND(L63,1)</f>
        <v>356.3</v>
      </c>
      <c r="Z63" s="2423"/>
      <c r="AI63" s="2424"/>
    </row>
    <row r="64" spans="1:35" ht="14.25" customHeight="1">
      <c r="A64" s="196" t="s">
        <v>770</v>
      </c>
      <c r="B64" s="197" t="s">
        <v>2248</v>
      </c>
      <c r="C64" s="198">
        <f ca="1">D45</f>
        <v>71259</v>
      </c>
      <c r="D64" s="199" t="s">
        <v>32</v>
      </c>
      <c r="E64" s="200"/>
      <c r="F64" s="2489"/>
      <c r="G64" s="2489"/>
      <c r="H64" s="2497"/>
      <c r="I64" s="137"/>
      <c r="J64" s="3058"/>
      <c r="K64" s="2499" t="s">
        <v>2249</v>
      </c>
      <c r="L64" s="1749">
        <f ca="1">IF(M49&gt;2000,M49*0.5%,IF(AND(M49&gt;1000,M49&lt;=2000),M49*0.6%,IF(AND(M49&gt;500,M49&lt;=1000),M49*0.7%,IF(AND(M49&gt;200,M49&lt;=500),M49*0.8%,IF(AND(M49&gt;100,M49&lt;=200),M49*0.9%,IF(AND(M49&gt;50,M49&lt;=100),M49*1%,IF(AND(M49&gt;20,M49&lt;=50),M49*1.5%,IF(AND(M49&gt;10,M49&lt;=20),M49*2%,IF(AND(M49&gt;1,M49&lt;=10),M49*2.5%)))))))))</f>
        <v>356.29500000000002</v>
      </c>
      <c r="M64" s="23">
        <f t="shared" ref="M64:M65" ca="1" si="1">ROUND(L64,1)</f>
        <v>356.3</v>
      </c>
      <c r="N64" s="137" t="s">
        <v>2250</v>
      </c>
      <c r="Z64" s="2423"/>
      <c r="AI64" s="2424"/>
    </row>
    <row r="65" spans="1:35" ht="14.25" customHeight="1">
      <c r="A65" s="196" t="s">
        <v>771</v>
      </c>
      <c r="B65" s="197" t="s">
        <v>2251</v>
      </c>
      <c r="C65" s="201"/>
      <c r="D65" s="199"/>
      <c r="E65" s="200"/>
      <c r="F65" s="2489"/>
      <c r="G65" s="2489"/>
      <c r="H65" s="2497"/>
      <c r="I65" s="137"/>
      <c r="J65" s="3058"/>
      <c r="K65" s="2499" t="s">
        <v>2252</v>
      </c>
      <c r="L65" s="1749">
        <f ca="1">IF(M49&gt;1000,M49*0.1%,IF(AND(M49&gt;500,M49&lt;=1000),M49*0.5%,IF(AND(M49&gt;50,M49&lt;=500),M49*1%,IF(AND(M49&gt;1,M49&lt;=50),M49*1.5%))))</f>
        <v>71.259</v>
      </c>
      <c r="M65" s="23">
        <f t="shared" ca="1" si="1"/>
        <v>71.3</v>
      </c>
      <c r="N65" s="137" t="s">
        <v>2250</v>
      </c>
      <c r="Z65" s="2423"/>
      <c r="AI65" s="2424"/>
    </row>
    <row r="66" spans="1:35" ht="14.25" customHeight="1">
      <c r="A66" s="202" t="s">
        <v>772</v>
      </c>
      <c r="B66" s="203" t="s">
        <v>2253</v>
      </c>
      <c r="C66" s="204"/>
      <c r="D66" s="205" t="s">
        <v>32</v>
      </c>
      <c r="E66" s="1773" t="s">
        <v>1371</v>
      </c>
      <c r="F66" s="2489"/>
      <c r="G66" s="2489"/>
      <c r="H66" s="2497"/>
      <c r="I66" s="137"/>
      <c r="J66" s="3058"/>
      <c r="K66" s="2499" t="s">
        <v>2254</v>
      </c>
      <c r="L66" s="1749">
        <f ca="1">M49*0.5%</f>
        <v>356.29500000000002</v>
      </c>
      <c r="M66" s="23">
        <f ca="1">IF(L66&gt;0.5,0.5,ROUND(L66,0))</f>
        <v>0.5</v>
      </c>
      <c r="N66" s="137" t="s">
        <v>2255</v>
      </c>
      <c r="Z66" s="2423"/>
      <c r="AI66" s="2424"/>
    </row>
    <row r="67" spans="1:35" ht="14.25" customHeight="1">
      <c r="A67" s="202" t="s">
        <v>773</v>
      </c>
      <c r="B67" s="203" t="s">
        <v>2256</v>
      </c>
      <c r="C67" s="206">
        <f ca="1">C63-C66</f>
        <v>67866</v>
      </c>
      <c r="D67" s="199" t="s">
        <v>32</v>
      </c>
      <c r="E67" s="200"/>
      <c r="F67" s="2489"/>
      <c r="G67" s="2489"/>
      <c r="H67" s="2497"/>
      <c r="I67" s="137"/>
      <c r="J67" s="3058"/>
      <c r="K67" s="2499" t="s">
        <v>2257</v>
      </c>
      <c r="L67" s="1749">
        <f ca="1">IF(M49&gt;=10000,(8.25+(M49-10000)*0.01%),IF(AND(M49&gt;=8000,M49&lt;10000),(7.85+(M49-8000)*0.02%),IF(AND(M49&gt;=5000,M49&lt;8000),(6.65+(M49-5000)*0.04%),IF(AND(M49&gt;=2000,M49&lt;5000),(4.25+(PM49-2000)*0.08%),IF(AND(M49&gt;=1000,M49&lt;2000),(2.75+(M49-1000)*0.15%),IF(AND(M49&gt;=100,M49&lt;1000),(0.5+(M49-100)*0.25%),IF(AND(M49&gt;0,M49&lt;100),M49*0.5%)))))))</f>
        <v>14.375900000000001</v>
      </c>
      <c r="M67" s="23">
        <f ca="1">ROUND(L67*0.9,1)</f>
        <v>12.9</v>
      </c>
      <c r="Z67" s="2423"/>
      <c r="AI67" s="2424"/>
    </row>
    <row r="68" spans="1:35" ht="14.25" customHeight="1" thickBot="1">
      <c r="A68" s="207" t="s">
        <v>774</v>
      </c>
      <c r="B68" s="208" t="s">
        <v>2258</v>
      </c>
      <c r="C68" s="209">
        <f ca="1">IF(C67&lt;=0,0,ROUND(C67*D68,0))</f>
        <v>3733</v>
      </c>
      <c r="D68" s="210">
        <f>'数据-取费表'!B41</f>
        <v>5.5000000000000007E-2</v>
      </c>
      <c r="E68" s="211"/>
      <c r="F68" s="2489"/>
      <c r="G68" s="2489"/>
      <c r="H68" s="2497"/>
      <c r="I68" s="137"/>
      <c r="J68" s="3058"/>
      <c r="K68" s="2499" t="s">
        <v>2259</v>
      </c>
      <c r="L68" s="1749">
        <f ca="1">IF(M49&gt;10000,M49*0.5%,IF(AND(M49&gt;5000,M49&lt;=10000),M49*1%,IF(AND(M49&gt;1000,M49&lt;=5000),M49*2%,IF(AND(M49&gt;200,M49&lt;=1000),M49*3%,M49*5%))))</f>
        <v>356.29500000000002</v>
      </c>
      <c r="M68" s="23">
        <f ca="1">ROUND(L68,1)</f>
        <v>356.3</v>
      </c>
      <c r="Z68" s="2423"/>
      <c r="AI68" s="2424"/>
    </row>
    <row r="69" spans="1:35" s="2446" customFormat="1" ht="16.5" customHeight="1">
      <c r="A69" s="2500"/>
      <c r="B69" s="2501"/>
      <c r="C69" s="2502"/>
      <c r="D69" s="2503"/>
      <c r="E69" s="2504"/>
      <c r="F69" s="2165"/>
      <c r="G69" s="2165"/>
      <c r="H69" s="2164"/>
      <c r="I69" s="2418"/>
      <c r="J69" s="3058"/>
      <c r="K69" s="2499" t="s">
        <v>2260</v>
      </c>
      <c r="L69" s="2505"/>
      <c r="M69" s="23">
        <f ca="1">ROUND(SUM(M63:M68),0)</f>
        <v>1154</v>
      </c>
      <c r="N69" s="1750">
        <f ca="1">M69/M49</f>
        <v>1.619444561388737E-2</v>
      </c>
      <c r="O69" s="792"/>
      <c r="P69" s="792"/>
      <c r="Q69" s="792"/>
      <c r="R69" s="792"/>
      <c r="S69" s="792"/>
      <c r="T69" s="792"/>
      <c r="U69" s="792"/>
      <c r="V69" s="792"/>
      <c r="W69" s="792"/>
      <c r="X69" s="792"/>
      <c r="Y69" s="792"/>
      <c r="Z69" s="2423"/>
      <c r="AA69" s="2423"/>
      <c r="AB69" s="2423"/>
      <c r="AC69" s="2423"/>
      <c r="AD69" s="2423"/>
      <c r="AE69" s="2423"/>
      <c r="AF69" s="2423"/>
      <c r="AG69" s="2423"/>
      <c r="AH69" s="2423"/>
    </row>
    <row r="70" spans="1:35" s="2507" customFormat="1" ht="15" thickBot="1">
      <c r="A70" s="3102" t="s">
        <v>2261</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3" t="s">
        <v>2242</v>
      </c>
      <c r="B71" s="3094"/>
      <c r="C71" s="1801"/>
      <c r="D71" s="1801" t="s">
        <v>2243</v>
      </c>
      <c r="E71" s="212" t="s">
        <v>2244</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2262</v>
      </c>
      <c r="C72" s="206">
        <f ca="1">ROUND(D45/(1+'数据-取费表'!C42),0)</f>
        <v>67866</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2263</v>
      </c>
      <c r="C73" s="206">
        <f ca="1">C74+C78</f>
        <v>339</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2264</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2265</v>
      </c>
      <c r="C75" s="217"/>
      <c r="D75" s="199" t="s">
        <v>32</v>
      </c>
      <c r="E75" s="218" t="s">
        <v>2266</v>
      </c>
      <c r="F75" s="2511" t="s">
        <v>2267</v>
      </c>
      <c r="G75" s="218" t="s">
        <v>2268</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2269</v>
      </c>
      <c r="C76" s="199">
        <f>IF(F75="购房发票",ROUND(C75*H75*D76,0),0)</f>
        <v>0</v>
      </c>
      <c r="D76" s="221">
        <v>0.05</v>
      </c>
      <c r="E76" s="3099" t="s">
        <v>2270</v>
      </c>
      <c r="F76" s="3098"/>
      <c r="G76" s="3098"/>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3" t="s">
        <v>2273</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2274</v>
      </c>
      <c r="C78" s="224">
        <f ca="1">ROUND(D45*D78/(1+'数据-取费表'!C42),0)</f>
        <v>339</v>
      </c>
      <c r="D78" s="225">
        <f>'数据-取费表'!B43</f>
        <v>5.000000000000001E-3</v>
      </c>
      <c r="E78" s="3090" t="s">
        <v>2275</v>
      </c>
      <c r="F78" s="3091"/>
      <c r="G78" s="3091"/>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2276</v>
      </c>
      <c r="C79" s="206">
        <f ca="1">C72-C73</f>
        <v>67527</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2277</v>
      </c>
      <c r="C80" s="226">
        <f ca="1">IF(C79&lt;=0,0,C79/C73)</f>
        <v>199.19469026548671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2278</v>
      </c>
      <c r="C81" s="227">
        <f ca="1">ROUND(IF(C79&lt;=0,0,IF(C80&gt;=200%,C79*60%-C73*35%,IF(C80&gt;=100%,C79*50%-C73*15%,IF(C80&gt;=50%,C79*40%-C73*5%,IF(C80&lt;50%,C79*30%,0))))),0)</f>
        <v>40398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0"/>
      <c r="B82" s="731"/>
      <c r="C82" s="7"/>
      <c r="D82" s="7"/>
      <c r="E82" s="731"/>
      <c r="F82" s="731"/>
      <c r="G82" s="731"/>
      <c r="H82" s="732"/>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2" t="s">
        <v>2279</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3" t="s">
        <v>2242</v>
      </c>
      <c r="B84" s="3094"/>
      <c r="C84" s="1801"/>
      <c r="D84" s="1801" t="s">
        <v>2243</v>
      </c>
      <c r="E84" s="212" t="s">
        <v>2244</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2262</v>
      </c>
      <c r="C85" s="206">
        <f ca="1">ROUND(D45/(1+'数据-取费表'!C42),0)</f>
        <v>67866</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2263</v>
      </c>
      <c r="C86" s="206">
        <f ca="1">IF(H88="仅含出让金",C87+C90+C91+C92+C93+C94,C87+C91+C92+C93+C94)</f>
        <v>339</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2280</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2281</v>
      </c>
      <c r="C88" s="235"/>
      <c r="D88" s="225"/>
      <c r="E88" s="236" t="s">
        <v>2282</v>
      </c>
      <c r="F88" s="1797"/>
      <c r="G88" s="237"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2271</v>
      </c>
      <c r="C89" s="224">
        <f>ROUND(C88*D89,0)</f>
        <v>0</v>
      </c>
      <c r="D89" s="225">
        <f>'数据-取费表'!B48+'数据-取费表'!B49</f>
        <v>3.0499999999999999E-2</v>
      </c>
      <c r="E89" s="236" t="s">
        <v>2284</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2285</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2286</v>
      </c>
      <c r="B91" s="197" t="s">
        <v>2287</v>
      </c>
      <c r="C91" s="224">
        <f>IF(H91="——",成本法!C33,I91)</f>
        <v>0</v>
      </c>
      <c r="D91" s="225"/>
      <c r="E91" s="3090" t="s">
        <v>2288</v>
      </c>
      <c r="F91" s="3091"/>
      <c r="G91" s="3091"/>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2290</v>
      </c>
      <c r="B92" s="197" t="s">
        <v>2291</v>
      </c>
      <c r="C92" s="224">
        <f>ROUND((C87+C90+C91)*D92,0)</f>
        <v>0</v>
      </c>
      <c r="D92" s="225">
        <v>0.1</v>
      </c>
      <c r="E92" s="3090" t="s">
        <v>2292</v>
      </c>
      <c r="F92" s="3091"/>
      <c r="G92" s="3091"/>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2293</v>
      </c>
      <c r="B93" s="197" t="s">
        <v>2274</v>
      </c>
      <c r="C93" s="224">
        <f ca="1">ROUND(D45*D93/(1+'数据-取费表'!C42),0)</f>
        <v>339</v>
      </c>
      <c r="D93" s="225">
        <f>'数据-取费表'!B43</f>
        <v>5.000000000000001E-3</v>
      </c>
      <c r="E93" s="3090" t="s">
        <v>2275</v>
      </c>
      <c r="F93" s="3091"/>
      <c r="G93" s="3091"/>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2294</v>
      </c>
      <c r="B94" s="197" t="s">
        <v>2295</v>
      </c>
      <c r="C94" s="235">
        <f>ROUND((C87+C90+C91)*D94,0)</f>
        <v>0</v>
      </c>
      <c r="D94" s="225">
        <v>0.2</v>
      </c>
      <c r="E94" s="3142" t="s">
        <v>2296</v>
      </c>
      <c r="F94" s="3143"/>
      <c r="G94" s="3143"/>
      <c r="H94" s="31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2276</v>
      </c>
      <c r="C95" s="206">
        <f ca="1">ROUND(C85-C86,0)</f>
        <v>67527</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2277</v>
      </c>
      <c r="C96" s="226">
        <f ca="1">IF(C95&lt;=0,0,C95/C86)</f>
        <v>199.19469026548671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2278</v>
      </c>
      <c r="C97" s="227">
        <f ca="1">ROUND(IF(C95&lt;=0,0,IF(C96&gt;=200%,C95*60%-C86*35%,IF(C96&gt;=100%,C95*50%-C86*15%,IF(C96&gt;=50%,C95*40%-C86*5%,IF(C96&lt;50%,C95*30%,0))))),0)</f>
        <v>40398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2297</v>
      </c>
      <c r="B99" s="2418"/>
      <c r="C99" s="2418"/>
      <c r="D99" s="2418"/>
      <c r="E99" s="2165"/>
      <c r="F99" s="2165"/>
      <c r="G99" s="2165"/>
      <c r="H99" s="2164"/>
      <c r="I99" s="137"/>
    </row>
    <row r="100" spans="1:35" ht="18.75" customHeight="1">
      <c r="A100" s="3042" t="s">
        <v>2298</v>
      </c>
      <c r="B100" s="3043"/>
      <c r="C100" s="3043"/>
      <c r="D100" s="3074"/>
      <c r="E100" s="3043" t="s">
        <v>2299</v>
      </c>
      <c r="F100" s="3043"/>
      <c r="G100" s="3043"/>
      <c r="H100" s="3074"/>
      <c r="I100" s="137"/>
    </row>
    <row r="101" spans="1:35" ht="18.75" customHeight="1">
      <c r="A101" s="3082" t="s">
        <v>2300</v>
      </c>
      <c r="B101" s="3083"/>
      <c r="C101" s="733" t="str">
        <f>C4</f>
        <v>典型户型修正</v>
      </c>
      <c r="D101" s="734" t="str">
        <f>D4</f>
        <v>收益法</v>
      </c>
      <c r="E101" s="3054" t="s">
        <v>2301</v>
      </c>
      <c r="F101" s="3055"/>
      <c r="G101" s="2520" t="s">
        <v>2302</v>
      </c>
      <c r="H101" s="1045">
        <f ca="1">H118</f>
        <v>71259</v>
      </c>
      <c r="I101" s="137"/>
    </row>
    <row r="102" spans="1:35" ht="18.75" customHeight="1">
      <c r="A102" s="3084" t="s">
        <v>2303</v>
      </c>
      <c r="B102" s="2520" t="s">
        <v>2302</v>
      </c>
      <c r="C102" s="733">
        <f ca="1">C19</f>
        <v>82291</v>
      </c>
      <c r="D102" s="734">
        <f ca="1">D19</f>
        <v>62233</v>
      </c>
      <c r="E102" s="3054"/>
      <c r="F102" s="3055"/>
      <c r="G102" s="2520" t="s">
        <v>2304</v>
      </c>
      <c r="H102" s="370">
        <f ca="1">I118</f>
        <v>25398</v>
      </c>
      <c r="I102" s="137"/>
    </row>
    <row r="103" spans="1:35" ht="42.75" customHeight="1">
      <c r="A103" s="3084"/>
      <c r="B103" s="2520" t="s">
        <v>2304</v>
      </c>
      <c r="C103" s="735">
        <f ca="1">C20</f>
        <v>29330</v>
      </c>
      <c r="D103" s="736">
        <f ca="1">D20</f>
        <v>22181</v>
      </c>
      <c r="E103" s="3048" t="s">
        <v>2305</v>
      </c>
      <c r="F103" s="3049"/>
      <c r="G103" s="2521" t="s">
        <v>2306</v>
      </c>
      <c r="H103" s="1045">
        <f>IF(D36="正常操作",H104+H105+H106,H105+H106)</f>
        <v>0</v>
      </c>
      <c r="I103" s="137"/>
    </row>
    <row r="104" spans="1:35" ht="18.75" customHeight="1">
      <c r="A104" s="3084" t="s">
        <v>2307</v>
      </c>
      <c r="B104" s="2522" t="s">
        <v>2302</v>
      </c>
      <c r="C104" s="737">
        <f ca="1">H118</f>
        <v>71259</v>
      </c>
      <c r="D104" s="738"/>
      <c r="E104" s="2266" t="s">
        <v>2308</v>
      </c>
      <c r="F104" s="2257"/>
      <c r="G104" s="2521" t="s">
        <v>2306</v>
      </c>
      <c r="H104" s="1046">
        <f>IF(D36="同一抵押权人同一抵押物续贷",C36&amp;"（未扣减，详见特别提示）",C36)</f>
        <v>0</v>
      </c>
      <c r="I104" s="137"/>
    </row>
    <row r="105" spans="1:35" ht="18.75" customHeight="1" thickBot="1">
      <c r="A105" s="3096"/>
      <c r="B105" s="2523" t="s">
        <v>2304</v>
      </c>
      <c r="C105" s="739">
        <f ca="1">I118</f>
        <v>25398</v>
      </c>
      <c r="D105" s="740"/>
      <c r="E105" s="2266" t="s">
        <v>2309</v>
      </c>
      <c r="F105" s="2257"/>
      <c r="G105" s="2521" t="s">
        <v>2306</v>
      </c>
      <c r="H105" s="1046">
        <f>C37</f>
        <v>0</v>
      </c>
      <c r="I105" s="137"/>
    </row>
    <row r="106" spans="1:35" ht="18.75" customHeight="1">
      <c r="A106" s="2418" t="s">
        <v>2310</v>
      </c>
      <c r="B106" s="2418"/>
      <c r="C106" s="2418"/>
      <c r="D106" s="2418"/>
      <c r="E106" s="2524" t="s">
        <v>2311</v>
      </c>
      <c r="F106" s="2257"/>
      <c r="G106" s="2521" t="s">
        <v>2306</v>
      </c>
      <c r="H106" s="1046">
        <f>C38</f>
        <v>0</v>
      </c>
      <c r="I106" s="137"/>
    </row>
    <row r="107" spans="1:35" ht="18.75" customHeight="1">
      <c r="A107" s="137"/>
      <c r="B107" s="137"/>
      <c r="C107" s="137"/>
      <c r="D107" s="137"/>
      <c r="E107" s="3085" t="str">
        <f>IF(项目基本情况!E8="已注销","——","3.房地产抵押价值")</f>
        <v>3.房地产抵押价值</v>
      </c>
      <c r="F107" s="3055"/>
      <c r="G107" s="2520" t="s">
        <v>2302</v>
      </c>
      <c r="H107" s="1045">
        <f ca="1">IF(E107="——","——",H101-H103)</f>
        <v>71259</v>
      </c>
      <c r="I107" s="137"/>
    </row>
    <row r="108" spans="1:35" ht="18.75" customHeight="1">
      <c r="A108" s="137"/>
      <c r="B108" s="137"/>
      <c r="C108" s="137"/>
      <c r="D108" s="137"/>
      <c r="E108" s="3085"/>
      <c r="F108" s="3055"/>
      <c r="G108" s="2520" t="s">
        <v>2304</v>
      </c>
      <c r="H108" s="370">
        <f ca="1">ROUND(H107*10000/'数据-汇总表'!E3,0)</f>
        <v>25398</v>
      </c>
      <c r="I108" s="137"/>
    </row>
    <row r="109" spans="1:35" ht="18.75" customHeight="1">
      <c r="A109" s="137"/>
      <c r="B109" s="137"/>
      <c r="C109" s="137"/>
      <c r="D109" s="137"/>
      <c r="E109" s="3085" t="str">
        <f>IF(项目基本情况!E8="已注销及未注销","4.抵押担保权已注销时的房地产抵押价值",IF(项目基本情况!E8="已注销","3.抵押担保权已注销时的房地产抵押价值","——"))</f>
        <v>——</v>
      </c>
      <c r="F109" s="3055"/>
      <c r="G109" s="2520" t="s">
        <v>2302</v>
      </c>
      <c r="H109" s="347" t="str">
        <f>IF(E109="——","——",H101-H105-H106)</f>
        <v>——</v>
      </c>
      <c r="I109" s="137"/>
    </row>
    <row r="110" spans="1:35" ht="18.75" customHeight="1">
      <c r="A110" s="137"/>
      <c r="B110" s="137"/>
      <c r="C110" s="137"/>
      <c r="D110" s="137"/>
      <c r="E110" s="3085"/>
      <c r="F110" s="3055"/>
      <c r="G110" s="2520" t="s">
        <v>2304</v>
      </c>
      <c r="H110" s="370" t="str">
        <f>IF(H109="——","——",ROUND(H109*10000/'数据-汇总表'!E3,0))</f>
        <v>——</v>
      </c>
      <c r="I110" s="137"/>
    </row>
    <row r="111" spans="1:35" ht="18.75" customHeight="1">
      <c r="A111" s="137"/>
      <c r="B111" s="137"/>
      <c r="C111" s="137"/>
      <c r="D111" s="137"/>
      <c r="E111" s="3086" t="str">
        <f>IF(项目基本情况!E9="抵押净值",IF(OR(项目基本情况!E8="已注销",项目基本情况!E8="房地产抵押价值"),"4.抵押净值","5.抵押净值"),"——")</f>
        <v>——</v>
      </c>
      <c r="F111" s="3087"/>
      <c r="G111" s="2520" t="s">
        <v>2302</v>
      </c>
      <c r="H111" s="1045" t="str">
        <f>IF(E111="——","——",N59)</f>
        <v>——</v>
      </c>
      <c r="I111" s="137"/>
    </row>
    <row r="112" spans="1:35" ht="18.75" customHeight="1" thickBot="1">
      <c r="A112" s="137"/>
      <c r="B112" s="137"/>
      <c r="C112" s="137"/>
      <c r="D112" s="137"/>
      <c r="E112" s="3088"/>
      <c r="F112" s="3089"/>
      <c r="G112" s="2525" t="s">
        <v>2304</v>
      </c>
      <c r="H112" s="787" t="str">
        <f>IF(E111="——","——",N61)</f>
        <v>——</v>
      </c>
      <c r="I112" s="137"/>
    </row>
    <row r="113" spans="1:11" ht="18.75" customHeight="1">
      <c r="A113" s="137"/>
      <c r="B113" s="137"/>
      <c r="C113" s="137"/>
      <c r="D113" s="137"/>
      <c r="E113" s="3097" t="s">
        <v>2310</v>
      </c>
      <c r="F113" s="3097"/>
      <c r="G113" s="3097"/>
      <c r="H113" s="3097"/>
      <c r="I113" s="137"/>
    </row>
    <row r="114" spans="1:11" ht="3.75" customHeight="1">
      <c r="A114" s="2418"/>
      <c r="B114" s="2418"/>
      <c r="C114" s="2418"/>
      <c r="D114" s="2418"/>
      <c r="E114" s="2496"/>
      <c r="F114" s="2496"/>
      <c r="G114" s="2496"/>
      <c r="H114" s="2496"/>
      <c r="I114" s="2418"/>
    </row>
    <row r="115" spans="1:11" ht="18.75" customHeight="1">
      <c r="A115" s="3110" t="s">
        <v>2312</v>
      </c>
      <c r="B115" s="3111"/>
      <c r="C115" s="3111"/>
      <c r="D115" s="3111"/>
      <c r="E115" s="3111"/>
      <c r="F115" s="3111"/>
      <c r="G115" s="3111"/>
      <c r="H115" s="3111"/>
      <c r="I115" s="3112"/>
    </row>
    <row r="116" spans="1:11" ht="27" customHeight="1">
      <c r="A116" s="3021" t="s">
        <v>2313</v>
      </c>
      <c r="B116" s="3064" t="s">
        <v>2314</v>
      </c>
      <c r="C116" s="3064" t="s">
        <v>2315</v>
      </c>
      <c r="D116" s="3070" t="s">
        <v>2316</v>
      </c>
      <c r="E116" s="3071"/>
      <c r="F116" s="3106" t="s">
        <v>2317</v>
      </c>
      <c r="G116" s="3106"/>
      <c r="H116" s="3021" t="s">
        <v>2318</v>
      </c>
      <c r="I116" s="3021"/>
    </row>
    <row r="117" spans="1:11" ht="18.75" customHeight="1">
      <c r="A117" s="3021"/>
      <c r="B117" s="3065"/>
      <c r="C117" s="3065"/>
      <c r="D117" s="1795" t="s">
        <v>2319</v>
      </c>
      <c r="E117" s="1795" t="s">
        <v>2320</v>
      </c>
      <c r="F117" s="1795" t="s">
        <v>2319</v>
      </c>
      <c r="G117" s="1795" t="s">
        <v>2321</v>
      </c>
      <c r="H117" s="1795" t="s">
        <v>2319</v>
      </c>
      <c r="I117" s="1795" t="s">
        <v>2321</v>
      </c>
    </row>
    <row r="118" spans="1:11" ht="24.75" customHeight="1">
      <c r="A118" s="2526" t="str">
        <f>项目基本情况!S2</f>
        <v>北京市房地产</v>
      </c>
      <c r="B118" s="1795">
        <f>M18</f>
        <v>28056.880000000005</v>
      </c>
      <c r="C118" s="1795">
        <f>M19</f>
        <v>12718.02</v>
      </c>
      <c r="D118" s="1795">
        <f ca="1">ROUND(IF(D32="总价",C34,E118*B118/10000),0)</f>
        <v>38979</v>
      </c>
      <c r="E118" s="1795">
        <f ca="1">ROUND(IF(C33="自定义",IF(D32="楼面单价",C34,D118*10000/B118),I118-G118),0)</f>
        <v>13893</v>
      </c>
      <c r="F118" s="1795">
        <f ca="1">ROUND(IF(D32="总价",C35,G118*B118/10000),0)</f>
        <v>32280</v>
      </c>
      <c r="G118" s="1795">
        <f ca="1">ROUND(IF(D32="楼面单价",C35,F118*10000/B118),0)</f>
        <v>11505</v>
      </c>
      <c r="H118" s="1795">
        <f ca="1">ROUND(IF(D32="总价",C32,I118*B118/10000),0)</f>
        <v>71259</v>
      </c>
      <c r="I118" s="1795">
        <f ca="1">ROUND(IF(D32="楼面单价",C32,H118*10000/B118),0)</f>
        <v>25398</v>
      </c>
    </row>
    <row r="119" spans="1:11" ht="18.75" customHeight="1">
      <c r="A119" s="3021" t="s">
        <v>2322</v>
      </c>
      <c r="B119" s="3021"/>
      <c r="C119" s="3021"/>
      <c r="D119" s="3066" t="str">
        <f ca="1">NUMBERSTRING(INT(D118*10000),2)&amp;"元整"</f>
        <v>叁亿捌仟玖佰柒拾玖万元整</v>
      </c>
      <c r="E119" s="3067"/>
      <c r="F119" s="3066" t="str">
        <f ca="1">NUMBERSTRING(INT(F118*10000),2)&amp;"元整"</f>
        <v>叁亿贰仟贰佰捌拾万元整</v>
      </c>
      <c r="G119" s="3067"/>
      <c r="H119" s="3066" t="str">
        <f ca="1">NUMBERSTRING(INT(H118*10000),2)&amp;"元整"</f>
        <v>柒亿壹仟贰佰伍拾玖万元整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3" t="str">
        <f>IF(D120=0,"故，本次评估不存在"&amp;A120,"故，本次评估"&amp;A120&amp;"为人民币"&amp;D120&amp;"万元整。")</f>
        <v>故，本次评估不存在估价师知悉的法定优先受偿款</v>
      </c>
    </row>
    <row r="121" spans="1:11" ht="18.75" customHeight="1">
      <c r="A121" s="3107" t="s">
        <v>2322</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71259</v>
      </c>
      <c r="E122" s="3062"/>
      <c r="F122" s="3062"/>
      <c r="G122" s="3062"/>
      <c r="H122" s="3062"/>
      <c r="I122" s="3063"/>
    </row>
    <row r="123" spans="1:11" ht="18.75" customHeight="1">
      <c r="A123" s="3021" t="s">
        <v>2322</v>
      </c>
      <c r="B123" s="3021"/>
      <c r="C123" s="3021"/>
      <c r="D123" s="3066" t="str">
        <f ca="1">NUMBERSTRING(INT(D122*10000),2)&amp;"元整"</f>
        <v>柒亿壹仟贰佰伍拾玖万元整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2322</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2322</v>
      </c>
      <c r="B127" s="3021"/>
      <c r="C127" s="3021"/>
      <c r="D127" s="3066" t="e">
        <f>NUMBERSTRING(INT(D126*10000),2)&amp;"元整"</f>
        <v>#VALUE!</v>
      </c>
      <c r="E127" s="3068"/>
      <c r="F127" s="3068"/>
      <c r="G127" s="3068"/>
      <c r="H127" s="3068"/>
      <c r="I127" s="3067"/>
    </row>
    <row r="128" spans="1:11" ht="21.75" customHeight="1">
      <c r="A128" s="3069" t="s">
        <v>2323</v>
      </c>
      <c r="B128" s="3069"/>
      <c r="C128" s="3069"/>
      <c r="D128" s="3069"/>
      <c r="E128" s="3069"/>
      <c r="F128" s="3069"/>
      <c r="G128" s="3069"/>
      <c r="H128" s="3069"/>
      <c r="I128" s="3069"/>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2"/>
    </row>
    <row r="135" spans="1:35" ht="21.75" customHeight="1">
      <c r="A135" s="792"/>
      <c r="B135" s="792"/>
      <c r="C135" s="792"/>
      <c r="D135" s="792"/>
      <c r="E135" s="792"/>
      <c r="F135" s="2543" t="s">
        <v>2326</v>
      </c>
      <c r="G135" s="2544"/>
      <c r="H135" s="2544"/>
      <c r="I135" s="2545" t="s">
        <v>2327</v>
      </c>
    </row>
    <row r="136" spans="1:35" ht="21.75" customHeight="1">
      <c r="A136" s="792"/>
      <c r="B136" s="2546" t="s">
        <v>2328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4"/>
      <c r="C138" s="2544"/>
      <c r="D138" s="2544"/>
      <c r="E138" s="2544"/>
      <c r="F138" s="2544"/>
      <c r="G138" s="2544"/>
      <c r="H138" s="2544"/>
      <c r="I138" s="2545" t="s">
        <v>2329</v>
      </c>
    </row>
    <row r="139" spans="1:35" ht="21.75" customHeight="1">
      <c r="A139" s="792"/>
      <c r="B139" s="2546" t="s">
        <v>2330</v>
      </c>
      <c r="C139" s="792"/>
      <c r="D139" s="792"/>
      <c r="E139" s="792"/>
      <c r="F139" s="792"/>
      <c r="G139" s="792"/>
      <c r="H139" s="792"/>
      <c r="I139" s="792"/>
    </row>
    <row r="140" spans="1:35" ht="21.75" customHeight="1">
      <c r="A140" s="792"/>
      <c r="B140" s="2546"/>
      <c r="C140" s="792"/>
      <c r="D140" s="792"/>
      <c r="E140" s="792"/>
      <c r="F140" s="792"/>
      <c r="G140" s="792"/>
      <c r="H140" s="792"/>
      <c r="I140" s="792"/>
    </row>
    <row r="141" spans="1:35" ht="21.75" customHeight="1">
      <c r="A141" s="792"/>
      <c r="B141" s="2544"/>
      <c r="C141" s="2544"/>
      <c r="D141" s="2544"/>
      <c r="E141" s="2544"/>
      <c r="F141" s="2544"/>
      <c r="G141" s="2544"/>
      <c r="H141" s="2544"/>
      <c r="I141" s="2545" t="s">
        <v>2329</v>
      </c>
    </row>
    <row r="142" spans="1:35" ht="21.75" customHeight="1">
      <c r="A142" s="792"/>
      <c r="B142" s="2546"/>
      <c r="C142" s="2547"/>
      <c r="D142" s="2548"/>
      <c r="E142" s="2548"/>
      <c r="F142" s="2340"/>
      <c r="G142" s="792"/>
      <c r="H142" s="792"/>
      <c r="I142" s="792"/>
    </row>
    <row r="143" spans="1:35" s="138" customFormat="1" ht="21.75" customHeight="1">
      <c r="A143" s="792"/>
      <c r="B143" s="2546"/>
      <c r="C143" s="2547"/>
      <c r="D143" s="2548"/>
      <c r="E143" s="2548"/>
      <c r="F143" s="234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K26" sqref="K2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4" t="s">
        <v>2647</v>
      </c>
      <c r="C1" s="1634" t="s">
        <v>2535</v>
      </c>
      <c r="D1" s="1621" t="s">
        <v>1377</v>
      </c>
      <c r="E1" s="2659"/>
      <c r="F1" s="2586" t="s">
        <v>3089</v>
      </c>
      <c r="G1" s="1631" t="s">
        <v>2648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2332</v>
      </c>
      <c r="B2" s="1418">
        <f>IF(C2="——",ROUND(C49*D3/10000,0),ROUND(C49*D3/10000,0)-D2)</f>
        <v>132827</v>
      </c>
      <c r="C2" s="2588" t="s">
        <v>70</v>
      </c>
      <c r="D2" s="1365" t="e">
        <f ca="1">SUMIF(INDIRECT("'"&amp;F2&amp;"'"&amp;"!A:A"),"承租人权益价值",INDIRECT("'"&amp;F2&amp;"'"&amp;"!c:c"))</f>
        <v>#REF!</v>
      </c>
      <c r="E2" s="2589" t="s">
        <v>2333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7" customFormat="1" ht="28.5" customHeight="1" thickBot="1">
      <c r="A3" s="246" t="s">
        <v>2334</v>
      </c>
      <c r="B3" s="608">
        <f>IF(C2="——",C49,ROUND(B2*10000/D3,0))</f>
        <v>47342</v>
      </c>
      <c r="C3" s="399" t="s">
        <v>2649</v>
      </c>
      <c r="D3" s="398">
        <f>IF(D1="",'数据-汇总表'!E3,SUMIF('数据-汇总表'!$C19:$C33,D1,'数据-汇总表'!$E19:$E33))</f>
        <v>28056.880000000005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0" t="s">
        <v>2650</v>
      </c>
      <c r="B4" s="401"/>
      <c r="C4" s="3166" t="s">
        <v>2651</v>
      </c>
      <c r="D4" s="3167"/>
      <c r="E4" s="3168" t="s">
        <v>2652</v>
      </c>
      <c r="F4" s="3169"/>
      <c r="G4" s="3166" t="s">
        <v>2653</v>
      </c>
      <c r="H4" s="3167"/>
      <c r="I4" s="3166" t="s">
        <v>2654</v>
      </c>
      <c r="J4" s="3167"/>
      <c r="K4" s="609" t="s">
        <v>2655</v>
      </c>
      <c r="L4" s="1130"/>
      <c r="M4" s="1131"/>
      <c r="N4" s="1131"/>
      <c r="O4" s="1131"/>
      <c r="P4" s="3170" t="s">
        <v>2656</v>
      </c>
      <c r="Q4" s="3171"/>
      <c r="R4" s="3151" t="s">
        <v>2652</v>
      </c>
      <c r="S4" s="3152"/>
      <c r="T4" s="3151" t="s">
        <v>2653</v>
      </c>
      <c r="U4" s="3152"/>
      <c r="V4" s="3148" t="s">
        <v>2654</v>
      </c>
      <c r="W4" s="3148"/>
      <c r="X4" s="1813"/>
      <c r="Y4" s="3151" t="s">
        <v>2656</v>
      </c>
      <c r="Z4" s="3152"/>
      <c r="AA4" s="3145" t="s">
        <v>2652</v>
      </c>
      <c r="AB4" s="3148" t="s">
        <v>2653</v>
      </c>
      <c r="AC4" s="3145" t="s">
        <v>2654</v>
      </c>
    </row>
    <row r="5" spans="1:29" ht="15">
      <c r="A5" s="403"/>
      <c r="B5" s="404"/>
      <c r="C5" s="3157" t="s">
        <v>2547</v>
      </c>
      <c r="D5" s="3158"/>
      <c r="E5" s="3155" t="s">
        <v>3132</v>
      </c>
      <c r="F5" s="3156"/>
      <c r="G5" s="3161" t="s">
        <v>3133</v>
      </c>
      <c r="H5" s="3158"/>
      <c r="I5" s="3161" t="s">
        <v>3137</v>
      </c>
      <c r="J5" s="3158"/>
      <c r="K5" s="609"/>
      <c r="L5" s="1130"/>
      <c r="M5" s="1131"/>
      <c r="N5" s="1131"/>
      <c r="O5" s="1131"/>
      <c r="P5" s="3172"/>
      <c r="Q5" s="3173"/>
      <c r="R5" s="3153"/>
      <c r="S5" s="3154"/>
      <c r="T5" s="3153"/>
      <c r="U5" s="3154"/>
      <c r="V5" s="3148"/>
      <c r="W5" s="3148"/>
      <c r="X5" s="1813"/>
      <c r="Y5" s="3153"/>
      <c r="Z5" s="3154"/>
      <c r="AA5" s="3146"/>
      <c r="AB5" s="3148"/>
      <c r="AC5" s="3146"/>
    </row>
    <row r="6" spans="1:29" ht="15.75" thickBot="1">
      <c r="A6" s="405"/>
      <c r="B6" s="406"/>
      <c r="C6" s="3159" t="s">
        <v>2551</v>
      </c>
      <c r="D6" s="3160"/>
      <c r="E6" s="3162" t="s">
        <v>3134</v>
      </c>
      <c r="F6" s="3163"/>
      <c r="G6" s="3164" t="s">
        <v>3135</v>
      </c>
      <c r="H6" s="3160"/>
      <c r="I6" s="3164" t="s">
        <v>3136</v>
      </c>
      <c r="J6" s="3160"/>
      <c r="K6" s="609" t="s">
        <v>2552</v>
      </c>
      <c r="L6" s="1130"/>
      <c r="M6" s="1131"/>
      <c r="N6" s="1131"/>
      <c r="O6" s="1131"/>
      <c r="P6" s="3174"/>
      <c r="Q6" s="3175"/>
      <c r="R6" s="3153"/>
      <c r="S6" s="3154"/>
      <c r="T6" s="3176"/>
      <c r="U6" s="3177"/>
      <c r="V6" s="3148"/>
      <c r="W6" s="3148"/>
      <c r="X6" s="1813"/>
      <c r="Y6" s="3176"/>
      <c r="Z6" s="3177"/>
      <c r="AA6" s="3147"/>
      <c r="AB6" s="3148"/>
      <c r="AC6" s="3147"/>
    </row>
    <row r="7" spans="1:29" s="116" customFormat="1" ht="15.75" thickBot="1">
      <c r="A7" s="407" t="s">
        <v>2553</v>
      </c>
      <c r="B7" s="408"/>
      <c r="C7" s="409">
        <f>'数据-取费表'!B2</f>
        <v>43208</v>
      </c>
      <c r="D7" s="410">
        <v>100</v>
      </c>
      <c r="E7" s="411">
        <v>43200</v>
      </c>
      <c r="F7" s="412">
        <f>SUMIF(58:58,YEAR(E7)&amp;"-"&amp;MONTH(E7),59:59)</f>
        <v>100</v>
      </c>
      <c r="G7" s="411">
        <v>43200</v>
      </c>
      <c r="H7" s="410">
        <f>SUMIF(58:58,YEAR(G7)&amp;"-"&amp;MONTH(G7),59:59)</f>
        <v>100</v>
      </c>
      <c r="I7" s="411">
        <v>43200</v>
      </c>
      <c r="J7" s="410">
        <f>SUMIF(58:58,YEAR(I7)&amp;"-"&amp;MONTH(I7),59:59)</f>
        <v>100</v>
      </c>
      <c r="K7" s="610"/>
      <c r="L7" s="1132"/>
      <c r="M7" s="1133"/>
      <c r="N7" s="1133"/>
      <c r="O7" s="1133"/>
      <c r="P7" s="3149" t="s">
        <v>2554</v>
      </c>
      <c r="Q7" s="3178"/>
      <c r="R7" s="767" t="s">
        <v>17</v>
      </c>
      <c r="S7" s="768">
        <f t="shared" ref="S7:S15" si="0">F7</f>
        <v>100</v>
      </c>
      <c r="T7" s="767" t="s">
        <v>17</v>
      </c>
      <c r="U7" s="768">
        <f t="shared" ref="U7:U15" si="1">H7</f>
        <v>100</v>
      </c>
      <c r="V7" s="767" t="s">
        <v>17</v>
      </c>
      <c r="W7" s="768">
        <f t="shared" ref="W7:W15" si="2">J7</f>
        <v>100</v>
      </c>
      <c r="X7" s="769"/>
      <c r="Y7" s="3149" t="s">
        <v>2554</v>
      </c>
      <c r="Z7" s="3150"/>
      <c r="AA7" s="770">
        <f>D7/F7</f>
        <v>1</v>
      </c>
      <c r="AB7" s="770">
        <f>D7/H7</f>
        <v>1</v>
      </c>
      <c r="AC7" s="770">
        <f>D7/J7</f>
        <v>1</v>
      </c>
    </row>
    <row r="8" spans="1:29" s="116" customFormat="1" ht="15.75" thickBot="1">
      <c r="A8" s="407" t="s">
        <v>2555</v>
      </c>
      <c r="B8" s="408"/>
      <c r="C8" s="413" t="s">
        <v>2657</v>
      </c>
      <c r="D8" s="410">
        <v>100</v>
      </c>
      <c r="E8" s="413" t="s">
        <v>3122</v>
      </c>
      <c r="F8" s="412">
        <f>SUMIF(61:61,E8,62:62)-SUMIF(61:61,C8,62:62)+100</f>
        <v>100</v>
      </c>
      <c r="G8" s="413" t="s">
        <v>3122</v>
      </c>
      <c r="H8" s="410">
        <f>SUMIF(61:61,G8,62:62)-SUMIF(61:61,C8,62:62)+100</f>
        <v>100</v>
      </c>
      <c r="I8" s="413" t="s">
        <v>3122</v>
      </c>
      <c r="J8" s="410">
        <f>SUMIF(61:61,I8,62:62)-SUMIF(61:61,C8,62:62)+100</f>
        <v>100</v>
      </c>
      <c r="K8" s="610"/>
      <c r="L8" s="1132"/>
      <c r="M8" s="1133"/>
      <c r="N8" s="1133"/>
      <c r="O8" s="1133"/>
      <c r="P8" s="3149" t="s">
        <v>2557</v>
      </c>
      <c r="Q8" s="3150"/>
      <c r="R8" s="767" t="s">
        <v>17</v>
      </c>
      <c r="S8" s="768">
        <f t="shared" si="0"/>
        <v>100</v>
      </c>
      <c r="T8" s="767" t="s">
        <v>17</v>
      </c>
      <c r="U8" s="768">
        <f t="shared" si="1"/>
        <v>100</v>
      </c>
      <c r="V8" s="767" t="s">
        <v>17</v>
      </c>
      <c r="W8" s="768">
        <f t="shared" si="2"/>
        <v>100</v>
      </c>
      <c r="X8" s="769"/>
      <c r="Y8" s="3149" t="s">
        <v>2557</v>
      </c>
      <c r="Z8" s="3150"/>
      <c r="AA8" s="770">
        <f t="shared" ref="AA8:AA46" si="3">D8/F8</f>
        <v>1</v>
      </c>
      <c r="AB8" s="770">
        <f t="shared" ref="AB8:AB46" si="4">D8/H8</f>
        <v>1</v>
      </c>
      <c r="AC8" s="770">
        <f t="shared" ref="AC8:AC46" si="5">D8/J8</f>
        <v>1</v>
      </c>
    </row>
    <row r="9" spans="1:29" s="116" customFormat="1">
      <c r="A9" s="414" t="s">
        <v>2558</v>
      </c>
      <c r="B9" s="70" t="s">
        <v>2559</v>
      </c>
      <c r="C9" s="3288" t="s">
        <v>3162</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165" t="s">
        <v>2560</v>
      </c>
      <c r="Q9" s="1795" t="str">
        <f t="shared" ref="Q9:Q15" si="6">B9</f>
        <v>用途</v>
      </c>
      <c r="R9" s="767" t="s">
        <v>17</v>
      </c>
      <c r="S9" s="768">
        <f t="shared" si="0"/>
        <v>100</v>
      </c>
      <c r="T9" s="767" t="s">
        <v>17</v>
      </c>
      <c r="U9" s="768">
        <f t="shared" si="1"/>
        <v>100</v>
      </c>
      <c r="V9" s="767" t="s">
        <v>17</v>
      </c>
      <c r="W9" s="768">
        <f t="shared" si="2"/>
        <v>100</v>
      </c>
      <c r="X9" s="769"/>
      <c r="Y9" s="3021" t="s">
        <v>2561</v>
      </c>
      <c r="Z9" s="54" t="str">
        <f t="shared" ref="Z9:Z15" si="7">Q9</f>
        <v>用途</v>
      </c>
      <c r="AA9" s="770">
        <f t="shared" si="3"/>
        <v>1</v>
      </c>
      <c r="AB9" s="770">
        <f t="shared" si="4"/>
        <v>1</v>
      </c>
      <c r="AC9" s="770">
        <f t="shared" si="5"/>
        <v>1</v>
      </c>
    </row>
    <row r="10" spans="1:29" s="426" customFormat="1" ht="27">
      <c r="A10" s="420"/>
      <c r="B10" s="421" t="s">
        <v>2562</v>
      </c>
      <c r="C10" s="422" t="s">
        <v>3161</v>
      </c>
      <c r="D10" s="135">
        <v>100</v>
      </c>
      <c r="E10" s="423" t="s">
        <v>3161</v>
      </c>
      <c r="F10" s="424">
        <f>SUMIF(65:65,E10,66:66)-SUMIF(65:65,C10,66:66)+100</f>
        <v>100</v>
      </c>
      <c r="G10" s="422" t="s">
        <v>3161</v>
      </c>
      <c r="H10" s="135">
        <f>SUMIF(65:65,G10,66:66)-SUMIF(65:65,C10,66:66)+100</f>
        <v>100</v>
      </c>
      <c r="I10" s="422" t="s">
        <v>3161</v>
      </c>
      <c r="J10" s="135">
        <f>SUMIF(65:65,I10,66:66)-SUMIF(65:65,C10,66:66)+100</f>
        <v>100</v>
      </c>
      <c r="K10" s="611"/>
      <c r="L10" s="1135"/>
      <c r="M10" s="1136"/>
      <c r="N10" s="1136"/>
      <c r="O10" s="1136"/>
      <c r="P10" s="3165"/>
      <c r="Q10" s="1795"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7"/>
      <c r="B11" s="421"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165"/>
      <c r="Q11" s="1795" t="str">
        <f t="shared" si="6"/>
        <v>容积率</v>
      </c>
      <c r="R11" s="767" t="s">
        <v>17</v>
      </c>
      <c r="S11" s="768">
        <f t="shared" si="0"/>
        <v>100</v>
      </c>
      <c r="T11" s="767" t="s">
        <v>17</v>
      </c>
      <c r="U11" s="768">
        <f t="shared" si="1"/>
        <v>100</v>
      </c>
      <c r="V11" s="767" t="s">
        <v>17</v>
      </c>
      <c r="W11" s="768">
        <f t="shared" si="2"/>
        <v>100</v>
      </c>
      <c r="X11" s="769"/>
      <c r="Y11" s="3021"/>
      <c r="Z11" s="54" t="str">
        <f t="shared" si="7"/>
        <v>容积率</v>
      </c>
      <c r="AA11" s="770">
        <f t="shared" si="3"/>
        <v>1</v>
      </c>
      <c r="AB11" s="770">
        <f t="shared" si="4"/>
        <v>1</v>
      </c>
      <c r="AC11" s="770">
        <f t="shared" si="5"/>
        <v>1</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165"/>
      <c r="Q12" s="1795">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65"/>
      <c r="Q13" s="1795">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65"/>
      <c r="Q14" s="1795">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770">
        <f t="shared" si="5"/>
        <v>1</v>
      </c>
    </row>
    <row r="15" spans="1:29" ht="71.25">
      <c r="A15" s="439" t="s">
        <v>2564</v>
      </c>
      <c r="B15" s="68" t="s">
        <v>2658</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40"/>
      <c r="M15" s="1131"/>
      <c r="N15" s="1131"/>
      <c r="O15" s="1131"/>
      <c r="P15" s="3179" t="s">
        <v>2565</v>
      </c>
      <c r="Q15" s="1810" t="str">
        <f t="shared" si="6"/>
        <v>商业繁华度</v>
      </c>
      <c r="R15" s="771" t="s">
        <v>17</v>
      </c>
      <c r="S15" s="772">
        <f t="shared" si="0"/>
        <v>100</v>
      </c>
      <c r="T15" s="771" t="s">
        <v>17</v>
      </c>
      <c r="U15" s="772">
        <f t="shared" si="1"/>
        <v>100</v>
      </c>
      <c r="V15" s="771" t="s">
        <v>17</v>
      </c>
      <c r="W15" s="772">
        <f t="shared" si="2"/>
        <v>100</v>
      </c>
      <c r="X15" s="1813"/>
      <c r="Y15" s="3181" t="s">
        <v>2565</v>
      </c>
      <c r="Z15" s="1814" t="str">
        <f t="shared" si="7"/>
        <v>商业繁华度</v>
      </c>
      <c r="AA15" s="1811">
        <f t="shared" si="3"/>
        <v>1</v>
      </c>
      <c r="AB15" s="1811">
        <f t="shared" si="4"/>
        <v>1</v>
      </c>
      <c r="AC15" s="1811">
        <f t="shared" si="5"/>
        <v>1</v>
      </c>
    </row>
    <row r="16" spans="1:29" ht="15">
      <c r="A16" s="427"/>
      <c r="B16" s="445"/>
      <c r="C16" s="446" t="s">
        <v>3084</v>
      </c>
      <c r="D16" s="447"/>
      <c r="E16" s="446" t="s">
        <v>3084</v>
      </c>
      <c r="F16" s="448"/>
      <c r="G16" s="446" t="s">
        <v>3084</v>
      </c>
      <c r="H16" s="449"/>
      <c r="I16" s="446" t="s">
        <v>3084</v>
      </c>
      <c r="J16" s="447"/>
      <c r="K16" s="614"/>
      <c r="L16" s="1140"/>
      <c r="M16" s="1131"/>
      <c r="N16" s="1131"/>
      <c r="O16" s="1131"/>
      <c r="P16" s="3180"/>
      <c r="Q16" s="1810"/>
      <c r="R16" s="771"/>
      <c r="S16" s="772"/>
      <c r="T16" s="771"/>
      <c r="U16" s="772"/>
      <c r="V16" s="771"/>
      <c r="W16" s="772"/>
      <c r="X16" s="1813"/>
      <c r="Y16" s="3182"/>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180"/>
      <c r="Q17" s="1810" t="str">
        <f>B17</f>
        <v>交通便捷度</v>
      </c>
      <c r="R17" s="771" t="s">
        <v>17</v>
      </c>
      <c r="S17" s="772">
        <f>F17</f>
        <v>100</v>
      </c>
      <c r="T17" s="771" t="s">
        <v>17</v>
      </c>
      <c r="U17" s="772">
        <f>H17</f>
        <v>100</v>
      </c>
      <c r="V17" s="771" t="s">
        <v>17</v>
      </c>
      <c r="W17" s="772">
        <f>J17</f>
        <v>100</v>
      </c>
      <c r="X17" s="1813"/>
      <c r="Y17" s="3182"/>
      <c r="Z17" s="1814" t="str">
        <f>Q17</f>
        <v>交通便捷度</v>
      </c>
      <c r="AA17" s="1811">
        <f t="shared" si="3"/>
        <v>1</v>
      </c>
      <c r="AB17" s="1811">
        <f t="shared" si="4"/>
        <v>1</v>
      </c>
      <c r="AC17" s="1811">
        <f t="shared" si="5"/>
        <v>1</v>
      </c>
    </row>
    <row r="18" spans="1:29" ht="15">
      <c r="A18" s="427"/>
      <c r="B18" s="455"/>
      <c r="C18" s="2610" t="s">
        <v>3084</v>
      </c>
      <c r="D18" s="449"/>
      <c r="E18" s="2612" t="s">
        <v>3084</v>
      </c>
      <c r="F18" s="452"/>
      <c r="G18" s="2611" t="s">
        <v>3084</v>
      </c>
      <c r="H18" s="447"/>
      <c r="I18" s="2612" t="s">
        <v>3084</v>
      </c>
      <c r="J18" s="447"/>
      <c r="K18" s="614"/>
      <c r="L18" s="1140"/>
      <c r="M18" s="1131"/>
      <c r="N18" s="1131"/>
      <c r="O18" s="1131"/>
      <c r="P18" s="3180"/>
      <c r="Q18" s="1810"/>
      <c r="R18" s="771"/>
      <c r="S18" s="772"/>
      <c r="T18" s="771"/>
      <c r="U18" s="772"/>
      <c r="V18" s="771"/>
      <c r="W18" s="772"/>
      <c r="X18" s="1813"/>
      <c r="Y18" s="3182"/>
      <c r="Z18" s="1814"/>
      <c r="AA18" s="1811">
        <v>1</v>
      </c>
      <c r="AB18" s="1811">
        <v>1</v>
      </c>
      <c r="AC18" s="1811">
        <v>1</v>
      </c>
    </row>
    <row r="19" spans="1:29" ht="42.75">
      <c r="A19" s="427"/>
      <c r="B19" s="450" t="s">
        <v>2659</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40"/>
      <c r="M19" s="1131"/>
      <c r="N19" s="1131"/>
      <c r="O19" s="1131"/>
      <c r="P19" s="3180"/>
      <c r="Q19" s="1810" t="str">
        <f>B19</f>
        <v>公共配套设施</v>
      </c>
      <c r="R19" s="771" t="s">
        <v>17</v>
      </c>
      <c r="S19" s="772">
        <f>F19</f>
        <v>100</v>
      </c>
      <c r="T19" s="771" t="s">
        <v>17</v>
      </c>
      <c r="U19" s="772">
        <f>H19</f>
        <v>100</v>
      </c>
      <c r="V19" s="771" t="s">
        <v>17</v>
      </c>
      <c r="W19" s="772">
        <f>J19</f>
        <v>100</v>
      </c>
      <c r="X19" s="1813"/>
      <c r="Y19" s="3182"/>
      <c r="Z19" s="1814" t="str">
        <f>Q19</f>
        <v>公共配套设施</v>
      </c>
      <c r="AA19" s="1811">
        <f t="shared" si="3"/>
        <v>1</v>
      </c>
      <c r="AB19" s="1811">
        <f t="shared" si="4"/>
        <v>1</v>
      </c>
      <c r="AC19" s="1811">
        <f t="shared" si="5"/>
        <v>1</v>
      </c>
    </row>
    <row r="20" spans="1:29" ht="15">
      <c r="A20" s="427"/>
      <c r="B20" s="455"/>
      <c r="C20" s="446" t="s">
        <v>3084</v>
      </c>
      <c r="D20" s="447"/>
      <c r="E20" s="2607" t="s">
        <v>3084</v>
      </c>
      <c r="F20" s="448"/>
      <c r="G20" s="2606" t="s">
        <v>3084</v>
      </c>
      <c r="H20" s="447"/>
      <c r="I20" s="2607" t="s">
        <v>3084</v>
      </c>
      <c r="J20" s="447"/>
      <c r="K20" s="614"/>
      <c r="L20" s="1140"/>
      <c r="M20" s="1131"/>
      <c r="N20" s="1131"/>
      <c r="O20" s="1131"/>
      <c r="P20" s="3180"/>
      <c r="Q20" s="1810"/>
      <c r="R20" s="771"/>
      <c r="S20" s="772"/>
      <c r="T20" s="771"/>
      <c r="U20" s="772"/>
      <c r="V20" s="771"/>
      <c r="W20" s="772"/>
      <c r="X20" s="1813"/>
      <c r="Y20" s="3182"/>
      <c r="Z20" s="1814"/>
      <c r="AA20" s="1811">
        <v>1</v>
      </c>
      <c r="AB20" s="1811">
        <v>1</v>
      </c>
      <c r="AC20" s="1811">
        <v>1</v>
      </c>
    </row>
    <row r="21" spans="1:29" ht="28.5">
      <c r="A21" s="427"/>
      <c r="B21" s="1384" t="s">
        <v>2660</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180"/>
      <c r="Q21" s="1810" t="str">
        <f>B21</f>
        <v>基础设施水平</v>
      </c>
      <c r="R21" s="771" t="s">
        <v>17</v>
      </c>
      <c r="S21" s="772">
        <f>F21</f>
        <v>100</v>
      </c>
      <c r="T21" s="771" t="s">
        <v>17</v>
      </c>
      <c r="U21" s="772">
        <f>H21</f>
        <v>100</v>
      </c>
      <c r="V21" s="771" t="s">
        <v>17</v>
      </c>
      <c r="W21" s="772">
        <f>J21</f>
        <v>100</v>
      </c>
      <c r="X21" s="1813"/>
      <c r="Y21" s="3182"/>
      <c r="Z21" s="1814" t="str">
        <f>Q21</f>
        <v>基础设施水平</v>
      </c>
      <c r="AA21" s="1811">
        <f t="shared" ref="AA21" si="8">D21/F21</f>
        <v>1</v>
      </c>
      <c r="AB21" s="1811">
        <f t="shared" ref="AB21" si="9">D21/H21</f>
        <v>1</v>
      </c>
      <c r="AC21" s="1811">
        <f t="shared" ref="AC21" si="10">D21/J21</f>
        <v>1</v>
      </c>
    </row>
    <row r="22" spans="1:29" ht="15">
      <c r="A22" s="427"/>
      <c r="B22" s="1384"/>
      <c r="C22" s="2610" t="s">
        <v>3160</v>
      </c>
      <c r="D22" s="447"/>
      <c r="E22" s="446" t="s">
        <v>3160</v>
      </c>
      <c r="F22" s="448"/>
      <c r="G22" s="446" t="s">
        <v>3160</v>
      </c>
      <c r="H22" s="447"/>
      <c r="I22" s="446" t="s">
        <v>3160</v>
      </c>
      <c r="J22" s="447"/>
      <c r="K22" s="1383"/>
      <c r="L22" s="1140"/>
      <c r="M22" s="1131"/>
      <c r="N22" s="1131"/>
      <c r="O22" s="1131"/>
      <c r="P22" s="3180"/>
      <c r="Q22" s="1810"/>
      <c r="R22" s="771"/>
      <c r="S22" s="772"/>
      <c r="T22" s="771"/>
      <c r="U22" s="772"/>
      <c r="V22" s="771"/>
      <c r="W22" s="772"/>
      <c r="X22" s="1813"/>
      <c r="Y22" s="3182"/>
      <c r="Z22" s="1814"/>
      <c r="AA22" s="1811">
        <v>1</v>
      </c>
      <c r="AB22" s="1811">
        <v>1</v>
      </c>
      <c r="AC22" s="1811">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180"/>
      <c r="Q23" s="1810" t="str">
        <f>B23</f>
        <v>自然及人文环境</v>
      </c>
      <c r="R23" s="771" t="s">
        <v>17</v>
      </c>
      <c r="S23" s="772">
        <f>F23</f>
        <v>100</v>
      </c>
      <c r="T23" s="771" t="s">
        <v>17</v>
      </c>
      <c r="U23" s="772">
        <f>H23</f>
        <v>100</v>
      </c>
      <c r="V23" s="771" t="s">
        <v>17</v>
      </c>
      <c r="W23" s="772">
        <f>J23</f>
        <v>100</v>
      </c>
      <c r="X23" s="1813"/>
      <c r="Y23" s="3182"/>
      <c r="Z23" s="1814" t="str">
        <f>Q23</f>
        <v>自然及人文环境</v>
      </c>
      <c r="AA23" s="1811">
        <f t="shared" si="3"/>
        <v>1</v>
      </c>
      <c r="AB23" s="1811">
        <f t="shared" si="4"/>
        <v>1</v>
      </c>
      <c r="AC23" s="1811">
        <f t="shared" si="5"/>
        <v>1</v>
      </c>
    </row>
    <row r="24" spans="1:29" ht="15">
      <c r="A24" s="427"/>
      <c r="B24" s="455"/>
      <c r="C24" s="446" t="s">
        <v>3084</v>
      </c>
      <c r="D24" s="447"/>
      <c r="E24" s="2607" t="s">
        <v>3084</v>
      </c>
      <c r="F24" s="448"/>
      <c r="G24" s="2606" t="s">
        <v>3084</v>
      </c>
      <c r="H24" s="447"/>
      <c r="I24" s="2607" t="s">
        <v>3084</v>
      </c>
      <c r="J24" s="447"/>
      <c r="K24" s="614"/>
      <c r="L24" s="1140"/>
      <c r="M24" s="1131"/>
      <c r="N24" s="1131"/>
      <c r="O24" s="1131"/>
      <c r="P24" s="3180"/>
      <c r="Q24" s="1810"/>
      <c r="R24" s="771"/>
      <c r="S24" s="772"/>
      <c r="T24" s="771"/>
      <c r="U24" s="772"/>
      <c r="V24" s="771"/>
      <c r="W24" s="772"/>
      <c r="X24" s="1813"/>
      <c r="Y24" s="3182"/>
      <c r="Z24" s="1814"/>
      <c r="AA24" s="1811">
        <v>1</v>
      </c>
      <c r="AB24" s="1811">
        <v>1</v>
      </c>
      <c r="AC24" s="1811">
        <v>1</v>
      </c>
    </row>
    <row r="25" spans="1:29" ht="15">
      <c r="A25" s="427"/>
      <c r="B25" s="421" t="s">
        <v>2661</v>
      </c>
      <c r="C25" s="2953" t="s">
        <v>3158</v>
      </c>
      <c r="D25" s="434">
        <v>100</v>
      </c>
      <c r="E25" s="615" t="s">
        <v>3138</v>
      </c>
      <c r="F25" s="460">
        <f>SUMIF(86:86,E25,87:87)-SUMIF(86:86,C25,87:87)+100</f>
        <v>110</v>
      </c>
      <c r="G25" s="615" t="s">
        <v>3139</v>
      </c>
      <c r="H25" s="434">
        <f>SUMIF(86:86,G25,87:87)-SUMIF(86:86,C25,87:87)+100</f>
        <v>105</v>
      </c>
      <c r="I25" s="615" t="s">
        <v>3139</v>
      </c>
      <c r="J25" s="434">
        <f>SUMIF(86:86,I25,87:87)-SUMIF(86:86,C25,87:87)+100</f>
        <v>105</v>
      </c>
      <c r="K25" s="611">
        <v>5</v>
      </c>
      <c r="L25" s="1140"/>
      <c r="M25" s="1131"/>
      <c r="N25" s="1131"/>
      <c r="O25" s="1131"/>
      <c r="P25" s="3180"/>
      <c r="Q25" s="1810" t="str">
        <f t="shared" ref="Q25:Q46" si="11">B25</f>
        <v>临街状况</v>
      </c>
      <c r="R25" s="771" t="s">
        <v>17</v>
      </c>
      <c r="S25" s="772">
        <f>F25</f>
        <v>110</v>
      </c>
      <c r="T25" s="771" t="s">
        <v>17</v>
      </c>
      <c r="U25" s="772">
        <f>H25</f>
        <v>105</v>
      </c>
      <c r="V25" s="771" t="s">
        <v>17</v>
      </c>
      <c r="W25" s="772">
        <f>J25</f>
        <v>105</v>
      </c>
      <c r="X25" s="1813"/>
      <c r="Y25" s="3182"/>
      <c r="Z25" s="1814" t="str">
        <f>Q25</f>
        <v>临街状况</v>
      </c>
      <c r="AA25" s="1811">
        <f t="shared" si="3"/>
        <v>0.90909090909090906</v>
      </c>
      <c r="AB25" s="1811">
        <f t="shared" si="4"/>
        <v>0.95238095238095233</v>
      </c>
      <c r="AC25" s="1811">
        <f t="shared" si="5"/>
        <v>0.95238095238095233</v>
      </c>
    </row>
    <row r="26" spans="1:29" ht="15">
      <c r="A26" s="427"/>
      <c r="B26" s="1386" t="s">
        <v>2662</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180"/>
      <c r="Q26" s="1810" t="str">
        <f t="shared" si="11"/>
        <v>平面位置/可视性</v>
      </c>
      <c r="R26" s="771" t="s">
        <v>17</v>
      </c>
      <c r="S26" s="772">
        <f>F26</f>
        <v>100</v>
      </c>
      <c r="T26" s="771" t="s">
        <v>17</v>
      </c>
      <c r="U26" s="772">
        <f>H26</f>
        <v>100</v>
      </c>
      <c r="V26" s="771" t="s">
        <v>17</v>
      </c>
      <c r="W26" s="772">
        <f>J26</f>
        <v>100</v>
      </c>
      <c r="X26" s="1813"/>
      <c r="Y26" s="3182"/>
      <c r="Z26" s="1814" t="str">
        <f>Q26</f>
        <v>平面位置/可视性</v>
      </c>
      <c r="AA26" s="1811">
        <f t="shared" si="3"/>
        <v>1</v>
      </c>
      <c r="AB26" s="1811">
        <f t="shared" si="4"/>
        <v>1</v>
      </c>
      <c r="AC26" s="1811">
        <f t="shared" si="5"/>
        <v>1</v>
      </c>
    </row>
    <row r="27" spans="1:29" s="116" customFormat="1" ht="15">
      <c r="A27" s="430"/>
      <c r="B27" s="450" t="s">
        <v>2663</v>
      </c>
      <c r="C27" s="2667" t="s">
        <v>3147</v>
      </c>
      <c r="D27" s="461">
        <v>100</v>
      </c>
      <c r="E27" s="2667" t="s">
        <v>3155</v>
      </c>
      <c r="F27" s="463">
        <f>SUMIF(90:90,E27,91:91)-SUMIF(90:90,C27,91:91)+100</f>
        <v>103</v>
      </c>
      <c r="G27" s="2667" t="s">
        <v>3155</v>
      </c>
      <c r="H27" s="461">
        <f>SUMIF(90:90,G27,91:91)-SUMIF(90:90,C27,91:91)+100</f>
        <v>103</v>
      </c>
      <c r="I27" s="2667" t="s">
        <v>3155</v>
      </c>
      <c r="J27" s="461">
        <f>SUMIF(90:90,I27,91:91)-SUMIF(90:90,C27,91:91)+100</f>
        <v>103</v>
      </c>
      <c r="K27" s="611">
        <v>3</v>
      </c>
      <c r="L27" s="1132"/>
      <c r="M27" s="1133"/>
      <c r="N27" s="1133"/>
      <c r="O27" s="1133"/>
      <c r="P27" s="3180"/>
      <c r="Q27" s="1795" t="str">
        <f t="shared" si="11"/>
        <v>人流量</v>
      </c>
      <c r="R27" s="767" t="s">
        <v>17</v>
      </c>
      <c r="S27" s="768">
        <f>F27</f>
        <v>103</v>
      </c>
      <c r="T27" s="767" t="s">
        <v>17</v>
      </c>
      <c r="U27" s="768">
        <f>H27</f>
        <v>103</v>
      </c>
      <c r="V27" s="767" t="s">
        <v>17</v>
      </c>
      <c r="W27" s="768">
        <f>J27</f>
        <v>103</v>
      </c>
      <c r="X27" s="769"/>
      <c r="Y27" s="3182"/>
      <c r="Z27" s="54" t="str">
        <f>Q27</f>
        <v>人流量</v>
      </c>
      <c r="AA27" s="1811">
        <f>D27/F27</f>
        <v>0.970873786407767</v>
      </c>
      <c r="AB27" s="1811">
        <f>D27/H27</f>
        <v>0.970873786407767</v>
      </c>
      <c r="AC27" s="1811">
        <f>D27/J27</f>
        <v>0.970873786407767</v>
      </c>
    </row>
    <row r="28" spans="1:29" ht="15">
      <c r="A28" s="427"/>
      <c r="B28" s="421" t="s">
        <v>2664</v>
      </c>
      <c r="C28" s="615" t="s">
        <v>3123</v>
      </c>
      <c r="D28" s="434">
        <v>100</v>
      </c>
      <c r="E28" s="615" t="s">
        <v>3123</v>
      </c>
      <c r="F28" s="460">
        <f>SUMIF(92:92,E28,93:93)-SUMIF(92:92,C28,93:93)+100</f>
        <v>100</v>
      </c>
      <c r="G28" s="615" t="s">
        <v>3123</v>
      </c>
      <c r="H28" s="434">
        <f>SUMIF(92:92,G28,93:93)-SUMIF(92:92,C28,93:93)+100</f>
        <v>100</v>
      </c>
      <c r="I28" s="615" t="s">
        <v>3123</v>
      </c>
      <c r="J28" s="434">
        <f>SUMIF(92:92,I28,93:93)-SUMIF(92:92,C28,93:93)+100</f>
        <v>100</v>
      </c>
      <c r="K28" s="612"/>
      <c r="L28" s="1140"/>
      <c r="M28" s="1131"/>
      <c r="N28" s="1131"/>
      <c r="O28" s="1131"/>
      <c r="P28" s="3180"/>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182"/>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180"/>
      <c r="Q29" s="1810">
        <f t="shared" si="11"/>
        <v>111</v>
      </c>
      <c r="R29" s="771" t="s">
        <v>17</v>
      </c>
      <c r="S29" s="772">
        <f t="shared" si="12"/>
        <v>100</v>
      </c>
      <c r="T29" s="771" t="s">
        <v>17</v>
      </c>
      <c r="U29" s="772">
        <f t="shared" si="13"/>
        <v>100</v>
      </c>
      <c r="V29" s="771" t="s">
        <v>17</v>
      </c>
      <c r="W29" s="772">
        <f t="shared" si="14"/>
        <v>100</v>
      </c>
      <c r="X29" s="1813"/>
      <c r="Y29" s="3182"/>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180"/>
      <c r="Q30" s="1810">
        <f t="shared" si="11"/>
        <v>111</v>
      </c>
      <c r="R30" s="771" t="s">
        <v>17</v>
      </c>
      <c r="S30" s="772">
        <f t="shared" si="12"/>
        <v>100</v>
      </c>
      <c r="T30" s="771" t="s">
        <v>17</v>
      </c>
      <c r="U30" s="772">
        <f t="shared" si="13"/>
        <v>100</v>
      </c>
      <c r="V30" s="771" t="s">
        <v>17</v>
      </c>
      <c r="W30" s="772">
        <f t="shared" si="14"/>
        <v>100</v>
      </c>
      <c r="X30" s="1813"/>
      <c r="Y30" s="3182"/>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180"/>
      <c r="Q31" s="1810">
        <f t="shared" si="11"/>
        <v>111</v>
      </c>
      <c r="R31" s="771" t="s">
        <v>17</v>
      </c>
      <c r="S31" s="772">
        <f t="shared" si="12"/>
        <v>100</v>
      </c>
      <c r="T31" s="771" t="s">
        <v>17</v>
      </c>
      <c r="U31" s="772">
        <f t="shared" si="13"/>
        <v>100</v>
      </c>
      <c r="V31" s="771" t="s">
        <v>17</v>
      </c>
      <c r="W31" s="772">
        <f t="shared" si="14"/>
        <v>100</v>
      </c>
      <c r="X31" s="1813"/>
      <c r="Y31" s="3182"/>
      <c r="Z31" s="1814">
        <f t="shared" si="15"/>
        <v>111</v>
      </c>
      <c r="AA31" s="1811">
        <f t="shared" si="3"/>
        <v>1</v>
      </c>
      <c r="AB31" s="1811">
        <f t="shared" si="4"/>
        <v>1</v>
      </c>
      <c r="AC31" s="1811">
        <f t="shared" si="5"/>
        <v>1</v>
      </c>
    </row>
    <row r="32" spans="1:29" ht="15">
      <c r="A32" s="439" t="s">
        <v>2568</v>
      </c>
      <c r="B32" s="70" t="s">
        <v>2665</v>
      </c>
      <c r="C32" s="2954" t="s">
        <v>3142</v>
      </c>
      <c r="D32" s="466">
        <v>100</v>
      </c>
      <c r="E32" s="2619" t="s">
        <v>3141</v>
      </c>
      <c r="F32" s="460">
        <f>SUMIF(100:100,E32,101:101)-SUMIF(100:100,C32,101:101)+100</f>
        <v>94</v>
      </c>
      <c r="G32" s="2619" t="s">
        <v>3140</v>
      </c>
      <c r="H32" s="434">
        <f>SUMIF(100:100,G32,101:101)-SUMIF(100:100,C32,101:101)+100</f>
        <v>98</v>
      </c>
      <c r="I32" s="2619" t="s">
        <v>3141</v>
      </c>
      <c r="J32" s="466">
        <f>SUMIF(100:100,I32,101:101)-SUMIF(100:100,C32,101:101)+100</f>
        <v>94</v>
      </c>
      <c r="K32" s="611">
        <v>2</v>
      </c>
      <c r="L32" s="1140"/>
      <c r="M32" s="1131"/>
      <c r="N32" s="1131"/>
      <c r="O32" s="1131"/>
      <c r="P32" s="3183" t="s">
        <v>2570</v>
      </c>
      <c r="Q32" s="1810" t="str">
        <f t="shared" si="11"/>
        <v>商业类型</v>
      </c>
      <c r="R32" s="771" t="s">
        <v>17</v>
      </c>
      <c r="S32" s="772">
        <f t="shared" si="12"/>
        <v>94</v>
      </c>
      <c r="T32" s="771" t="s">
        <v>17</v>
      </c>
      <c r="U32" s="772">
        <f t="shared" si="13"/>
        <v>98</v>
      </c>
      <c r="V32" s="771" t="s">
        <v>17</v>
      </c>
      <c r="W32" s="772">
        <f t="shared" si="14"/>
        <v>94</v>
      </c>
      <c r="X32" s="1813"/>
      <c r="Y32" s="3186" t="s">
        <v>2570</v>
      </c>
      <c r="Z32" s="1814" t="str">
        <f t="shared" si="15"/>
        <v>商业类型</v>
      </c>
      <c r="AA32" s="1811">
        <f t="shared" si="3"/>
        <v>1.0638297872340425</v>
      </c>
      <c r="AB32" s="1811">
        <f t="shared" si="4"/>
        <v>1.0204081632653061</v>
      </c>
      <c r="AC32" s="1811">
        <f t="shared" si="5"/>
        <v>1.0638297872340425</v>
      </c>
    </row>
    <row r="33" spans="1:29" s="470" customFormat="1" ht="15">
      <c r="A33" s="467"/>
      <c r="B33" s="421" t="s">
        <v>2571</v>
      </c>
      <c r="C33" s="468">
        <v>9000</v>
      </c>
      <c r="D33" s="135">
        <v>100</v>
      </c>
      <c r="E33" s="429">
        <v>158</v>
      </c>
      <c r="F33" s="424">
        <f>LOOKUP(E33,103:103,104:104)-LOOKUP(C33,103:103,104:104)+100</f>
        <v>108</v>
      </c>
      <c r="G33" s="428">
        <v>200</v>
      </c>
      <c r="H33" s="135">
        <f>LOOKUP(G33,103:103,104:104)-LOOKUP(C33,103:103,104:104)+100</f>
        <v>106</v>
      </c>
      <c r="I33" s="428">
        <v>339</v>
      </c>
      <c r="J33" s="135">
        <f>LOOKUP(I33,103:103,104:104)-LOOKUP(C33,103:103,104:104)+100</f>
        <v>106</v>
      </c>
      <c r="K33" s="612"/>
      <c r="L33" s="1138"/>
      <c r="M33" s="1141"/>
      <c r="N33" s="1141"/>
      <c r="O33" s="1141"/>
      <c r="P33" s="3184"/>
      <c r="Q33" s="773" t="str">
        <f t="shared" si="11"/>
        <v>项目建筑规模</v>
      </c>
      <c r="R33" s="774" t="s">
        <v>17</v>
      </c>
      <c r="S33" s="775">
        <f t="shared" si="12"/>
        <v>108</v>
      </c>
      <c r="T33" s="774" t="s">
        <v>17</v>
      </c>
      <c r="U33" s="775">
        <f t="shared" si="13"/>
        <v>106</v>
      </c>
      <c r="V33" s="774" t="s">
        <v>17</v>
      </c>
      <c r="W33" s="775">
        <f t="shared" si="14"/>
        <v>106</v>
      </c>
      <c r="X33" s="776"/>
      <c r="Y33" s="3186"/>
      <c r="Z33" s="777" t="str">
        <f t="shared" si="15"/>
        <v>项目建筑规模</v>
      </c>
      <c r="AA33" s="1811">
        <f t="shared" si="3"/>
        <v>0.92592592592592593</v>
      </c>
      <c r="AB33" s="1811">
        <f t="shared" si="4"/>
        <v>0.94339622641509435</v>
      </c>
      <c r="AC33" s="1811">
        <f t="shared" si="5"/>
        <v>0.94339622641509435</v>
      </c>
    </row>
    <row r="34" spans="1:29" ht="15">
      <c r="A34" s="471"/>
      <c r="B34" s="421" t="s">
        <v>2572</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v>1</v>
      </c>
      <c r="L34" s="1140"/>
      <c r="M34" s="1131"/>
      <c r="N34" s="1131"/>
      <c r="O34" s="1131"/>
      <c r="P34" s="3184"/>
      <c r="Q34" s="1810" t="str">
        <f t="shared" si="11"/>
        <v>建筑结构</v>
      </c>
      <c r="R34" s="771" t="s">
        <v>17</v>
      </c>
      <c r="S34" s="772">
        <f t="shared" si="12"/>
        <v>100</v>
      </c>
      <c r="T34" s="771" t="s">
        <v>17</v>
      </c>
      <c r="U34" s="772">
        <f t="shared" si="13"/>
        <v>100</v>
      </c>
      <c r="V34" s="771" t="s">
        <v>17</v>
      </c>
      <c r="W34" s="772">
        <f t="shared" si="14"/>
        <v>100</v>
      </c>
      <c r="X34" s="1813"/>
      <c r="Y34" s="3186"/>
      <c r="Z34" s="1814" t="str">
        <f t="shared" si="15"/>
        <v>建筑结构</v>
      </c>
      <c r="AA34" s="1811">
        <f t="shared" si="3"/>
        <v>1</v>
      </c>
      <c r="AB34" s="1811">
        <f t="shared" si="4"/>
        <v>1</v>
      </c>
      <c r="AC34" s="1811">
        <f t="shared" si="5"/>
        <v>1</v>
      </c>
    </row>
    <row r="35" spans="1:29" ht="15">
      <c r="A35" s="471"/>
      <c r="B35" s="421" t="s">
        <v>2666</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v>1</v>
      </c>
      <c r="L35" s="1140"/>
      <c r="M35" s="1131"/>
      <c r="N35" s="1131"/>
      <c r="O35" s="1131"/>
      <c r="P35" s="3184"/>
      <c r="Q35" s="1810" t="str">
        <f t="shared" si="11"/>
        <v>公共部分装修</v>
      </c>
      <c r="R35" s="771" t="s">
        <v>17</v>
      </c>
      <c r="S35" s="772">
        <f t="shared" si="12"/>
        <v>100</v>
      </c>
      <c r="T35" s="771" t="s">
        <v>17</v>
      </c>
      <c r="U35" s="772">
        <f t="shared" si="13"/>
        <v>100</v>
      </c>
      <c r="V35" s="771" t="s">
        <v>17</v>
      </c>
      <c r="W35" s="772">
        <f t="shared" si="14"/>
        <v>100</v>
      </c>
      <c r="X35" s="1813"/>
      <c r="Y35" s="3186"/>
      <c r="Z35" s="1814" t="str">
        <f t="shared" si="15"/>
        <v>公共部分装修</v>
      </c>
      <c r="AA35" s="1811">
        <f t="shared" si="3"/>
        <v>1</v>
      </c>
      <c r="AB35" s="1811">
        <f t="shared" si="4"/>
        <v>1</v>
      </c>
      <c r="AC35" s="1811">
        <f t="shared" si="5"/>
        <v>1</v>
      </c>
    </row>
    <row r="36" spans="1:29" ht="15">
      <c r="A36" s="471"/>
      <c r="B36" s="421" t="s">
        <v>2667</v>
      </c>
      <c r="C36" s="473">
        <v>0.95</v>
      </c>
      <c r="D36" s="434">
        <v>100</v>
      </c>
      <c r="E36" s="473">
        <v>0.82</v>
      </c>
      <c r="F36" s="460">
        <f>LOOKUP(E36,110:110,111:111)-LOOKUP(C36,110:110,111:111)+100</f>
        <v>99</v>
      </c>
      <c r="G36" s="473">
        <v>0.85</v>
      </c>
      <c r="H36" s="460">
        <f>LOOKUP(G36,110:110,111:111)-LOOKUP(C36,110:110,111:111)+100</f>
        <v>99</v>
      </c>
      <c r="I36" s="473">
        <v>0.85</v>
      </c>
      <c r="J36" s="434">
        <f>LOOKUP(I36,110:110,111:111)-LOOKUP(C36,110:110,111:111)+100</f>
        <v>99</v>
      </c>
      <c r="K36" s="611">
        <v>1</v>
      </c>
      <c r="L36" s="1140"/>
      <c r="M36" s="1131"/>
      <c r="N36" s="1131"/>
      <c r="O36" s="1131"/>
      <c r="P36" s="3184"/>
      <c r="Q36" s="1810" t="str">
        <f t="shared" si="11"/>
        <v>成新度</v>
      </c>
      <c r="R36" s="771" t="s">
        <v>17</v>
      </c>
      <c r="S36" s="772">
        <f t="shared" si="12"/>
        <v>99</v>
      </c>
      <c r="T36" s="771" t="s">
        <v>17</v>
      </c>
      <c r="U36" s="772">
        <f t="shared" si="13"/>
        <v>99</v>
      </c>
      <c r="V36" s="771" t="s">
        <v>17</v>
      </c>
      <c r="W36" s="772">
        <f t="shared" si="14"/>
        <v>99</v>
      </c>
      <c r="X36" s="1813"/>
      <c r="Y36" s="3186"/>
      <c r="Z36" s="1814" t="str">
        <f t="shared" si="15"/>
        <v>成新度</v>
      </c>
      <c r="AA36" s="1811">
        <f t="shared" si="3"/>
        <v>1.0101010101010102</v>
      </c>
      <c r="AB36" s="1811">
        <f t="shared" si="4"/>
        <v>1.0101010101010102</v>
      </c>
      <c r="AC36" s="1811">
        <f t="shared" si="5"/>
        <v>1.0101010101010102</v>
      </c>
    </row>
    <row r="37" spans="1:29" s="116" customFormat="1" ht="15">
      <c r="A37" s="472"/>
      <c r="B37" s="421" t="s">
        <v>2668</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v>2</v>
      </c>
      <c r="L37" s="1132"/>
      <c r="M37" s="1133"/>
      <c r="N37" s="1133"/>
      <c r="O37" s="1133"/>
      <c r="P37" s="3184"/>
      <c r="Q37" s="1795" t="str">
        <f t="shared" si="11"/>
        <v>市政基础设施</v>
      </c>
      <c r="R37" s="767" t="s">
        <v>17</v>
      </c>
      <c r="S37" s="768">
        <f t="shared" si="12"/>
        <v>100</v>
      </c>
      <c r="T37" s="767" t="s">
        <v>17</v>
      </c>
      <c r="U37" s="768">
        <f t="shared" si="13"/>
        <v>100</v>
      </c>
      <c r="V37" s="767" t="s">
        <v>17</v>
      </c>
      <c r="W37" s="768">
        <f t="shared" si="14"/>
        <v>100</v>
      </c>
      <c r="X37" s="769"/>
      <c r="Y37" s="3186"/>
      <c r="Z37" s="54" t="str">
        <f t="shared" si="15"/>
        <v>市政基础设施</v>
      </c>
      <c r="AA37" s="770">
        <f t="shared" si="3"/>
        <v>1</v>
      </c>
      <c r="AB37" s="770">
        <f t="shared" si="4"/>
        <v>1</v>
      </c>
      <c r="AC37" s="770">
        <f t="shared" si="5"/>
        <v>1</v>
      </c>
    </row>
    <row r="38" spans="1:29" ht="15">
      <c r="A38" s="471"/>
      <c r="B38" s="421" t="s">
        <v>2669</v>
      </c>
      <c r="C38" s="2615" t="s">
        <v>3144</v>
      </c>
      <c r="D38" s="434">
        <v>100</v>
      </c>
      <c r="E38" s="2615" t="s">
        <v>3144</v>
      </c>
      <c r="F38" s="460">
        <f>SUMIF(114:114,E38,115:115)-SUMIF(114:114,C38,115:115)+100</f>
        <v>100</v>
      </c>
      <c r="G38" s="2615" t="s">
        <v>3144</v>
      </c>
      <c r="H38" s="434">
        <f>SUMIF(114:114,G38,115:115)-SUMIF(114:114,C38,115:115)+100</f>
        <v>100</v>
      </c>
      <c r="I38" s="2615" t="s">
        <v>3144</v>
      </c>
      <c r="J38" s="434">
        <f>SUMIF(114:114,I38,115:115)-SUMIF(114:114,C38,115:115)+100</f>
        <v>100</v>
      </c>
      <c r="K38" s="611">
        <v>5</v>
      </c>
      <c r="L38" s="1140"/>
      <c r="M38" s="1131"/>
      <c r="N38" s="1131"/>
      <c r="O38" s="1131"/>
      <c r="P38" s="3184" t="s">
        <v>2570</v>
      </c>
      <c r="Q38" s="1810" t="str">
        <f t="shared" si="11"/>
        <v>业态</v>
      </c>
      <c r="R38" s="771" t="s">
        <v>17</v>
      </c>
      <c r="S38" s="772">
        <f t="shared" si="12"/>
        <v>100</v>
      </c>
      <c r="T38" s="771" t="s">
        <v>17</v>
      </c>
      <c r="U38" s="772">
        <f t="shared" si="13"/>
        <v>100</v>
      </c>
      <c r="V38" s="771" t="s">
        <v>17</v>
      </c>
      <c r="W38" s="772">
        <f t="shared" si="14"/>
        <v>100</v>
      </c>
      <c r="X38" s="1813"/>
      <c r="Y38" s="3186" t="s">
        <v>2570</v>
      </c>
      <c r="Z38" s="1814" t="str">
        <f t="shared" si="15"/>
        <v>业态</v>
      </c>
      <c r="AA38" s="1811">
        <f t="shared" si="3"/>
        <v>1</v>
      </c>
      <c r="AB38" s="1811">
        <f t="shared" si="4"/>
        <v>1</v>
      </c>
      <c r="AC38" s="1811">
        <f t="shared" si="5"/>
        <v>1</v>
      </c>
    </row>
    <row r="39" spans="1:29" ht="15">
      <c r="A39" s="471"/>
      <c r="B39" s="421" t="s">
        <v>2670</v>
      </c>
      <c r="C39" s="2615" t="s">
        <v>3146</v>
      </c>
      <c r="D39" s="434">
        <v>100</v>
      </c>
      <c r="E39" s="2615" t="s">
        <v>3145</v>
      </c>
      <c r="F39" s="460">
        <f>SUMIF(116:116,E39,117:117)-SUMIF(116:116,C39,117:117)+100</f>
        <v>98</v>
      </c>
      <c r="G39" s="2615" t="s">
        <v>3145</v>
      </c>
      <c r="H39" s="434">
        <f>SUMIF(116:116,G39,117:117)-SUMIF(116:116,C39,117:117)+100</f>
        <v>98</v>
      </c>
      <c r="I39" s="2615" t="s">
        <v>3145</v>
      </c>
      <c r="J39" s="434">
        <f>SUMIF(116:116,I39,117:117)-SUMIF(116:116,C39,117:117)+100</f>
        <v>98</v>
      </c>
      <c r="K39" s="611">
        <v>2</v>
      </c>
      <c r="L39" s="1140"/>
      <c r="M39" s="1131"/>
      <c r="N39" s="1131"/>
      <c r="O39" s="1131"/>
      <c r="P39" s="3184"/>
      <c r="Q39" s="1810" t="str">
        <f t="shared" si="11"/>
        <v>层高</v>
      </c>
      <c r="R39" s="771" t="s">
        <v>17</v>
      </c>
      <c r="S39" s="772">
        <f t="shared" si="12"/>
        <v>98</v>
      </c>
      <c r="T39" s="771" t="s">
        <v>17</v>
      </c>
      <c r="U39" s="772">
        <f t="shared" si="13"/>
        <v>98</v>
      </c>
      <c r="V39" s="771" t="s">
        <v>17</v>
      </c>
      <c r="W39" s="772">
        <f t="shared" si="14"/>
        <v>98</v>
      </c>
      <c r="X39" s="1813"/>
      <c r="Y39" s="3186"/>
      <c r="Z39" s="1814" t="str">
        <f t="shared" si="15"/>
        <v>层高</v>
      </c>
      <c r="AA39" s="1811">
        <f t="shared" si="3"/>
        <v>1.0204081632653061</v>
      </c>
      <c r="AB39" s="1811">
        <f t="shared" si="4"/>
        <v>1.0204081632653061</v>
      </c>
      <c r="AC39" s="1811">
        <f t="shared" si="5"/>
        <v>1.0204081632653061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184"/>
      <c r="Q40" s="1810" t="str">
        <f t="shared" si="11"/>
        <v>单套建筑面积</v>
      </c>
      <c r="R40" s="771" t="s">
        <v>17</v>
      </c>
      <c r="S40" s="772">
        <f t="shared" si="12"/>
        <v>100</v>
      </c>
      <c r="T40" s="771" t="s">
        <v>17</v>
      </c>
      <c r="U40" s="772">
        <f t="shared" si="13"/>
        <v>100</v>
      </c>
      <c r="V40" s="771" t="s">
        <v>17</v>
      </c>
      <c r="W40" s="772">
        <f t="shared" si="14"/>
        <v>100</v>
      </c>
      <c r="X40" s="1813"/>
      <c r="Y40" s="3186"/>
      <c r="Z40" s="1814" t="str">
        <f t="shared" si="15"/>
        <v>单套建筑面积</v>
      </c>
      <c r="AA40" s="1811">
        <f t="shared" si="3"/>
        <v>1</v>
      </c>
      <c r="AB40" s="1811">
        <f t="shared" si="4"/>
        <v>1</v>
      </c>
      <c r="AC40" s="1811">
        <f t="shared" si="5"/>
        <v>1</v>
      </c>
    </row>
    <row r="41" spans="1:29" s="470" customFormat="1" ht="15">
      <c r="A41" s="467"/>
      <c r="B41" s="1812"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2</v>
      </c>
      <c r="L41" s="1138"/>
      <c r="M41" s="1141"/>
      <c r="N41" s="1141"/>
      <c r="O41" s="1141"/>
      <c r="P41" s="3184"/>
      <c r="Q41" s="773" t="str">
        <f t="shared" si="11"/>
        <v>进深比</v>
      </c>
      <c r="R41" s="774" t="s">
        <v>17</v>
      </c>
      <c r="S41" s="775">
        <f t="shared" si="12"/>
        <v>100</v>
      </c>
      <c r="T41" s="774" t="s">
        <v>17</v>
      </c>
      <c r="U41" s="775">
        <f t="shared" si="13"/>
        <v>100</v>
      </c>
      <c r="V41" s="774" t="s">
        <v>17</v>
      </c>
      <c r="W41" s="775">
        <f t="shared" si="14"/>
        <v>100</v>
      </c>
      <c r="X41" s="776"/>
      <c r="Y41" s="3186"/>
      <c r="Z41" s="777" t="str">
        <f t="shared" si="15"/>
        <v>进深比</v>
      </c>
      <c r="AA41" s="1811">
        <f t="shared" si="3"/>
        <v>1</v>
      </c>
      <c r="AB41" s="1811">
        <f t="shared" si="4"/>
        <v>1</v>
      </c>
      <c r="AC41" s="1811">
        <f t="shared" si="5"/>
        <v>1</v>
      </c>
    </row>
    <row r="42" spans="1:29" ht="15">
      <c r="A42" s="471"/>
      <c r="B42" s="421" t="s">
        <v>2673</v>
      </c>
      <c r="C42" s="2615" t="s">
        <v>3156</v>
      </c>
      <c r="D42" s="434">
        <v>100</v>
      </c>
      <c r="E42" s="2615" t="s">
        <v>3157</v>
      </c>
      <c r="F42" s="460">
        <f>SUMIF(122:122,E42,123:123)-SUMIF(122:122,C42,123:123)+100</f>
        <v>97</v>
      </c>
      <c r="G42" s="2615" t="s">
        <v>3157</v>
      </c>
      <c r="H42" s="434">
        <f>SUMIF(122:122,G42,123:123)-SUMIF(122:122,C42,123:123)+100</f>
        <v>97</v>
      </c>
      <c r="I42" s="2615" t="s">
        <v>3157</v>
      </c>
      <c r="J42" s="434">
        <f>SUMIF(122:122,I42,123:123)-SUMIF(122:122,C42,123:123)+100</f>
        <v>97</v>
      </c>
      <c r="K42" s="611">
        <v>3</v>
      </c>
      <c r="L42" s="1140"/>
      <c r="M42" s="1131"/>
      <c r="N42" s="1131"/>
      <c r="O42" s="1131"/>
      <c r="P42" s="3184"/>
      <c r="Q42" s="1810" t="str">
        <f t="shared" si="11"/>
        <v>内部装修</v>
      </c>
      <c r="R42" s="771" t="s">
        <v>17</v>
      </c>
      <c r="S42" s="772">
        <f t="shared" si="12"/>
        <v>97</v>
      </c>
      <c r="T42" s="771" t="s">
        <v>17</v>
      </c>
      <c r="U42" s="772">
        <f t="shared" si="13"/>
        <v>97</v>
      </c>
      <c r="V42" s="771" t="s">
        <v>17</v>
      </c>
      <c r="W42" s="772">
        <f t="shared" si="14"/>
        <v>97</v>
      </c>
      <c r="X42" s="1813"/>
      <c r="Y42" s="3186"/>
      <c r="Z42" s="1814" t="str">
        <f t="shared" si="15"/>
        <v>内部装修</v>
      </c>
      <c r="AA42" s="1811">
        <f t="shared" si="3"/>
        <v>1.0309278350515463</v>
      </c>
      <c r="AB42" s="1811">
        <f t="shared" si="4"/>
        <v>1.0309278350515463</v>
      </c>
      <c r="AC42" s="1811">
        <f t="shared" si="5"/>
        <v>1.0309278350515463</v>
      </c>
    </row>
    <row r="43" spans="1:29" ht="15">
      <c r="A43" s="471"/>
      <c r="B43" s="421" t="s">
        <v>2581</v>
      </c>
      <c r="C43" s="2615" t="s">
        <v>3084</v>
      </c>
      <c r="D43" s="434">
        <v>100</v>
      </c>
      <c r="E43" s="2615" t="s">
        <v>3084</v>
      </c>
      <c r="F43" s="460">
        <f>SUMIF(124:124,E43,125:125)-SUMIF(124:124,C43,125:125)+100</f>
        <v>100</v>
      </c>
      <c r="G43" s="2615" t="s">
        <v>3084</v>
      </c>
      <c r="H43" s="434">
        <f>SUMIF(124:124,G43,125:125)-SUMIF(124:124,C43,125:125)+100</f>
        <v>100</v>
      </c>
      <c r="I43" s="2615" t="s">
        <v>3084</v>
      </c>
      <c r="J43" s="434">
        <f>SUMIF(124:124,I43,125:125)-SUMIF(124:124,C43,125:125)+100</f>
        <v>100</v>
      </c>
      <c r="K43" s="611">
        <v>2</v>
      </c>
      <c r="L43" s="1140"/>
      <c r="M43" s="1131"/>
      <c r="N43" s="1131"/>
      <c r="O43" s="1131"/>
      <c r="P43" s="3184"/>
      <c r="Q43" s="1810" t="str">
        <f t="shared" si="11"/>
        <v>内部装修维护情况</v>
      </c>
      <c r="R43" s="771" t="s">
        <v>17</v>
      </c>
      <c r="S43" s="772">
        <f t="shared" si="12"/>
        <v>100</v>
      </c>
      <c r="T43" s="771" t="s">
        <v>17</v>
      </c>
      <c r="U43" s="772">
        <f t="shared" si="13"/>
        <v>100</v>
      </c>
      <c r="V43" s="771" t="s">
        <v>17</v>
      </c>
      <c r="W43" s="772">
        <f t="shared" si="14"/>
        <v>100</v>
      </c>
      <c r="X43" s="1813"/>
      <c r="Y43" s="3186"/>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184"/>
      <c r="Q44" s="1795">
        <f t="shared" si="11"/>
        <v>111</v>
      </c>
      <c r="R44" s="767" t="s">
        <v>17</v>
      </c>
      <c r="S44" s="768">
        <f t="shared" si="12"/>
        <v>100</v>
      </c>
      <c r="T44" s="767" t="s">
        <v>17</v>
      </c>
      <c r="U44" s="768">
        <f t="shared" si="13"/>
        <v>100</v>
      </c>
      <c r="V44" s="767" t="s">
        <v>17</v>
      </c>
      <c r="W44" s="768">
        <f t="shared" si="14"/>
        <v>100</v>
      </c>
      <c r="X44" s="769"/>
      <c r="Y44" s="3186"/>
      <c r="Z44" s="5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184"/>
      <c r="Q45" s="1810">
        <f t="shared" si="11"/>
        <v>111</v>
      </c>
      <c r="R45" s="771" t="s">
        <v>17</v>
      </c>
      <c r="S45" s="772">
        <f t="shared" si="12"/>
        <v>100</v>
      </c>
      <c r="T45" s="771" t="s">
        <v>17</v>
      </c>
      <c r="U45" s="772">
        <f t="shared" si="13"/>
        <v>100</v>
      </c>
      <c r="V45" s="771" t="s">
        <v>17</v>
      </c>
      <c r="W45" s="772">
        <f t="shared" si="14"/>
        <v>100</v>
      </c>
      <c r="X45" s="1813"/>
      <c r="Y45" s="3186"/>
      <c r="Z45" s="1814">
        <f t="shared" si="15"/>
        <v>111</v>
      </c>
      <c r="AA45" s="1811">
        <f t="shared" si="3"/>
        <v>1</v>
      </c>
      <c r="AB45" s="1811">
        <f t="shared" si="4"/>
        <v>1</v>
      </c>
      <c r="AC45" s="1811">
        <f t="shared" si="5"/>
        <v>1</v>
      </c>
    </row>
    <row r="46" spans="1:29" ht="15.75" thickBot="1">
      <c r="A46" s="477"/>
      <c r="B46" s="2604">
        <v>0.97</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185"/>
      <c r="Q46" s="1810">
        <f t="shared" si="11"/>
        <v>0.97</v>
      </c>
      <c r="R46" s="771" t="s">
        <v>17</v>
      </c>
      <c r="S46" s="772">
        <f t="shared" si="12"/>
        <v>100</v>
      </c>
      <c r="T46" s="771" t="s">
        <v>17</v>
      </c>
      <c r="U46" s="772">
        <f t="shared" si="13"/>
        <v>100</v>
      </c>
      <c r="V46" s="771" t="s">
        <v>17</v>
      </c>
      <c r="W46" s="772">
        <f t="shared" si="14"/>
        <v>100</v>
      </c>
      <c r="X46" s="1813"/>
      <c r="Y46" s="3187"/>
      <c r="Z46" s="1814">
        <f t="shared" si="15"/>
        <v>0.97</v>
      </c>
      <c r="AA46" s="1811">
        <f t="shared" si="3"/>
        <v>1</v>
      </c>
      <c r="AB46" s="1811">
        <f t="shared" si="4"/>
        <v>1</v>
      </c>
      <c r="AC46" s="1811">
        <f t="shared" si="5"/>
        <v>1</v>
      </c>
    </row>
    <row r="47" spans="1:29" ht="15">
      <c r="A47" s="478" t="s">
        <v>2582</v>
      </c>
      <c r="B47" s="479"/>
      <c r="C47" s="1407" t="s">
        <v>1</v>
      </c>
      <c r="D47" s="1408"/>
      <c r="E47" s="1409">
        <f>55000*B46</f>
        <v>53350</v>
      </c>
      <c r="F47" s="1410"/>
      <c r="G47" s="1411">
        <f>50000*B46</f>
        <v>48500</v>
      </c>
      <c r="H47" s="1412"/>
      <c r="I47" s="1409">
        <f>49000*B46</f>
        <v>47530</v>
      </c>
      <c r="J47" s="1412"/>
      <c r="K47" s="780"/>
      <c r="L47" s="1143"/>
      <c r="M47" s="1144"/>
      <c r="N47" s="1131"/>
      <c r="O47" s="1144"/>
      <c r="P47" s="3188" t="str">
        <f>A47</f>
        <v>成交单价（元/平方米）</v>
      </c>
      <c r="Q47" s="3188"/>
      <c r="R47" s="3148">
        <f>E47</f>
        <v>53350</v>
      </c>
      <c r="S47" s="3148"/>
      <c r="T47" s="3148">
        <f>G47</f>
        <v>48500</v>
      </c>
      <c r="U47" s="3148"/>
      <c r="V47" s="3148">
        <f>I47</f>
        <v>47530</v>
      </c>
      <c r="W47" s="3148"/>
      <c r="X47" s="756"/>
      <c r="Y47" s="778"/>
      <c r="Z47" s="756"/>
      <c r="AA47" s="756"/>
      <c r="AB47" s="756"/>
      <c r="AC47" s="756"/>
    </row>
    <row r="48" spans="1:29" ht="15.75" thickBot="1">
      <c r="A48" s="485" t="s">
        <v>2674</v>
      </c>
      <c r="B48" s="486"/>
      <c r="C48" s="1413">
        <f>R49</f>
        <v>47342</v>
      </c>
      <c r="D48" s="1414"/>
      <c r="E48" s="1415">
        <f>R48</f>
        <v>49286</v>
      </c>
      <c r="F48" s="1415"/>
      <c r="G48" s="1413">
        <f>T48</f>
        <v>45872</v>
      </c>
      <c r="H48" s="1414"/>
      <c r="I48" s="1415">
        <f>V48</f>
        <v>46868</v>
      </c>
      <c r="J48" s="1414"/>
      <c r="K48" s="781"/>
      <c r="L48" s="1143"/>
      <c r="M48" s="1144"/>
      <c r="N48" s="1131"/>
      <c r="O48" s="1144"/>
      <c r="P48" s="3188" t="str">
        <f>A48</f>
        <v>比较价值（元/平方米）</v>
      </c>
      <c r="Q48" s="3188"/>
      <c r="R48" s="3189">
        <f>IF(F1="售价",ROUND(PRODUCT(R47,AA7:AA46),0),ROUND(PRODUCT(R47,AA7:AA46),1))</f>
        <v>49286</v>
      </c>
      <c r="S48" s="3189"/>
      <c r="T48" s="3189">
        <f>IF(F1="售价",ROUND(PRODUCT(T47,AB7:AB46),0),ROUND(PRODUCT(T47,AB7:AB46),1))</f>
        <v>45872</v>
      </c>
      <c r="U48" s="3189"/>
      <c r="V48" s="3189">
        <f>IF(F1="售价",ROUND(PRODUCT(V47,AC7:AC46),0),ROUND(PRODUCT(V47,AC7:AC46),1))</f>
        <v>46868</v>
      </c>
      <c r="W48" s="3189"/>
      <c r="X48" s="756"/>
      <c r="Y48" s="756"/>
      <c r="Z48" s="756"/>
      <c r="AA48" s="756"/>
      <c r="AB48" s="756"/>
      <c r="AC48" s="756"/>
    </row>
    <row r="49" spans="1:29" ht="15.75" thickBot="1">
      <c r="A49" s="491" t="s">
        <v>2675</v>
      </c>
      <c r="B49" s="492"/>
      <c r="C49" s="1417">
        <f>R49</f>
        <v>47342</v>
      </c>
      <c r="D49" s="1417"/>
      <c r="E49" s="1417"/>
      <c r="F49" s="1417"/>
      <c r="G49" s="1417"/>
      <c r="H49" s="1417"/>
      <c r="I49" s="1417"/>
      <c r="J49" s="1417"/>
      <c r="K49" s="782"/>
      <c r="L49" s="1143"/>
      <c r="M49" s="1144"/>
      <c r="N49" s="1131"/>
      <c r="O49" s="1144"/>
      <c r="P49" s="3190" t="str">
        <f>A49</f>
        <v>估价对象XX用房的比较价值（楼面单价，元/平方米）</v>
      </c>
      <c r="Q49" s="3191"/>
      <c r="R49" s="3192">
        <f>IF(F1="售价",ROUND(AVERAGE(R48:V48),0),ROUND(AVERAGE(R48:V48),1))</f>
        <v>47342</v>
      </c>
      <c r="S49" s="3192"/>
      <c r="T49" s="3192"/>
      <c r="U49" s="3192"/>
      <c r="V49" s="3192"/>
      <c r="W49" s="3192"/>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2676</v>
      </c>
      <c r="D52" s="497"/>
      <c r="E52" s="498">
        <f>IF(E47&lt;E48,E48/E47-1,E47/E48-1)</f>
        <v>8.2457493000040571E-2</v>
      </c>
      <c r="F52" s="499" t="str">
        <f>IF(OR(E52&gt;=0.3,E52&lt;=-0.3),"超过30%","")</f>
        <v/>
      </c>
      <c r="G52" s="498">
        <f>IF(G47&lt;G48,G48/G47-1,G47/G48-1)</f>
        <v>5.7289850017439914E-2</v>
      </c>
      <c r="H52" s="499" t="str">
        <f>IF(OR(G52&gt;=0.3,G52&lt;=-0.3),"超过30%","")</f>
        <v/>
      </c>
      <c r="I52" s="498">
        <f>IF(I47&lt;I48,I48/I47-1,I47/I48-1)</f>
        <v>1.4124775966544378E-2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2677</v>
      </c>
      <c r="D53" s="500"/>
      <c r="E53" s="498">
        <f>IF(E48&lt;G48,G48/E48-1,E48/G48-1)</f>
        <v>7.4424485524938966E-2</v>
      </c>
      <c r="F53" s="499" t="str">
        <f>IF(OR(E53&gt;=0.2,E53&lt;=-0.2),"超过20%","")</f>
        <v/>
      </c>
      <c r="G53" s="498">
        <f>IF(G48&lt;I48,I48/G48-1,G48/I48-1)</f>
        <v>2.1712591559120975E-2</v>
      </c>
      <c r="H53" s="499" t="str">
        <f>IF(OR(G53&gt;=0.2,G53&lt;=-0.2),"超过20%","")</f>
        <v/>
      </c>
      <c r="I53" s="498">
        <f>IF(I48&lt;E48,E48/I48-1,I48/E48-1)</f>
        <v>5.1591704361184654E-2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2678</v>
      </c>
      <c r="D54" s="500"/>
      <c r="E54" s="498">
        <f>IF(E47&lt;G47,G47/E47-1,E47/G47-1)</f>
        <v>0.10000000000000009</v>
      </c>
      <c r="F54" s="499" t="str">
        <f>IF(OR(E54&gt;=0.3,E54&lt;=-0.3),"超过30%","")</f>
        <v/>
      </c>
      <c r="G54" s="498">
        <f>IF(G47&lt;I47,I47/G47-1,G47/I47-1)</f>
        <v>2.0408163265306145E-2</v>
      </c>
      <c r="H54" s="499" t="str">
        <f>IF(OR(G54&gt;=0.3,G54&lt;=-0.3),"超过30%","")</f>
        <v/>
      </c>
      <c r="I54" s="498">
        <f>IF(I47&lt;E47,E47/I47-1,I47/E47-1)</f>
        <v>0.12244897959183665</v>
      </c>
      <c r="J54" s="499" t="str">
        <f>IF(OR(I54&gt;=0.3,I54&lt;=-0.3),"超过30%","")</f>
        <v/>
      </c>
      <c r="K54" s="1148"/>
      <c r="L54" s="1149"/>
      <c r="M54" s="1145"/>
      <c r="N54" s="1145"/>
      <c r="O54" s="1145"/>
      <c r="P54" s="2668"/>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8"/>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2679</v>
      </c>
      <c r="B57" s="756"/>
      <c r="C57" s="761"/>
      <c r="D57" s="761"/>
      <c r="E57" s="761"/>
      <c r="F57" s="762"/>
      <c r="G57" s="762"/>
      <c r="H57" s="761"/>
      <c r="I57" s="761"/>
      <c r="J57" s="761"/>
      <c r="K57" s="763"/>
      <c r="L57" s="1161"/>
      <c r="M57" s="1159"/>
      <c r="N57" s="1159"/>
      <c r="O57" s="1159"/>
      <c r="P57" s="2669"/>
      <c r="Q57" s="2670"/>
      <c r="R57" s="756"/>
      <c r="S57" s="756"/>
      <c r="T57" s="756"/>
      <c r="U57" s="756"/>
      <c r="V57" s="756"/>
      <c r="W57" s="756"/>
      <c r="X57" s="756"/>
      <c r="Y57" s="756"/>
      <c r="Z57" s="756"/>
      <c r="AA57" s="756"/>
      <c r="AB57" s="756"/>
      <c r="AC57" s="756"/>
    </row>
    <row r="58" spans="1:29" s="507" customFormat="1" ht="15">
      <c r="A58" s="504" t="s">
        <v>2553</v>
      </c>
      <c r="B58" s="505"/>
      <c r="C58" s="1574" t="str">
        <f>YEAR(C7)&amp;"-"&amp;MONTH(C7)</f>
        <v>2018-4</v>
      </c>
      <c r="D58" s="1575">
        <f>EDATE(C58,-1)</f>
        <v>43160</v>
      </c>
      <c r="E58" s="1575">
        <f t="shared" ref="E58:N58" si="16">EDATE(D58,-1)</f>
        <v>43132</v>
      </c>
      <c r="F58" s="1575">
        <f t="shared" si="16"/>
        <v>43101</v>
      </c>
      <c r="G58" s="1575">
        <f t="shared" si="16"/>
        <v>43070</v>
      </c>
      <c r="H58" s="1575">
        <f t="shared" si="16"/>
        <v>43040</v>
      </c>
      <c r="I58" s="1575">
        <f t="shared" si="16"/>
        <v>43009</v>
      </c>
      <c r="J58" s="1575">
        <f t="shared" si="16"/>
        <v>42979</v>
      </c>
      <c r="K58" s="1575">
        <f t="shared" si="16"/>
        <v>42948</v>
      </c>
      <c r="L58" s="1575">
        <f t="shared" si="16"/>
        <v>42917</v>
      </c>
      <c r="M58" s="1575">
        <f t="shared" si="16"/>
        <v>42887</v>
      </c>
      <c r="N58" s="1575">
        <f t="shared" si="16"/>
        <v>42856</v>
      </c>
      <c r="O58" s="1575">
        <f>EDATE(N58,-1)</f>
        <v>42826</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2590</v>
      </c>
      <c r="B60" s="515"/>
      <c r="C60" s="516">
        <v>100</v>
      </c>
      <c r="D60" s="517"/>
      <c r="E60" s="517"/>
      <c r="F60" s="517"/>
      <c r="G60" s="517"/>
      <c r="H60" s="517"/>
      <c r="I60" s="517"/>
      <c r="J60" s="517"/>
      <c r="K60" s="517"/>
      <c r="L60" s="517"/>
      <c r="M60" s="518"/>
      <c r="N60" s="517"/>
      <c r="O60" s="518"/>
      <c r="P60" s="2630"/>
      <c r="Q60" s="503"/>
    </row>
    <row r="61" spans="1:29" s="116" customFormat="1" ht="15">
      <c r="A61" s="520" t="s">
        <v>2555</v>
      </c>
      <c r="B61" s="509"/>
      <c r="C61" s="521" t="s">
        <v>2657</v>
      </c>
      <c r="D61" s="522"/>
      <c r="E61" s="522"/>
      <c r="F61" s="522"/>
      <c r="G61" s="522"/>
      <c r="H61" s="522"/>
      <c r="I61" s="522"/>
      <c r="J61" s="522"/>
      <c r="K61" s="522"/>
      <c r="L61" s="523"/>
      <c r="M61" s="524"/>
      <c r="N61" s="1151"/>
      <c r="O61" s="1151"/>
      <c r="P61" s="2631"/>
      <c r="Q61" s="503"/>
    </row>
    <row r="62" spans="1:29" s="116"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2593</v>
      </c>
      <c r="B63" s="527" t="s">
        <v>2559</v>
      </c>
      <c r="C63" s="528" t="str">
        <f>C9</f>
        <v>商业</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32"/>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2"/>
      <c r="Q67" s="503"/>
    </row>
    <row r="68" spans="1:17" ht="15">
      <c r="A68" s="533"/>
      <c r="B68" s="547"/>
      <c r="C68" s="548">
        <v>0</v>
      </c>
      <c r="D68" s="548">
        <v>1</v>
      </c>
      <c r="E68" s="548">
        <v>2</v>
      </c>
      <c r="F68" s="548">
        <v>3</v>
      </c>
      <c r="G68" s="548">
        <v>4</v>
      </c>
      <c r="H68" s="548"/>
      <c r="I68" s="548"/>
      <c r="J68" s="548"/>
      <c r="K68" s="549"/>
      <c r="L68" s="550"/>
      <c r="M68" s="551"/>
      <c r="N68" s="1152"/>
      <c r="O68" s="1152"/>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35"/>
      <c r="E73" s="535"/>
      <c r="F73" s="535"/>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32"/>
      <c r="Q81" s="503"/>
    </row>
    <row r="82" spans="1:17" ht="15.75" thickTop="1">
      <c r="A82" s="533"/>
      <c r="B82" s="545" t="s">
        <v>2660</v>
      </c>
      <c r="C82" s="659" t="s">
        <v>2680</v>
      </c>
      <c r="D82" s="659" t="s">
        <v>2681</v>
      </c>
      <c r="E82" s="659" t="s">
        <v>2682</v>
      </c>
      <c r="F82" s="659" t="s">
        <v>2683</v>
      </c>
      <c r="G82" s="659" t="s">
        <v>2684</v>
      </c>
      <c r="H82" s="538"/>
      <c r="I82" s="538"/>
      <c r="J82" s="538"/>
      <c r="K82" s="538"/>
      <c r="L82" s="538"/>
      <c r="M82" s="1382"/>
      <c r="N82" s="1153"/>
      <c r="O82" s="1153"/>
      <c r="P82" s="2632"/>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32"/>
      <c r="Q85" s="503"/>
    </row>
    <row r="86" spans="1:17" s="116" customFormat="1" ht="15.75" thickTop="1">
      <c r="A86" s="578"/>
      <c r="B86" s="537" t="s">
        <v>2685</v>
      </c>
      <c r="C86" s="2947" t="s">
        <v>3090</v>
      </c>
      <c r="D86" s="2947" t="s">
        <v>3091</v>
      </c>
      <c r="E86" s="2947" t="s">
        <v>3092</v>
      </c>
      <c r="F86" s="2947" t="s">
        <v>3159</v>
      </c>
      <c r="G86" s="2947" t="s">
        <v>3093</v>
      </c>
      <c r="H86" s="553"/>
      <c r="I86" s="553"/>
      <c r="J86" s="553"/>
      <c r="K86" s="553"/>
      <c r="L86" s="579"/>
      <c r="M86" s="580"/>
      <c r="N86" s="1151"/>
      <c r="O86" s="1151"/>
      <c r="P86" s="2632"/>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3"/>
      <c r="O87" s="1153"/>
      <c r="P87" s="2632"/>
      <c r="Q87" s="503"/>
    </row>
    <row r="88" spans="1:17" s="116" customFormat="1" ht="15.75" thickTop="1">
      <c r="A88" s="578"/>
      <c r="B88" s="537" t="str">
        <f>B26</f>
        <v>平面位置/可视性</v>
      </c>
      <c r="C88" s="2947" t="s">
        <v>3094</v>
      </c>
      <c r="D88" s="2947" t="s">
        <v>3095</v>
      </c>
      <c r="E88" s="2947" t="s">
        <v>3096</v>
      </c>
      <c r="F88" s="2948" t="s">
        <v>3097</v>
      </c>
      <c r="G88" s="2947" t="s">
        <v>3098</v>
      </c>
      <c r="H88" s="553"/>
      <c r="I88" s="553"/>
      <c r="J88" s="553"/>
      <c r="K88" s="553"/>
      <c r="L88" s="553"/>
      <c r="M88" s="580"/>
      <c r="N88" s="1151"/>
      <c r="O88" s="1151"/>
      <c r="P88" s="2632"/>
      <c r="Q88" s="503"/>
    </row>
    <row r="89" spans="1:17" s="116" customFormat="1" ht="15.75" thickBot="1">
      <c r="A89" s="578"/>
      <c r="B89" s="542"/>
      <c r="C89" s="559"/>
      <c r="D89" s="535"/>
      <c r="E89" s="535"/>
      <c r="F89" s="535"/>
      <c r="G89" s="535"/>
      <c r="H89" s="535"/>
      <c r="I89" s="535"/>
      <c r="J89" s="535"/>
      <c r="K89" s="535"/>
      <c r="L89" s="535"/>
      <c r="M89" s="535"/>
      <c r="N89" s="1153"/>
      <c r="O89" s="1153"/>
      <c r="P89" s="2632"/>
      <c r="Q89" s="503"/>
    </row>
    <row r="90" spans="1:17" s="470" customFormat="1" ht="15.75" thickTop="1">
      <c r="A90" s="552"/>
      <c r="B90" s="537" t="str">
        <f>B27</f>
        <v>人流量</v>
      </c>
      <c r="C90" s="2947" t="s">
        <v>3099</v>
      </c>
      <c r="D90" s="2947" t="s">
        <v>3100</v>
      </c>
      <c r="E90" s="2947" t="s">
        <v>3096</v>
      </c>
      <c r="F90" s="2947" t="s">
        <v>3097</v>
      </c>
      <c r="G90" s="2947" t="s">
        <v>3098</v>
      </c>
      <c r="H90" s="554"/>
      <c r="I90" s="554"/>
      <c r="J90" s="554"/>
      <c r="K90" s="554"/>
      <c r="L90" s="555"/>
      <c r="M90" s="556"/>
      <c r="N90" s="1154"/>
      <c r="O90" s="1154"/>
      <c r="P90" s="2633"/>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4"/>
      <c r="O91" s="1154"/>
      <c r="P91" s="2633"/>
      <c r="Q91" s="558"/>
    </row>
    <row r="92" spans="1:17" ht="15.75" thickTop="1">
      <c r="A92" s="533"/>
      <c r="B92" s="537" t="str">
        <f>B28</f>
        <v>楼层</v>
      </c>
      <c r="C92" s="553" t="s">
        <v>3101</v>
      </c>
      <c r="D92" s="553" t="s">
        <v>3102</v>
      </c>
      <c r="E92" s="553" t="s">
        <v>3103</v>
      </c>
      <c r="F92" s="553" t="s">
        <v>3104</v>
      </c>
      <c r="G92" s="553"/>
      <c r="H92" s="553"/>
      <c r="I92" s="553"/>
      <c r="J92" s="553"/>
      <c r="K92" s="553"/>
      <c r="L92" s="579"/>
      <c r="M92" s="580"/>
      <c r="N92" s="1152"/>
      <c r="O92" s="1152"/>
      <c r="P92" s="2632"/>
      <c r="Q92" s="503"/>
    </row>
    <row r="93" spans="1:17" ht="15.75" thickBot="1">
      <c r="A93" s="533"/>
      <c r="B93" s="542"/>
      <c r="C93" s="535">
        <v>100</v>
      </c>
      <c r="D93" s="535"/>
      <c r="E93" s="535"/>
      <c r="F93" s="535">
        <v>70</v>
      </c>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35"/>
      <c r="E95" s="535"/>
      <c r="F95" s="535"/>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59"/>
      <c r="D97" s="535"/>
      <c r="E97" s="535"/>
      <c r="F97" s="535"/>
      <c r="G97" s="535"/>
      <c r="H97" s="535"/>
      <c r="I97" s="535"/>
      <c r="J97" s="535"/>
      <c r="K97" s="535"/>
      <c r="L97" s="535"/>
      <c r="M97" s="536"/>
      <c r="N97" s="1153"/>
      <c r="O97" s="1153"/>
      <c r="P97" s="2632"/>
      <c r="Q97" s="503"/>
    </row>
    <row r="98" spans="1:17" ht="15.75" thickTop="1">
      <c r="A98" s="533"/>
      <c r="B98" s="545">
        <f>B31</f>
        <v>111</v>
      </c>
      <c r="C98" s="553"/>
      <c r="D98" s="553"/>
      <c r="E98" s="553"/>
      <c r="F98" s="553"/>
      <c r="G98" s="586"/>
      <c r="H98" s="586"/>
      <c r="I98" s="586"/>
      <c r="J98" s="586"/>
      <c r="K98" s="587"/>
      <c r="L98" s="588"/>
      <c r="M98" s="589"/>
      <c r="N98" s="1152"/>
      <c r="O98" s="1152"/>
      <c r="P98" s="2632"/>
      <c r="Q98" s="503"/>
    </row>
    <row r="99" spans="1:17" ht="15.75" thickBot="1">
      <c r="A99" s="2638"/>
      <c r="B99" s="568"/>
      <c r="C99" s="569"/>
      <c r="D99" s="569"/>
      <c r="E99" s="569"/>
      <c r="F99" s="569"/>
      <c r="G99" s="590"/>
      <c r="H99" s="590"/>
      <c r="I99" s="590"/>
      <c r="J99" s="590"/>
      <c r="K99" s="590"/>
      <c r="L99" s="590"/>
      <c r="M99" s="591"/>
      <c r="N99" s="1153"/>
      <c r="O99" s="1153"/>
      <c r="P99" s="2632"/>
      <c r="Q99" s="503"/>
    </row>
    <row r="100" spans="1:17">
      <c r="A100" s="526" t="s">
        <v>2568</v>
      </c>
      <c r="B100" s="527" t="s">
        <v>2686</v>
      </c>
      <c r="C100" s="2949" t="s">
        <v>3105</v>
      </c>
      <c r="D100" s="2949" t="s">
        <v>3106</v>
      </c>
      <c r="E100" s="2949" t="s">
        <v>3107</v>
      </c>
      <c r="F100" s="2949" t="s">
        <v>3108</v>
      </c>
      <c r="G100" s="2949" t="s">
        <v>3109</v>
      </c>
      <c r="H100" s="529"/>
      <c r="I100" s="529"/>
      <c r="J100" s="529"/>
      <c r="K100" s="530"/>
      <c r="L100" s="531"/>
      <c r="M100" s="532"/>
      <c r="N100" s="1152"/>
      <c r="O100" s="1152"/>
      <c r="P100" s="2632"/>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32"/>
      <c r="Q101" s="503"/>
    </row>
    <row r="102" spans="1:17" ht="29.25" thickTop="1">
      <c r="A102" s="533"/>
      <c r="B102" s="537" t="s">
        <v>2618</v>
      </c>
      <c r="C102" s="577" t="str">
        <f>C103&amp;"(含)"&amp;"-"&amp;D103</f>
        <v>0(含)-100</v>
      </c>
      <c r="D102" s="577" t="str">
        <f t="shared" ref="D102:L102" si="23">D103&amp;"(含)"&amp;"-"&amp;E103</f>
        <v>100(含)-200</v>
      </c>
      <c r="E102" s="577" t="str">
        <f t="shared" si="23"/>
        <v>200(含)-500</v>
      </c>
      <c r="F102" s="577" t="str">
        <f t="shared" si="23"/>
        <v>500(含)-1000</v>
      </c>
      <c r="G102" s="577" t="str">
        <f t="shared" si="23"/>
        <v>1000(含)-5000</v>
      </c>
      <c r="H102" s="577" t="str">
        <f t="shared" si="23"/>
        <v>5000(含)-10000</v>
      </c>
      <c r="I102" s="577" t="str">
        <f t="shared" si="23"/>
        <v>10000(含)-20000</v>
      </c>
      <c r="J102" s="577" t="str">
        <f t="shared" si="23"/>
        <v>20000(含)-</v>
      </c>
      <c r="K102" s="577" t="str">
        <f t="shared" si="23"/>
        <v>(含)-</v>
      </c>
      <c r="L102" s="577" t="str">
        <f t="shared" si="23"/>
        <v>(含)-</v>
      </c>
      <c r="M102" s="621" t="str">
        <f>M103&amp;"(含)"&amp;"-"&amp;P103</f>
        <v>(含)-</v>
      </c>
      <c r="N102" s="1151"/>
      <c r="O102" s="1151"/>
      <c r="P102" s="2632"/>
      <c r="Q102" s="503"/>
    </row>
    <row r="103" spans="1:17" s="470" customFormat="1">
      <c r="A103" s="592"/>
      <c r="B103" s="593"/>
      <c r="C103" s="594">
        <v>0</v>
      </c>
      <c r="D103" s="594">
        <v>100</v>
      </c>
      <c r="E103" s="594">
        <v>200</v>
      </c>
      <c r="F103" s="594">
        <v>500</v>
      </c>
      <c r="G103" s="594">
        <v>1000</v>
      </c>
      <c r="H103" s="594">
        <v>5000</v>
      </c>
      <c r="I103" s="594">
        <v>10000</v>
      </c>
      <c r="J103" s="595">
        <v>20000</v>
      </c>
      <c r="K103" s="595"/>
      <c r="L103" s="596"/>
      <c r="M103" s="597"/>
      <c r="N103" s="1154"/>
      <c r="O103" s="1154"/>
      <c r="P103" s="2633"/>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3"/>
      <c r="O104" s="1153"/>
      <c r="P104" s="2633"/>
      <c r="Q104" s="558"/>
    </row>
    <row r="105" spans="1:17" ht="15" thickTop="1">
      <c r="A105" s="598"/>
      <c r="B105" s="537" t="s">
        <v>2619</v>
      </c>
      <c r="C105" s="2947" t="s">
        <v>3110</v>
      </c>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3"/>
      <c r="O106" s="1153"/>
      <c r="P106" s="2632"/>
      <c r="Q106" s="503"/>
    </row>
    <row r="107" spans="1:17" ht="15" thickTop="1">
      <c r="A107" s="598"/>
      <c r="B107" s="537" t="s">
        <v>2621</v>
      </c>
      <c r="C107" s="2947" t="s">
        <v>3111</v>
      </c>
      <c r="D107" s="2947" t="s">
        <v>3112</v>
      </c>
      <c r="E107" s="2947" t="s">
        <v>3113</v>
      </c>
      <c r="F107" s="2950" t="s">
        <v>3114</v>
      </c>
      <c r="G107" s="582"/>
      <c r="H107" s="582"/>
      <c r="I107" s="582"/>
      <c r="J107" s="582"/>
      <c r="K107" s="583"/>
      <c r="L107" s="584"/>
      <c r="M107" s="585"/>
      <c r="N107" s="1152"/>
      <c r="O107" s="1152"/>
      <c r="P107" s="2632"/>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3"/>
      <c r="O108" s="1153"/>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2"/>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32"/>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32"/>
      <c r="Q111" s="503"/>
    </row>
    <row r="112" spans="1:17" s="470" customFormat="1" ht="15" thickTop="1">
      <c r="A112" s="592"/>
      <c r="B112" s="537" t="s">
        <v>2623</v>
      </c>
      <c r="C112" s="2947" t="s">
        <v>3115</v>
      </c>
      <c r="D112" s="553"/>
      <c r="E112" s="553"/>
      <c r="F112" s="553"/>
      <c r="G112" s="553"/>
      <c r="H112" s="582"/>
      <c r="I112" s="582"/>
      <c r="J112" s="582"/>
      <c r="K112" s="583"/>
      <c r="L112" s="584"/>
      <c r="M112" s="585"/>
      <c r="N112" s="1154"/>
      <c r="O112" s="1154"/>
      <c r="P112" s="2633"/>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33"/>
      <c r="Q113" s="558"/>
    </row>
    <row r="114" spans="1:17" ht="15" thickTop="1">
      <c r="A114" s="598"/>
      <c r="B114" s="537" t="s">
        <v>2687</v>
      </c>
      <c r="C114" s="2947" t="s">
        <v>3116</v>
      </c>
      <c r="D114" s="2947" t="s">
        <v>3117</v>
      </c>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32"/>
      <c r="Q115" s="503"/>
    </row>
    <row r="116" spans="1:17" ht="15" thickTop="1">
      <c r="A116" s="598"/>
      <c r="B116" s="537" t="s">
        <v>2688</v>
      </c>
      <c r="C116" s="2947" t="s">
        <v>3118</v>
      </c>
      <c r="D116" s="2947" t="s">
        <v>3119</v>
      </c>
      <c r="E116" s="2947" t="s">
        <v>3120</v>
      </c>
      <c r="F116" s="553"/>
      <c r="G116" s="553"/>
      <c r="H116" s="582"/>
      <c r="I116" s="582"/>
      <c r="J116" s="582"/>
      <c r="K116" s="583"/>
      <c r="L116" s="584"/>
      <c r="M116" s="585"/>
      <c r="N116" s="1152"/>
      <c r="O116" s="1152"/>
      <c r="P116" s="2632"/>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32"/>
      <c r="Q117" s="503"/>
    </row>
    <row r="118" spans="1:17" ht="15" thickTop="1">
      <c r="A118" s="598"/>
      <c r="B118" s="537" t="s">
        <v>2689</v>
      </c>
      <c r="C118" s="626"/>
      <c r="D118" s="626"/>
      <c r="E118" s="626"/>
      <c r="F118" s="626"/>
      <c r="G118" s="626"/>
      <c r="H118" s="554"/>
      <c r="I118" s="554"/>
      <c r="J118" s="554"/>
      <c r="K118" s="554"/>
      <c r="L118" s="555"/>
      <c r="M118" s="556"/>
      <c r="N118" s="1152"/>
      <c r="O118" s="1152"/>
      <c r="P118" s="2632"/>
      <c r="Q118" s="503"/>
    </row>
    <row r="119" spans="1:17" ht="15.75" thickBot="1">
      <c r="A119" s="533"/>
      <c r="B119" s="542"/>
      <c r="C119" s="559"/>
      <c r="D119" s="535"/>
      <c r="E119" s="535"/>
      <c r="F119" s="535"/>
      <c r="G119" s="535"/>
      <c r="H119" s="535"/>
      <c r="I119" s="535"/>
      <c r="J119" s="535"/>
      <c r="K119" s="535"/>
      <c r="L119" s="535"/>
      <c r="M119" s="536"/>
      <c r="N119" s="1153"/>
      <c r="O119" s="1153"/>
      <c r="P119" s="2632"/>
      <c r="Q119" s="503"/>
    </row>
    <row r="120" spans="1:17" s="470" customFormat="1" ht="15" thickTop="1">
      <c r="A120" s="592"/>
      <c r="B120" s="537" t="s">
        <v>2690</v>
      </c>
      <c r="C120" s="2950" t="s">
        <v>3121</v>
      </c>
      <c r="D120" s="582"/>
      <c r="E120" s="582"/>
      <c r="F120" s="582"/>
      <c r="G120" s="554"/>
      <c r="H120" s="554"/>
      <c r="I120" s="554"/>
      <c r="J120" s="554"/>
      <c r="K120" s="554"/>
      <c r="L120" s="555"/>
      <c r="M120" s="556"/>
      <c r="N120" s="1154"/>
      <c r="O120" s="1154"/>
      <c r="P120" s="2633"/>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33"/>
      <c r="Q121" s="558"/>
    </row>
    <row r="122" spans="1:17" ht="15" thickTop="1">
      <c r="A122" s="598"/>
      <c r="B122" s="537" t="s">
        <v>2625</v>
      </c>
      <c r="C122" s="2947" t="s">
        <v>3111</v>
      </c>
      <c r="D122" s="2947" t="s">
        <v>3112</v>
      </c>
      <c r="E122" s="2947" t="s">
        <v>3113</v>
      </c>
      <c r="F122" s="2950" t="s">
        <v>3114</v>
      </c>
      <c r="G122" s="582"/>
      <c r="H122" s="582"/>
      <c r="I122" s="582"/>
      <c r="J122" s="582"/>
      <c r="K122" s="583"/>
      <c r="L122" s="584"/>
      <c r="M122" s="585"/>
      <c r="N122" s="1152"/>
      <c r="O122" s="1152"/>
      <c r="P122" s="2632"/>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3"/>
      <c r="O123" s="1153"/>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35"/>
      <c r="E129" s="535"/>
      <c r="F129" s="535"/>
      <c r="G129" s="535"/>
      <c r="H129" s="535"/>
      <c r="I129" s="535"/>
      <c r="J129" s="535"/>
      <c r="K129" s="535"/>
      <c r="L129" s="535"/>
      <c r="M129" s="536"/>
      <c r="N129" s="1153"/>
      <c r="O129" s="1153"/>
      <c r="P129" s="2632"/>
      <c r="Q129" s="503"/>
    </row>
    <row r="130" spans="1:17" ht="15" thickTop="1">
      <c r="A130" s="598"/>
      <c r="B130" s="545">
        <f>B46</f>
        <v>0.97</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2" t="str">
        <f>项目基本情况!B5</f>
        <v>北京国锐房地产开发有限公司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31" sqref="H31"/>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7.6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3009</v>
      </c>
      <c r="C1" s="3194" t="s">
        <v>3010</v>
      </c>
      <c r="D1" s="3195"/>
      <c r="E1" s="3195"/>
      <c r="F1" s="3195"/>
      <c r="G1" s="3195"/>
      <c r="H1" s="3195"/>
      <c r="I1" s="3195"/>
      <c r="J1" s="3195"/>
      <c r="K1" s="3195"/>
      <c r="L1" s="3195"/>
      <c r="M1" s="3195"/>
      <c r="N1" s="3195"/>
      <c r="O1" s="3195"/>
      <c r="P1" s="3195"/>
      <c r="Q1" s="3195"/>
      <c r="R1" s="3195"/>
      <c r="S1" s="3196"/>
      <c r="T1" s="1204" t="s">
        <v>3011</v>
      </c>
    </row>
    <row r="2" spans="1:45" s="706" customFormat="1" ht="38.25">
      <c r="A2" s="1205"/>
      <c r="B2" s="702" t="s">
        <v>3012</v>
      </c>
      <c r="C2" s="703" t="str">
        <f t="shared" ref="C2:L2" si="0">C3&amp;"(含)"&amp;"-"&amp;D3</f>
        <v>0(含)-100</v>
      </c>
      <c r="D2" s="704" t="str">
        <f t="shared" si="0"/>
        <v>100(含)-200</v>
      </c>
      <c r="E2" s="704" t="str">
        <f t="shared" si="0"/>
        <v>200(含)-500</v>
      </c>
      <c r="F2" s="704" t="str">
        <f t="shared" si="0"/>
        <v>500(含)-1000</v>
      </c>
      <c r="G2" s="704" t="str">
        <f t="shared" si="0"/>
        <v>1000(含)-5000</v>
      </c>
      <c r="H2" s="704" t="str">
        <f t="shared" si="0"/>
        <v>5000(含)-10000</v>
      </c>
      <c r="I2" s="704" t="str">
        <f t="shared" si="0"/>
        <v>10000(含)-20000</v>
      </c>
      <c r="J2" s="704" t="str">
        <f t="shared" si="0"/>
        <v>20000(含)-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100</v>
      </c>
      <c r="E3" s="594">
        <v>200</v>
      </c>
      <c r="F3" s="594">
        <v>500</v>
      </c>
      <c r="G3" s="594">
        <v>1000</v>
      </c>
      <c r="H3" s="594">
        <v>5000</v>
      </c>
      <c r="I3" s="594">
        <v>10000</v>
      </c>
      <c r="J3" s="595">
        <v>20000</v>
      </c>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35">
        <v>96</v>
      </c>
      <c r="F4" s="535">
        <v>94</v>
      </c>
      <c r="G4" s="535">
        <v>92</v>
      </c>
      <c r="H4" s="535">
        <v>90</v>
      </c>
      <c r="I4" s="535">
        <v>88</v>
      </c>
      <c r="J4" s="535">
        <v>86</v>
      </c>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9" t="s">
        <v>3013</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3014</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3015</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3016</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3017</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3018</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8" t="s">
        <v>3019</v>
      </c>
      <c r="B17" s="2919" t="s">
        <v>3020</v>
      </c>
      <c r="C17" s="1231" t="s">
        <v>3123</v>
      </c>
      <c r="D17" s="1232" t="s">
        <v>3125</v>
      </c>
      <c r="E17" s="1232" t="s">
        <v>3124</v>
      </c>
      <c r="F17" s="1232" t="s">
        <v>3126</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50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20" t="s">
        <v>3021</v>
      </c>
      <c r="E19" s="1792"/>
      <c r="F19" s="1792"/>
      <c r="G19" s="1792"/>
      <c r="H19" s="1280"/>
      <c r="I19" s="167"/>
      <c r="J19" s="167"/>
      <c r="K19" s="167"/>
      <c r="L19" s="167"/>
      <c r="M19" s="167"/>
      <c r="N19" s="167"/>
      <c r="O19" s="167"/>
      <c r="P19" s="167"/>
      <c r="Q19" s="167"/>
      <c r="R19" s="785"/>
      <c r="S19" s="137"/>
    </row>
    <row r="20" spans="1:45" ht="16.5" thickBot="1">
      <c r="A20" s="712" t="s">
        <v>3022</v>
      </c>
      <c r="B20" s="337">
        <f>IF(D20="——",S22,S22-F20)</f>
        <v>82291</v>
      </c>
      <c r="C20" s="167"/>
      <c r="D20" s="2921" t="s">
        <v>70</v>
      </c>
      <c r="E20" s="1793"/>
      <c r="F20" s="1204" t="e">
        <f ca="1">SUMIF(INDIRECT("'"&amp;H20&amp;"'"&amp;"!A:A"),"承租人权益价值",INDIRECT("'"&amp;H20&amp;"'"&amp;"!c:c"))</f>
        <v>#REF!</v>
      </c>
      <c r="G20" s="1204" t="s">
        <v>3023</v>
      </c>
      <c r="H20" s="2922"/>
      <c r="I20" s="167"/>
      <c r="J20" s="167"/>
      <c r="K20" s="167"/>
      <c r="L20" s="167"/>
      <c r="M20" s="167"/>
      <c r="N20" s="167"/>
      <c r="O20" s="167"/>
      <c r="P20" s="167"/>
      <c r="Q20" s="167"/>
      <c r="R20" s="785"/>
      <c r="S20" s="137"/>
    </row>
    <row r="21" spans="1:45" ht="15.75">
      <c r="A21" s="712" t="s">
        <v>3024</v>
      </c>
      <c r="B21" s="337">
        <f>R22</f>
        <v>29330</v>
      </c>
      <c r="C21" s="167"/>
      <c r="D21" s="167"/>
      <c r="E21" s="167"/>
      <c r="F21" s="167"/>
      <c r="G21" s="167"/>
      <c r="H21" s="167"/>
      <c r="I21" s="167"/>
      <c r="J21" s="167"/>
      <c r="K21" s="167"/>
      <c r="L21" s="167"/>
      <c r="M21" s="167"/>
      <c r="N21" s="167"/>
      <c r="O21" s="167"/>
      <c r="P21" s="167"/>
      <c r="Q21" s="167"/>
      <c r="R21" s="785"/>
      <c r="S21" s="137"/>
    </row>
    <row r="22" spans="1:45">
      <c r="A22" s="360" t="s">
        <v>3025</v>
      </c>
      <c r="B22" s="23">
        <f>SUM(B24:B10000)</f>
        <v>28056.880000000001</v>
      </c>
      <c r="C22" s="3056" t="s">
        <v>33</v>
      </c>
      <c r="D22" s="3057"/>
      <c r="E22" s="3057"/>
      <c r="F22" s="3057"/>
      <c r="G22" s="3057"/>
      <c r="H22" s="3057"/>
      <c r="I22" s="3057"/>
      <c r="J22" s="3057"/>
      <c r="K22" s="3057"/>
      <c r="L22" s="3057"/>
      <c r="M22" s="3057"/>
      <c r="N22" s="3057"/>
      <c r="O22" s="3057"/>
      <c r="P22" s="3057"/>
      <c r="Q22" s="3193"/>
      <c r="R22" s="713">
        <f>ROUND(S22*10000/B22,0)</f>
        <v>29330</v>
      </c>
      <c r="S22" s="23">
        <f>SUM(S24:S10000)</f>
        <v>82291</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4" t="s">
        <v>3029</v>
      </c>
      <c r="S23" s="11" t="s">
        <v>3030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1" t="s">
        <v>3127</v>
      </c>
      <c r="B24" s="715">
        <v>9285.3700000000008</v>
      </c>
      <c r="C24" s="716">
        <v>1</v>
      </c>
      <c r="D24" s="717"/>
      <c r="E24" s="716">
        <v>1</v>
      </c>
      <c r="F24" s="717"/>
      <c r="G24" s="716">
        <v>1</v>
      </c>
      <c r="H24" s="717"/>
      <c r="I24" s="716">
        <v>1</v>
      </c>
      <c r="J24" s="717"/>
      <c r="K24" s="716">
        <v>1</v>
      </c>
      <c r="L24" s="717"/>
      <c r="M24" s="716">
        <v>1</v>
      </c>
      <c r="N24" s="717"/>
      <c r="O24" s="716">
        <v>1</v>
      </c>
      <c r="P24" s="717" t="s">
        <v>3123</v>
      </c>
      <c r="Q24" s="716">
        <v>1</v>
      </c>
      <c r="R24" s="718">
        <f>'比较法-商业'!C49</f>
        <v>47342</v>
      </c>
      <c r="S24" s="716">
        <f t="shared" ref="S24:S54" si="11">ROUND(R24*B24/10000,0)</f>
        <v>43959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3128</v>
      </c>
      <c r="B25" s="58">
        <v>6835.68</v>
      </c>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3124</v>
      </c>
      <c r="Q25" s="23">
        <f>(SUMIF($17:$17,P25,$18:$18)-SUMIF($17:$17,$P$24,$18:$18)+100)/100</f>
        <v>0.5</v>
      </c>
      <c r="R25" s="713">
        <f>IF(B25="",0,ROUND($R$24*C25*E25*G25*I25*K25*M25*O25*Q25,0))</f>
        <v>23671</v>
      </c>
      <c r="S25" s="360">
        <f t="shared" si="11"/>
        <v>16181</v>
      </c>
    </row>
    <row r="26" spans="1:45">
      <c r="A26" s="158" t="s">
        <v>3129</v>
      </c>
      <c r="B26" s="58">
        <v>11935.83</v>
      </c>
      <c r="C26" s="23">
        <f t="shared" ref="C26:C89" si="12">IF(B26="",1,(LOOKUP(B26,$3:$3,$4:$4)-LOOKUP($B$24,$3:$3,$4:$4)+100)/100)</f>
        <v>0.98</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3126</v>
      </c>
      <c r="Q26" s="23">
        <f t="shared" ref="Q26:Q89" si="19">(SUMIF($17:$17,P26,$18:$18)-SUMIF($17:$17,$P$24,$18:$18)+100)/100</f>
        <v>0.4</v>
      </c>
      <c r="R26" s="713">
        <f t="shared" ref="R26:R89" si="20">IF(B26="",0,ROUND($R$24*C26*E26*G26*I26*K26*M26*O26*Q26,0))</f>
        <v>18558</v>
      </c>
      <c r="S26" s="360">
        <f t="shared" si="11"/>
        <v>22151</v>
      </c>
    </row>
    <row r="27" spans="1:45">
      <c r="A27" s="158"/>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0</v>
      </c>
      <c r="R27" s="713">
        <f t="shared" si="20"/>
        <v>0</v>
      </c>
      <c r="S27" s="360">
        <f t="shared" si="11"/>
        <v>0</v>
      </c>
    </row>
    <row r="28" spans="1:45">
      <c r="A28" s="158"/>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0</v>
      </c>
      <c r="R28" s="713">
        <f t="shared" si="20"/>
        <v>0</v>
      </c>
      <c r="S28" s="360">
        <f t="shared" si="11"/>
        <v>0</v>
      </c>
    </row>
    <row r="29" spans="1:45">
      <c r="A29" s="158"/>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0</v>
      </c>
      <c r="R29" s="713">
        <f t="shared" si="20"/>
        <v>0</v>
      </c>
      <c r="S29" s="360">
        <f t="shared" si="11"/>
        <v>0</v>
      </c>
    </row>
    <row r="30" spans="1:45">
      <c r="A30" s="158"/>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0</v>
      </c>
      <c r="R30" s="713">
        <f t="shared" si="20"/>
        <v>0</v>
      </c>
      <c r="S30" s="360">
        <f t="shared" si="11"/>
        <v>0</v>
      </c>
    </row>
    <row r="31" spans="1:45">
      <c r="A31" s="158"/>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0</v>
      </c>
      <c r="R31" s="713">
        <f t="shared" si="20"/>
        <v>0</v>
      </c>
      <c r="S31" s="360">
        <f t="shared" si="11"/>
        <v>0</v>
      </c>
    </row>
    <row r="32" spans="1:45">
      <c r="A32" s="158"/>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0</v>
      </c>
      <c r="R32" s="713">
        <f t="shared" si="20"/>
        <v>0</v>
      </c>
      <c r="S32" s="360">
        <f t="shared" si="11"/>
        <v>0</v>
      </c>
    </row>
    <row r="33" spans="1:19">
      <c r="A33" s="158"/>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0</v>
      </c>
      <c r="R33" s="713">
        <f t="shared" si="20"/>
        <v>0</v>
      </c>
      <c r="S33" s="360">
        <f t="shared" si="11"/>
        <v>0</v>
      </c>
    </row>
    <row r="34" spans="1:19">
      <c r="A34" s="158"/>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0</v>
      </c>
      <c r="R34" s="713">
        <f t="shared" si="20"/>
        <v>0</v>
      </c>
      <c r="S34" s="360">
        <f t="shared" si="11"/>
        <v>0</v>
      </c>
    </row>
    <row r="35" spans="1:19">
      <c r="A35" s="158"/>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0</v>
      </c>
      <c r="R35" s="713">
        <f t="shared" si="20"/>
        <v>0</v>
      </c>
      <c r="S35" s="360">
        <f t="shared" si="11"/>
        <v>0</v>
      </c>
    </row>
    <row r="36" spans="1:19">
      <c r="A36" s="158"/>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0</v>
      </c>
      <c r="R36" s="713">
        <f t="shared" si="20"/>
        <v>0</v>
      </c>
      <c r="S36" s="360">
        <f t="shared" si="11"/>
        <v>0</v>
      </c>
    </row>
    <row r="37" spans="1:19">
      <c r="A37" s="158"/>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0</v>
      </c>
      <c r="R37" s="713">
        <f t="shared" si="20"/>
        <v>0</v>
      </c>
      <c r="S37" s="360">
        <f t="shared" si="11"/>
        <v>0</v>
      </c>
    </row>
    <row r="38" spans="1:19">
      <c r="A38" s="158"/>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0</v>
      </c>
      <c r="R38" s="713">
        <f t="shared" si="20"/>
        <v>0</v>
      </c>
      <c r="S38" s="360">
        <f t="shared" si="11"/>
        <v>0</v>
      </c>
    </row>
    <row r="39" spans="1:19">
      <c r="A39" s="158"/>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0</v>
      </c>
      <c r="R39" s="713">
        <f t="shared" si="20"/>
        <v>0</v>
      </c>
      <c r="S39" s="360">
        <f t="shared" si="11"/>
        <v>0</v>
      </c>
    </row>
    <row r="40" spans="1:19">
      <c r="A40" s="158"/>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0</v>
      </c>
      <c r="R40" s="713">
        <f t="shared" si="20"/>
        <v>0</v>
      </c>
      <c r="S40" s="360">
        <f t="shared" si="11"/>
        <v>0</v>
      </c>
    </row>
    <row r="41" spans="1:19">
      <c r="A41" s="158"/>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0</v>
      </c>
      <c r="R41" s="713">
        <f t="shared" si="20"/>
        <v>0</v>
      </c>
      <c r="S41" s="360">
        <f t="shared" si="11"/>
        <v>0</v>
      </c>
    </row>
    <row r="42" spans="1:19">
      <c r="A42" s="158"/>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0</v>
      </c>
      <c r="R42" s="713">
        <f t="shared" si="20"/>
        <v>0</v>
      </c>
      <c r="S42" s="360">
        <f t="shared" si="11"/>
        <v>0</v>
      </c>
    </row>
    <row r="43" spans="1:19">
      <c r="A43" s="158"/>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0</v>
      </c>
      <c r="R43" s="713">
        <f t="shared" si="20"/>
        <v>0</v>
      </c>
      <c r="S43" s="360">
        <f t="shared" si="11"/>
        <v>0</v>
      </c>
    </row>
    <row r="44" spans="1:19">
      <c r="A44" s="158"/>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0</v>
      </c>
      <c r="R44" s="713">
        <f t="shared" si="20"/>
        <v>0</v>
      </c>
      <c r="S44" s="360">
        <f t="shared" si="11"/>
        <v>0</v>
      </c>
    </row>
    <row r="45" spans="1:19">
      <c r="A45" s="158"/>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0</v>
      </c>
      <c r="R45" s="713">
        <f t="shared" si="20"/>
        <v>0</v>
      </c>
      <c r="S45" s="360">
        <f t="shared" si="11"/>
        <v>0</v>
      </c>
    </row>
    <row r="46" spans="1:19">
      <c r="A46" s="158"/>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0</v>
      </c>
      <c r="R46" s="713">
        <f t="shared" si="20"/>
        <v>0</v>
      </c>
      <c r="S46" s="360">
        <f t="shared" si="11"/>
        <v>0</v>
      </c>
    </row>
    <row r="47" spans="1:19">
      <c r="A47" s="158"/>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0</v>
      </c>
      <c r="R47" s="713">
        <f t="shared" si="20"/>
        <v>0</v>
      </c>
      <c r="S47" s="360">
        <f t="shared" si="11"/>
        <v>0</v>
      </c>
    </row>
    <row r="48" spans="1:19">
      <c r="A48" s="158"/>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0</v>
      </c>
      <c r="R48" s="713">
        <f t="shared" si="20"/>
        <v>0</v>
      </c>
      <c r="S48" s="360">
        <f t="shared" si="11"/>
        <v>0</v>
      </c>
    </row>
    <row r="49" spans="1:19">
      <c r="A49" s="158"/>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0</v>
      </c>
      <c r="R49" s="713">
        <f t="shared" si="20"/>
        <v>0</v>
      </c>
      <c r="S49" s="360">
        <f t="shared" si="11"/>
        <v>0</v>
      </c>
    </row>
    <row r="50" spans="1:19">
      <c r="A50" s="158"/>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0</v>
      </c>
      <c r="R50" s="713">
        <f t="shared" si="20"/>
        <v>0</v>
      </c>
      <c r="S50" s="360">
        <f t="shared" si="11"/>
        <v>0</v>
      </c>
    </row>
    <row r="51" spans="1:19">
      <c r="A51" s="158"/>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0</v>
      </c>
      <c r="R51" s="713">
        <f t="shared" si="20"/>
        <v>0</v>
      </c>
      <c r="S51" s="360">
        <f t="shared" si="11"/>
        <v>0</v>
      </c>
    </row>
    <row r="52" spans="1:19">
      <c r="A52" s="158"/>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0</v>
      </c>
      <c r="R52" s="713">
        <f t="shared" si="20"/>
        <v>0</v>
      </c>
      <c r="S52" s="360">
        <f t="shared" si="11"/>
        <v>0</v>
      </c>
    </row>
    <row r="53" spans="1:19">
      <c r="A53" s="158"/>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0</v>
      </c>
      <c r="R53" s="713">
        <f t="shared" si="20"/>
        <v>0</v>
      </c>
      <c r="S53" s="360">
        <f t="shared" si="11"/>
        <v>0</v>
      </c>
    </row>
    <row r="54" spans="1:19">
      <c r="A54" s="158"/>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0</v>
      </c>
      <c r="R54" s="713">
        <f t="shared" si="20"/>
        <v>0</v>
      </c>
      <c r="S54" s="360">
        <f t="shared" si="11"/>
        <v>0</v>
      </c>
    </row>
    <row r="55" spans="1:19">
      <c r="A55" s="158"/>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0</v>
      </c>
      <c r="R55" s="713">
        <f t="shared" si="20"/>
        <v>0</v>
      </c>
      <c r="S55" s="360">
        <f t="shared" ref="S55:S77" si="21">ROUND(R55*B55/10000,0)</f>
        <v>0</v>
      </c>
    </row>
    <row r="56" spans="1:19">
      <c r="A56" s="158"/>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0</v>
      </c>
      <c r="R56" s="713">
        <f t="shared" si="20"/>
        <v>0</v>
      </c>
      <c r="S56" s="360">
        <f t="shared" si="21"/>
        <v>0</v>
      </c>
    </row>
    <row r="57" spans="1:19">
      <c r="A57" s="158"/>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0</v>
      </c>
      <c r="R57" s="713">
        <f t="shared" si="20"/>
        <v>0</v>
      </c>
      <c r="S57" s="360">
        <f t="shared" si="21"/>
        <v>0</v>
      </c>
    </row>
    <row r="58" spans="1:19">
      <c r="A58" s="158"/>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0</v>
      </c>
      <c r="R58" s="713">
        <f t="shared" si="20"/>
        <v>0</v>
      </c>
      <c r="S58" s="360">
        <f t="shared" si="21"/>
        <v>0</v>
      </c>
    </row>
    <row r="59" spans="1:19">
      <c r="A59" s="158"/>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0</v>
      </c>
      <c r="R59" s="713">
        <f t="shared" si="20"/>
        <v>0</v>
      </c>
      <c r="S59" s="360">
        <f t="shared" si="21"/>
        <v>0</v>
      </c>
    </row>
    <row r="60" spans="1:19">
      <c r="A60" s="158"/>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0</v>
      </c>
      <c r="R60" s="713">
        <f t="shared" si="20"/>
        <v>0</v>
      </c>
      <c r="S60" s="360">
        <f t="shared" si="21"/>
        <v>0</v>
      </c>
    </row>
    <row r="61" spans="1:19">
      <c r="A61" s="158"/>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0</v>
      </c>
      <c r="R61" s="713">
        <f t="shared" si="20"/>
        <v>0</v>
      </c>
      <c r="S61" s="360">
        <f t="shared" si="21"/>
        <v>0</v>
      </c>
    </row>
    <row r="62" spans="1:19">
      <c r="A62" s="158"/>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0</v>
      </c>
      <c r="R62" s="713">
        <f t="shared" si="20"/>
        <v>0</v>
      </c>
      <c r="S62" s="360">
        <f t="shared" si="21"/>
        <v>0</v>
      </c>
    </row>
    <row r="63" spans="1:19">
      <c r="A63" s="158"/>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0</v>
      </c>
      <c r="R63" s="713">
        <f t="shared" si="20"/>
        <v>0</v>
      </c>
      <c r="S63" s="360">
        <f t="shared" si="21"/>
        <v>0</v>
      </c>
    </row>
    <row r="64" spans="1:19">
      <c r="A64" s="158"/>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0</v>
      </c>
      <c r="R64" s="713">
        <f t="shared" si="20"/>
        <v>0</v>
      </c>
      <c r="S64" s="360">
        <f t="shared" si="21"/>
        <v>0</v>
      </c>
    </row>
    <row r="65" spans="1:19">
      <c r="A65" s="158"/>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0</v>
      </c>
      <c r="R65" s="713">
        <f t="shared" si="20"/>
        <v>0</v>
      </c>
      <c r="S65" s="360">
        <f t="shared" si="21"/>
        <v>0</v>
      </c>
    </row>
    <row r="66" spans="1:19">
      <c r="A66" s="158"/>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0</v>
      </c>
      <c r="R66" s="713">
        <f t="shared" si="20"/>
        <v>0</v>
      </c>
      <c r="S66" s="360">
        <f t="shared" si="21"/>
        <v>0</v>
      </c>
    </row>
    <row r="67" spans="1:19">
      <c r="A67" s="158"/>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0</v>
      </c>
      <c r="R67" s="713">
        <f t="shared" si="20"/>
        <v>0</v>
      </c>
      <c r="S67" s="360">
        <f t="shared" si="21"/>
        <v>0</v>
      </c>
    </row>
    <row r="68" spans="1:19">
      <c r="A68" s="158"/>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0</v>
      </c>
      <c r="R68" s="713">
        <f t="shared" si="20"/>
        <v>0</v>
      </c>
      <c r="S68" s="360">
        <f t="shared" si="21"/>
        <v>0</v>
      </c>
    </row>
    <row r="69" spans="1:19">
      <c r="A69" s="158"/>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0</v>
      </c>
      <c r="R69" s="713">
        <f t="shared" si="20"/>
        <v>0</v>
      </c>
      <c r="S69" s="360">
        <f t="shared" si="21"/>
        <v>0</v>
      </c>
    </row>
    <row r="70" spans="1:19">
      <c r="A70" s="158"/>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0</v>
      </c>
      <c r="R70" s="713">
        <f t="shared" si="20"/>
        <v>0</v>
      </c>
      <c r="S70" s="360">
        <f t="shared" si="21"/>
        <v>0</v>
      </c>
    </row>
    <row r="71" spans="1:19">
      <c r="A71" s="158"/>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0</v>
      </c>
      <c r="R71" s="713">
        <f t="shared" si="20"/>
        <v>0</v>
      </c>
      <c r="S71" s="360">
        <f t="shared" si="21"/>
        <v>0</v>
      </c>
    </row>
    <row r="72" spans="1:19">
      <c r="A72" s="158"/>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0</v>
      </c>
      <c r="R72" s="713">
        <f t="shared" si="20"/>
        <v>0</v>
      </c>
      <c r="S72" s="360">
        <f t="shared" si="21"/>
        <v>0</v>
      </c>
    </row>
    <row r="73" spans="1:19">
      <c r="A73" s="158"/>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0</v>
      </c>
      <c r="R73" s="713">
        <f t="shared" si="20"/>
        <v>0</v>
      </c>
      <c r="S73" s="360">
        <f t="shared" si="21"/>
        <v>0</v>
      </c>
    </row>
    <row r="74" spans="1:19">
      <c r="A74" s="158"/>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0</v>
      </c>
      <c r="R74" s="713">
        <f t="shared" si="20"/>
        <v>0</v>
      </c>
      <c r="S74" s="360">
        <f t="shared" si="21"/>
        <v>0</v>
      </c>
    </row>
    <row r="75" spans="1:19">
      <c r="A75" s="158"/>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0</v>
      </c>
      <c r="R75" s="713">
        <f t="shared" si="20"/>
        <v>0</v>
      </c>
      <c r="S75" s="360">
        <f t="shared" si="21"/>
        <v>0</v>
      </c>
    </row>
    <row r="76" spans="1:19">
      <c r="A76" s="158"/>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0</v>
      </c>
      <c r="R76" s="713">
        <f t="shared" si="20"/>
        <v>0</v>
      </c>
      <c r="S76" s="360">
        <f t="shared" si="21"/>
        <v>0</v>
      </c>
    </row>
    <row r="77" spans="1:19">
      <c r="A77" s="158"/>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0</v>
      </c>
      <c r="R77" s="713">
        <f t="shared" si="20"/>
        <v>0</v>
      </c>
      <c r="S77" s="360">
        <f t="shared" si="21"/>
        <v>0</v>
      </c>
    </row>
    <row r="78" spans="1:19">
      <c r="A78" s="158"/>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0</v>
      </c>
      <c r="R78" s="713">
        <f t="shared" si="20"/>
        <v>0</v>
      </c>
      <c r="S78" s="360">
        <f t="shared" ref="S78:S122" si="22">ROUND(R78*B78/10000,0)</f>
        <v>0</v>
      </c>
    </row>
    <row r="79" spans="1:19">
      <c r="A79" s="158"/>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0</v>
      </c>
      <c r="R79" s="713">
        <f t="shared" si="20"/>
        <v>0</v>
      </c>
      <c r="S79" s="360">
        <f t="shared" si="22"/>
        <v>0</v>
      </c>
    </row>
    <row r="80" spans="1:19">
      <c r="A80" s="158"/>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0</v>
      </c>
      <c r="R80" s="713">
        <f t="shared" si="20"/>
        <v>0</v>
      </c>
      <c r="S80" s="360">
        <f t="shared" si="22"/>
        <v>0</v>
      </c>
    </row>
    <row r="81" spans="1:19">
      <c r="A81" s="158"/>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0</v>
      </c>
      <c r="R81" s="713">
        <f t="shared" si="20"/>
        <v>0</v>
      </c>
      <c r="S81" s="360">
        <f t="shared" si="22"/>
        <v>0</v>
      </c>
    </row>
    <row r="82" spans="1:19">
      <c r="A82" s="158"/>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0</v>
      </c>
      <c r="R82" s="713">
        <f t="shared" si="20"/>
        <v>0</v>
      </c>
      <c r="S82" s="360">
        <f t="shared" si="22"/>
        <v>0</v>
      </c>
    </row>
    <row r="83" spans="1:19">
      <c r="A83" s="158"/>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0</v>
      </c>
      <c r="R83" s="713">
        <f t="shared" si="20"/>
        <v>0</v>
      </c>
      <c r="S83" s="360">
        <f t="shared" si="22"/>
        <v>0</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t="s">
        <v>1377</v>
      </c>
      <c r="D1" s="1820" t="s">
        <v>70</v>
      </c>
      <c r="E1" s="1821" t="s">
        <v>1387</v>
      </c>
      <c r="F1" s="1283">
        <f ca="1">J53</f>
        <v>31.19</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f ca="1">C40+J29+L46</f>
        <v>62233</v>
      </c>
      <c r="C2" s="1845" t="s">
        <v>1516</v>
      </c>
      <c r="D2" s="1845"/>
      <c r="E2" s="1846"/>
      <c r="F2" s="1847"/>
      <c r="G2" s="1848"/>
      <c r="H2" s="1840"/>
      <c r="I2" s="1840"/>
      <c r="J2" s="1840"/>
      <c r="K2" s="1841"/>
      <c r="L2" s="1840"/>
      <c r="M2" s="1840"/>
    </row>
    <row r="3" spans="1:37" ht="18" customHeight="1" thickBot="1">
      <c r="A3" s="1849" t="s">
        <v>1517</v>
      </c>
      <c r="B3" s="1850">
        <f ca="1">IF(ISERROR(B2*10000/F43),0,ROUND(B2*10000/F43,0))</f>
        <v>22181</v>
      </c>
      <c r="C3" s="1845" t="s">
        <v>1518</v>
      </c>
      <c r="D3" s="1845"/>
      <c r="E3" s="1846"/>
      <c r="F3" s="1847"/>
      <c r="G3" s="1848"/>
      <c r="H3" s="741"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2">
        <f ca="1">C6+C10+C12</f>
        <v>3748</v>
      </c>
      <c r="D5" s="1822" t="s">
        <v>1402</v>
      </c>
      <c r="E5" s="1293"/>
      <c r="F5" s="1294"/>
      <c r="G5" s="1851"/>
      <c r="H5" s="343">
        <v>1</v>
      </c>
      <c r="I5" s="344" t="s">
        <v>1401</v>
      </c>
      <c r="J5" s="1292">
        <f ca="1">J6+J10+J12</f>
        <v>0</v>
      </c>
      <c r="K5" s="1822" t="s">
        <v>1402</v>
      </c>
      <c r="L5" s="1293"/>
      <c r="M5" s="1294"/>
    </row>
    <row r="6" spans="1:37" ht="18" customHeight="1">
      <c r="A6" s="1291" t="s">
        <v>1035</v>
      </c>
      <c r="B6" s="3222" t="s">
        <v>1403</v>
      </c>
      <c r="C6" s="1296">
        <f ca="1">ROUND(F6*F8*F7*(1-F9)/10000,0)</f>
        <v>3743</v>
      </c>
      <c r="D6" s="163" t="s">
        <v>3034</v>
      </c>
      <c r="E6" s="346" t="s">
        <v>1405</v>
      </c>
      <c r="F6" s="347">
        <f ca="1">INDIRECT("'数据-取费表'!u"&amp;$G$1)</f>
        <v>4.3</v>
      </c>
      <c r="G6" s="1851"/>
      <c r="H6" s="1291" t="s">
        <v>1035</v>
      </c>
      <c r="I6" s="3222" t="s">
        <v>1403</v>
      </c>
      <c r="J6" s="345">
        <f ca="1">ROUND(M6*M8*M7*(1-M9)/10000,0)</f>
        <v>0</v>
      </c>
      <c r="K6" s="163" t="s">
        <v>3033</v>
      </c>
      <c r="L6" s="346" t="s">
        <v>1405</v>
      </c>
      <c r="M6" s="347">
        <f ca="1">INDIRECT("'数据-取费表'!z"&amp;$G$1)</f>
        <v>0</v>
      </c>
    </row>
    <row r="7" spans="1:37" ht="18" customHeight="1">
      <c r="A7" s="1295"/>
      <c r="B7" s="3223"/>
      <c r="C7" s="1297"/>
      <c r="D7" s="351"/>
      <c r="E7" s="1298" t="s">
        <v>1406</v>
      </c>
      <c r="F7" s="347">
        <f ca="1">IF(INDIRECT("'数据-取费表'!ah"&amp;$G$1)="",INDIRECT("'数据-取费表'!k"&amp;$G$1),INDIRECT("'数据-取费表'!ah"&amp;$G$1))</f>
        <v>28056.880000000005</v>
      </c>
      <c r="G7" s="1851"/>
      <c r="H7" s="348"/>
      <c r="I7" s="3223"/>
      <c r="J7" s="350"/>
      <c r="K7" s="351"/>
      <c r="L7" s="346" t="s">
        <v>1406</v>
      </c>
      <c r="M7" s="347">
        <f ca="1">F7</f>
        <v>28056.880000000005</v>
      </c>
    </row>
    <row r="8" spans="1:37" ht="18" customHeight="1">
      <c r="A8" s="348"/>
      <c r="B8" s="3223"/>
      <c r="C8" s="350"/>
      <c r="D8" s="351"/>
      <c r="E8" s="346" t="s">
        <v>1407</v>
      </c>
      <c r="F8" s="347">
        <f ca="1">INDIRECT("'数据-取费表'!ai"&amp;$G$1)</f>
        <v>365</v>
      </c>
      <c r="G8" s="1851"/>
      <c r="H8" s="348"/>
      <c r="I8" s="3223"/>
      <c r="J8" s="350"/>
      <c r="K8" s="351"/>
      <c r="L8" s="346" t="s">
        <v>1407</v>
      </c>
      <c r="M8" s="347">
        <f ca="1">INDIRECT("'数据-取费表'!ai"&amp;$G$1)</f>
        <v>365</v>
      </c>
    </row>
    <row r="9" spans="1:37" ht="18" customHeight="1">
      <c r="A9" s="348"/>
      <c r="B9" s="3224"/>
      <c r="C9" s="350"/>
      <c r="D9" s="351"/>
      <c r="E9" s="346" t="s">
        <v>1408</v>
      </c>
      <c r="F9" s="356">
        <f ca="1">INDIRECT("'数据-取费表'!w"&amp;$G$1)</f>
        <v>0.15</v>
      </c>
      <c r="G9" s="1851"/>
      <c r="H9" s="348"/>
      <c r="I9" s="3224"/>
      <c r="J9" s="350"/>
      <c r="K9" s="351"/>
      <c r="L9" s="357" t="s">
        <v>1408</v>
      </c>
      <c r="M9" s="358">
        <f ca="1">INDIRECT("'数据-取费表'!ab"&amp;$G$1)</f>
        <v>0</v>
      </c>
    </row>
    <row r="10" spans="1:37" ht="18" customHeight="1">
      <c r="A10" s="1291" t="s">
        <v>1039</v>
      </c>
      <c r="B10" s="1823" t="s">
        <v>1409</v>
      </c>
      <c r="C10" s="360">
        <f ca="1">ROUND(IF(F10="押一",C6/12*F11,IF(F10="押二",C6/12*2*F11,IF(F10="押三",C6/12*3*F11,C11*F11))),0)</f>
        <v>5</v>
      </c>
      <c r="D10" s="1824" t="s">
        <v>3043</v>
      </c>
      <c r="E10" s="357" t="s">
        <v>1410</v>
      </c>
      <c r="F10" s="1366" t="s">
        <v>3152</v>
      </c>
      <c r="G10" s="1851"/>
      <c r="H10" s="1291" t="s">
        <v>1039</v>
      </c>
      <c r="I10" s="1823" t="s">
        <v>1409</v>
      </c>
      <c r="J10" s="345">
        <f ca="1">ROUND(IF(M10="押一",J6/12*M11,IF(M10="押二",J6/12*2*M11,IF(M10="押三",J6/12*3*M11,J11*M11))),0)</f>
        <v>0</v>
      </c>
      <c r="K10" s="1824" t="s">
        <v>3042</v>
      </c>
      <c r="L10" s="357" t="s">
        <v>1410</v>
      </c>
      <c r="M10" s="1366" t="s">
        <v>1411</v>
      </c>
    </row>
    <row r="11" spans="1:37" ht="18" customHeight="1">
      <c r="A11" s="352"/>
      <c r="B11" s="1825" t="s">
        <v>1388</v>
      </c>
      <c r="C11" s="1178"/>
      <c r="D11" s="1826"/>
      <c r="E11" s="357" t="s">
        <v>1412</v>
      </c>
      <c r="F11" s="358">
        <f ca="1">'数据-取费表'!B39</f>
        <v>1.4999999999999999E-2</v>
      </c>
      <c r="G11" s="1851"/>
      <c r="H11" s="1299"/>
      <c r="I11" s="1825" t="s">
        <v>1388</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15730</v>
      </c>
      <c r="D13" s="1331" t="s">
        <v>1415</v>
      </c>
      <c r="E13" s="1331" t="s">
        <v>1416</v>
      </c>
      <c r="F13" s="1332">
        <f ca="1">INDIRECT("'数据-取费表'!y"&amp;$G$1)</f>
        <v>0.95</v>
      </c>
      <c r="G13" s="1851"/>
      <c r="H13" s="1329">
        <v>2</v>
      </c>
      <c r="I13" s="1330" t="s">
        <v>1414</v>
      </c>
      <c r="J13" s="1290">
        <f ca="1">ROUND(J14*J15,0)</f>
        <v>0</v>
      </c>
      <c r="K13" s="1337" t="s">
        <v>1415</v>
      </c>
      <c r="L13" s="1852"/>
      <c r="M13" s="1853"/>
    </row>
    <row r="14" spans="1:37" ht="18" customHeight="1">
      <c r="A14" s="1201" t="s">
        <v>1034</v>
      </c>
      <c r="B14" s="346" t="s">
        <v>1417</v>
      </c>
      <c r="C14" s="362">
        <f ca="1">INDIRECT("'数据-取费表'!m"&amp;$G$1)+INDIRECT("'数据-取费表'!t"&amp;$G$1)</f>
        <v>9820</v>
      </c>
      <c r="D14" s="1800" t="s">
        <v>1418</v>
      </c>
      <c r="E14" s="1794"/>
      <c r="F14" s="363"/>
      <c r="G14" s="1851"/>
      <c r="H14" s="1201" t="s">
        <v>1035</v>
      </c>
      <c r="I14" s="346" t="s">
        <v>1419</v>
      </c>
      <c r="J14" s="23">
        <f ca="1">C29</f>
        <v>16558</v>
      </c>
      <c r="K14" s="14"/>
      <c r="L14" s="979"/>
      <c r="M14" s="980"/>
    </row>
    <row r="15" spans="1:37" s="1858" customFormat="1" ht="18" customHeight="1" thickBot="1">
      <c r="A15" s="1201" t="s">
        <v>1036</v>
      </c>
      <c r="B15" s="346" t="s">
        <v>1420</v>
      </c>
      <c r="C15" s="23">
        <f ca="1">ROUND(C14*F15,0)</f>
        <v>295</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51"/>
      <c r="H16" s="1329" t="s">
        <v>1030</v>
      </c>
      <c r="I16" s="1330" t="s">
        <v>1424</v>
      </c>
      <c r="J16" s="354">
        <f ca="1">ROUND(J17+J22+J23+J24,0)</f>
        <v>472</v>
      </c>
      <c r="K16" s="1337" t="s">
        <v>1425</v>
      </c>
      <c r="L16" s="1338"/>
      <c r="M16" s="1294"/>
    </row>
    <row r="17" spans="1:37" s="1858" customFormat="1" ht="18" customHeight="1">
      <c r="A17" s="1201" t="s">
        <v>1390</v>
      </c>
      <c r="B17" s="346" t="s">
        <v>1426</v>
      </c>
      <c r="C17" s="23">
        <f ca="1">ROUND(F17*(F43+INDIRECT("'数据-取费表'!S"&amp;$G$1))/10000,0)</f>
        <v>561</v>
      </c>
      <c r="D17" s="346" t="s">
        <v>1427</v>
      </c>
      <c r="E17" s="346" t="s">
        <v>1428</v>
      </c>
      <c r="F17" s="25">
        <f>'数据-取费表'!B35</f>
        <v>200</v>
      </c>
      <c r="G17" s="1854"/>
      <c r="H17" s="1201" t="s">
        <v>1035</v>
      </c>
      <c r="I17" s="346" t="s">
        <v>1429</v>
      </c>
      <c r="J17" s="23">
        <f ca="1">ROUND(IF(项目基本情况!B11="自然人",J5*M17,J18+J19+J20),1)</f>
        <v>141</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147</v>
      </c>
      <c r="D18" s="346" t="s">
        <v>1421</v>
      </c>
      <c r="E18" s="346" t="s">
        <v>1422</v>
      </c>
      <c r="F18" s="366">
        <f>'数据-取费表'!B36</f>
        <v>1.4999999999999999E-2</v>
      </c>
      <c r="G18" s="1854"/>
      <c r="H18" s="1201" t="s">
        <v>1034</v>
      </c>
      <c r="I18" s="346" t="s">
        <v>1433</v>
      </c>
      <c r="J18" s="23">
        <f ca="1">ROUND(J5*M18/(1+'数据-取费表'!C42),2)</f>
        <v>0</v>
      </c>
      <c r="K18" s="1798" t="s">
        <v>1434</v>
      </c>
      <c r="L18" s="346" t="s">
        <v>1422</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10823</v>
      </c>
      <c r="D19" s="139" t="s">
        <v>1436</v>
      </c>
      <c r="E19" s="1818"/>
      <c r="F19" s="25"/>
      <c r="G19" s="1851"/>
      <c r="H19" s="1201" t="s">
        <v>1036</v>
      </c>
      <c r="I19" s="346" t="s">
        <v>1437</v>
      </c>
      <c r="J19" s="23">
        <f ca="1">IF(K19="按租金收入计税",ROUND(J5*M19,2),ROUND(C29*M19*0.7,2))</f>
        <v>139.09</v>
      </c>
      <c r="K19" s="1828" t="s">
        <v>1438</v>
      </c>
      <c r="L19" s="346" t="s">
        <v>1422</v>
      </c>
      <c r="M19" s="366">
        <f>IF(K19="按租金收入计税",'数据-取费表'!B51,'数据-取费表'!B50)</f>
        <v>1.2E-2</v>
      </c>
    </row>
    <row r="20" spans="1:37" s="1858" customFormat="1" ht="18" customHeight="1">
      <c r="A20" s="1201" t="s">
        <v>1039</v>
      </c>
      <c r="B20" s="346" t="s">
        <v>1439</v>
      </c>
      <c r="C20" s="23">
        <f ca="1">ROUND(C19*F20,0)</f>
        <v>325</v>
      </c>
      <c r="D20" s="368" t="s">
        <v>1440</v>
      </c>
      <c r="E20" s="346" t="s">
        <v>1422</v>
      </c>
      <c r="F20" s="366">
        <f>'数据-取费表'!B37</f>
        <v>0.03</v>
      </c>
      <c r="G20" s="1854"/>
      <c r="H20" s="1201" t="s">
        <v>1389</v>
      </c>
      <c r="I20" s="163" t="s">
        <v>1441</v>
      </c>
      <c r="J20" s="24">
        <f ca="1">ROUND(M20*M21/10000,2)</f>
        <v>1.91</v>
      </c>
      <c r="K20" s="369" t="s">
        <v>1442</v>
      </c>
      <c r="L20" s="346" t="s">
        <v>1443</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18</v>
      </c>
      <c r="D21" s="368" t="s">
        <v>1445</v>
      </c>
      <c r="E21" s="346" t="s">
        <v>1446</v>
      </c>
      <c r="F21" s="366">
        <f>'数据-取费表'!B38</f>
        <v>0.03</v>
      </c>
      <c r="G21" s="1854"/>
      <c r="H21" s="371"/>
      <c r="I21" s="355"/>
      <c r="J21" s="28"/>
      <c r="K21" s="372"/>
      <c r="L21" s="346" t="s">
        <v>1447</v>
      </c>
      <c r="M21" s="347">
        <f ca="1">INDIRECT("'数据-取费表'!r"&amp;$G$1)</f>
        <v>12718.02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ROUND(J14*M22,1)</f>
        <v>331.2</v>
      </c>
      <c r="K22" s="1798" t="s">
        <v>1450</v>
      </c>
      <c r="L22" s="346" t="s">
        <v>1422</v>
      </c>
      <c r="M22" s="373">
        <f ca="1">INDIRECT("'数据-取费表'!Ak"&amp;$G$1)</f>
        <v>0.02</v>
      </c>
    </row>
    <row r="23" spans="1:37" s="1858" customFormat="1" ht="18" customHeight="1">
      <c r="A23" s="1201" t="s">
        <v>1034</v>
      </c>
      <c r="B23" s="346" t="s">
        <v>1451</v>
      </c>
      <c r="C23" s="23">
        <f ca="1">IF('数据-取费表'!B22&lt;=1,ROUND(C19*F24*F23/2,0)+ROUND(C20*F24*F23/2,0),ROUND(C19*(POWER((1+F24),F23/2)-1),0)+ROUND(C20*(POWER((1+F24),F23/2)-1),0))</f>
        <v>529</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ROUND(J13*M23,1)</f>
        <v>0</v>
      </c>
      <c r="K23" s="1798" t="s">
        <v>1454</v>
      </c>
      <c r="L23" s="346" t="s">
        <v>1455</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ROUND(J5*M24,1)</f>
        <v>0</v>
      </c>
      <c r="K24" s="1342" t="s">
        <v>1459</v>
      </c>
      <c r="L24" s="1340" t="s">
        <v>1455</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6" t="s">
        <v>1461</v>
      </c>
      <c r="C25" s="23"/>
      <c r="D25" s="139" t="s">
        <v>1462</v>
      </c>
      <c r="E25" s="1818"/>
      <c r="F25" s="25"/>
      <c r="G25" s="1851"/>
      <c r="H25" s="1329" t="s">
        <v>1031</v>
      </c>
      <c r="I25" s="1344" t="s">
        <v>1463</v>
      </c>
      <c r="J25" s="354">
        <f ca="1">J5-J16</f>
        <v>-472</v>
      </c>
      <c r="K25" s="1345" t="s">
        <v>1464</v>
      </c>
      <c r="L25" s="1346"/>
      <c r="M25" s="1347"/>
    </row>
    <row r="26" spans="1:37">
      <c r="A26" s="1201" t="s">
        <v>1034</v>
      </c>
      <c r="B26" s="346" t="s">
        <v>1465</v>
      </c>
      <c r="C26" s="23">
        <f ca="1">ROUND((C19+C20)*F26,0)</f>
        <v>3344</v>
      </c>
      <c r="D26" s="368" t="s">
        <v>1466</v>
      </c>
      <c r="E26" s="357" t="s">
        <v>1467</v>
      </c>
      <c r="F26" s="356">
        <f ca="1">INDIRECT("'数据-取费表'!q"&amp;$G$1)</f>
        <v>0.3</v>
      </c>
      <c r="G26" s="1851"/>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8.9999999999999993E-3</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5.2400000000000002E-2</v>
      </c>
      <c r="D28" s="368" t="s">
        <v>1476</v>
      </c>
      <c r="E28" s="346" t="s">
        <v>1422</v>
      </c>
      <c r="F28" s="366">
        <f>'数据-取费表'!B41</f>
        <v>5.5000000000000007E-2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16558</v>
      </c>
      <c r="D29" s="1342"/>
      <c r="E29" s="1340"/>
      <c r="F29" s="1343"/>
      <c r="G29" s="1854"/>
      <c r="H29" s="379" t="s">
        <v>1033</v>
      </c>
      <c r="I29" s="380" t="s">
        <v>1479</v>
      </c>
      <c r="J29" s="381">
        <f ca="1">ROUND(J26/(1+F40)^F41,0)</f>
        <v>0</v>
      </c>
      <c r="K29" s="382" t="s">
        <v>1480</v>
      </c>
      <c r="L29" s="383"/>
      <c r="M29" s="384">
        <f ca="1">INDIRECT("'数据-取费表'!k"&amp;$G$1)</f>
        <v>28056.880000000005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794</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ROUND(IF(项目基本情况!B11="自然人",C5*F31,C32+C33+C34),1)</f>
        <v>337.3</v>
      </c>
      <c r="D31" s="1800" t="s">
        <v>1430</v>
      </c>
      <c r="E31" s="1798" t="s">
        <v>1481</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6" t="s">
        <v>1433</v>
      </c>
      <c r="C32" s="23">
        <f ca="1">IF(项目基本情况!B11="自然人","——",ROUND(C5*F32/(1+'数据-取费表'!C42),2))</f>
        <v>196.32</v>
      </c>
      <c r="D32" s="1798" t="s">
        <v>1434</v>
      </c>
      <c r="E32" s="346" t="s">
        <v>1422</v>
      </c>
      <c r="F32" s="376">
        <f>'数据-取费表'!B41</f>
        <v>5.5000000000000007E-2</v>
      </c>
      <c r="G32" s="1851"/>
      <c r="H32" s="742"/>
      <c r="I32" s="743"/>
      <c r="J32" s="744"/>
      <c r="K32" s="745"/>
      <c r="L32" s="746"/>
      <c r="M32" s="747"/>
    </row>
    <row r="33" spans="1:18" ht="18" customHeight="1">
      <c r="A33" s="1201" t="s">
        <v>1036</v>
      </c>
      <c r="B33" s="346" t="s">
        <v>1437</v>
      </c>
      <c r="C33" s="23">
        <f ca="1">IF(项目基本情况!B11="自然人","——",IF(D33="按租金收入计税",ROUND(C5*F33,2),IF(D33="按房产原值计税",ROUND(C29*F33*0.7,2),INDIRECT("'数据-取费表'!Aj"&amp;$G$1))))</f>
        <v>139.09</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IF(项目基本情况!B11="自然人","——",ROUND(F34*F35/10000,2))</f>
        <v>1.91</v>
      </c>
      <c r="D34" s="369" t="s">
        <v>1442</v>
      </c>
      <c r="E34" s="346" t="s">
        <v>1443</v>
      </c>
      <c r="F34" s="370">
        <f>'数据-取费表'!B52</f>
        <v>1.5</v>
      </c>
      <c r="G34" s="1851"/>
      <c r="H34" s="742"/>
      <c r="I34" s="1860"/>
      <c r="J34" s="1861"/>
      <c r="K34" s="1863"/>
      <c r="L34" s="1864"/>
      <c r="M34" s="1864"/>
    </row>
    <row r="35" spans="1:18" ht="18" customHeight="1">
      <c r="A35" s="1353"/>
      <c r="B35" s="1351"/>
      <c r="C35" s="28"/>
      <c r="D35" s="372"/>
      <c r="E35" s="346" t="s">
        <v>1447</v>
      </c>
      <c r="F35" s="347">
        <f ca="1">INDIRECT("'数据-取费表'!r"&amp;$G$1)</f>
        <v>12718.02</v>
      </c>
      <c r="G35" s="1851"/>
      <c r="H35" s="742"/>
      <c r="I35" s="1860"/>
      <c r="J35" s="1861"/>
      <c r="K35" s="1862"/>
      <c r="L35" s="1859"/>
      <c r="M35" s="1859"/>
    </row>
    <row r="36" spans="1:18" ht="18" customHeight="1">
      <c r="A36" s="1352" t="s">
        <v>1039</v>
      </c>
      <c r="B36" s="346" t="s">
        <v>1449</v>
      </c>
      <c r="C36" s="23">
        <f ca="1">ROUND(C29*F36,1)</f>
        <v>331.2</v>
      </c>
      <c r="D36" s="1798" t="s">
        <v>1482</v>
      </c>
      <c r="E36" s="346" t="s">
        <v>1422</v>
      </c>
      <c r="F36" s="373">
        <f ca="1">INDIRECT("'数据-取费表'!Ak"&amp;$G$1)</f>
        <v>0.02</v>
      </c>
      <c r="G36" s="1851"/>
      <c r="H36" s="1859"/>
      <c r="I36" s="1860"/>
      <c r="J36" s="1861"/>
      <c r="K36" s="748"/>
      <c r="L36" s="1859"/>
      <c r="M36" s="1859"/>
    </row>
    <row r="37" spans="1:18" ht="18" customHeight="1">
      <c r="A37" s="1201" t="s">
        <v>1075</v>
      </c>
      <c r="B37" s="346" t="s">
        <v>1453</v>
      </c>
      <c r="C37" s="23">
        <f ca="1">ROUND(C13*F37,1)</f>
        <v>31.5</v>
      </c>
      <c r="D37" s="1798" t="s">
        <v>1454</v>
      </c>
      <c r="E37" s="346" t="s">
        <v>1455</v>
      </c>
      <c r="F37" s="375">
        <f ca="1">INDIRECT("'数据-取费表'!Al"&amp;$G$1)</f>
        <v>2E-3</v>
      </c>
      <c r="G37" s="1851"/>
      <c r="H37" s="1859"/>
      <c r="I37" s="1860"/>
      <c r="J37" s="1861"/>
      <c r="K37" s="748"/>
      <c r="L37" s="1859"/>
      <c r="M37" s="1859"/>
    </row>
    <row r="38" spans="1:18" ht="18" customHeight="1" thickBot="1">
      <c r="A38" s="1339" t="s">
        <v>1393</v>
      </c>
      <c r="B38" s="1340" t="s">
        <v>1439</v>
      </c>
      <c r="C38" s="1341">
        <f ca="1">ROUND(C5*F38,1)</f>
        <v>93.7</v>
      </c>
      <c r="D38" s="1342" t="s">
        <v>1459</v>
      </c>
      <c r="E38" s="1340" t="s">
        <v>1455</v>
      </c>
      <c r="F38" s="1336">
        <f ca="1">INDIRECT("'数据-取费表'!Am"&amp;$G$1)</f>
        <v>2.5000000000000001E-2</v>
      </c>
      <c r="G38" s="1851"/>
      <c r="H38" s="1859"/>
      <c r="I38" s="1860"/>
      <c r="J38" s="1861"/>
      <c r="K38" s="1865"/>
      <c r="L38" s="1859"/>
      <c r="M38" s="1859"/>
    </row>
    <row r="39" spans="1:18" ht="24.6" customHeight="1" thickTop="1">
      <c r="A39" s="1329" t="s">
        <v>1031</v>
      </c>
      <c r="B39" s="1344" t="s">
        <v>1483</v>
      </c>
      <c r="C39" s="354">
        <f ca="1">C5-C30</f>
        <v>2954</v>
      </c>
      <c r="D39" s="1345" t="s">
        <v>1484</v>
      </c>
      <c r="E39" s="1346"/>
      <c r="F39" s="1347"/>
      <c r="G39" s="1851"/>
      <c r="H39" s="1859"/>
      <c r="I39" s="1860"/>
      <c r="J39" s="1861"/>
      <c r="K39" s="1865"/>
      <c r="L39" s="1859"/>
      <c r="M39" s="1859"/>
    </row>
    <row r="40" spans="1:18" ht="18" customHeight="1">
      <c r="A40" s="343" t="s">
        <v>1032</v>
      </c>
      <c r="B40" s="344" t="s">
        <v>1485</v>
      </c>
      <c r="C40" s="345">
        <f ca="1">ROUND(C39*(1-((1+F42)/(1+F40))^F41)/(F40-F42),0)</f>
        <v>62233</v>
      </c>
      <c r="D40" s="369" t="s">
        <v>1469</v>
      </c>
      <c r="E40" s="346" t="s">
        <v>1470</v>
      </c>
      <c r="F40" s="356">
        <f ca="1">INDIRECT("'数据-取费表'!I"&amp;$G$1)</f>
        <v>5.5E-2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31.19</v>
      </c>
      <c r="G41" s="1851"/>
      <c r="H41" s="729"/>
      <c r="I41" s="1860"/>
      <c r="J41" s="1861"/>
      <c r="K41" s="748"/>
      <c r="L41" s="729"/>
      <c r="M41" s="729"/>
    </row>
    <row r="42" spans="1:18" ht="18" customHeight="1">
      <c r="A42" s="352"/>
      <c r="B42" s="353"/>
      <c r="C42" s="354"/>
      <c r="D42" s="372"/>
      <c r="E42" s="346" t="s">
        <v>1477</v>
      </c>
      <c r="F42" s="356">
        <f ca="1">INDIRECT("'数据-取费表'!v"&amp;$G$1)</f>
        <v>0.03</v>
      </c>
      <c r="G42" s="1851"/>
      <c r="H42" s="729"/>
      <c r="I42" s="1860"/>
      <c r="J42" s="1861"/>
      <c r="K42" s="748"/>
      <c r="L42" s="729"/>
      <c r="M42" s="729"/>
    </row>
    <row r="43" spans="1:18" ht="18" customHeight="1" thickBot="1">
      <c r="A43" s="379" t="s">
        <v>1033</v>
      </c>
      <c r="B43" s="380" t="s">
        <v>1487</v>
      </c>
      <c r="C43" s="381">
        <f ca="1">ROUND(C40*10000/F43,0)</f>
        <v>22181</v>
      </c>
      <c r="D43" s="382" t="s">
        <v>1488</v>
      </c>
      <c r="E43" s="383" t="s">
        <v>1489</v>
      </c>
      <c r="F43" s="384">
        <f ca="1">INDIRECT("'数据-取费表'!k"&amp;$G$1)</f>
        <v>28056.880000000005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f ca="1">C68-C40</f>
        <v>-69671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t="s">
        <v>3153</v>
      </c>
      <c r="K47" s="1882" t="s">
        <v>1527</v>
      </c>
      <c r="L47" s="1883">
        <f ca="1">INDIRECT("'数据-取费表'!d"&amp;$G$1)</f>
        <v>40</v>
      </c>
      <c r="M47" s="1838" t="str">
        <f>IF(ISNUMBER(FIND("住宅",C1)),"住宅","非住宅")</f>
        <v>非住宅</v>
      </c>
      <c r="O47" s="1884" t="s">
        <v>1040</v>
      </c>
      <c r="P47" s="1885" t="s">
        <v>1528</v>
      </c>
      <c r="Q47" s="1886">
        <f ca="1">C40+J29</f>
        <v>62233</v>
      </c>
      <c r="R47" s="1886" t="s">
        <v>1529</v>
      </c>
    </row>
    <row r="48" spans="1:18" s="1842" customFormat="1" ht="28.5" thickBot="1">
      <c r="A48" s="1360" t="s">
        <v>1135</v>
      </c>
      <c r="B48" s="344" t="s">
        <v>1401</v>
      </c>
      <c r="C48" s="1817">
        <f ca="1">C49+C53+C55</f>
        <v>0</v>
      </c>
      <c r="D48" s="1362"/>
      <c r="E48" s="1363"/>
      <c r="F48" s="1181"/>
      <c r="G48" s="789"/>
      <c r="H48" s="790"/>
      <c r="I48" s="1887" t="s">
        <v>1530</v>
      </c>
      <c r="J48" s="1888" t="s">
        <v>3154</v>
      </c>
      <c r="K48" s="1889" t="s">
        <v>1531</v>
      </c>
      <c r="L48" s="1890">
        <f ca="1">INDIRECT("'数据-取费表'!f"&amp;$G$1)</f>
        <v>31.19</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3035</v>
      </c>
      <c r="E49" s="1830" t="s">
        <v>1491</v>
      </c>
      <c r="F49" s="1281"/>
      <c r="G49" s="1891"/>
      <c r="H49" s="790"/>
      <c r="I49" s="1887" t="s">
        <v>1534</v>
      </c>
      <c r="J49" s="1892">
        <v>2015</v>
      </c>
      <c r="K49" s="1889" t="s">
        <v>1535</v>
      </c>
      <c r="L49" s="1893"/>
      <c r="O49" s="1894" t="s">
        <v>1042</v>
      </c>
      <c r="P49" s="1885" t="s">
        <v>1536</v>
      </c>
      <c r="Q49" s="1886">
        <f ca="1">C29</f>
        <v>16558</v>
      </c>
      <c r="R49" s="1886" t="s">
        <v>1529</v>
      </c>
    </row>
    <row r="50" spans="1:18" s="1842" customFormat="1" ht="13.5" thickBot="1">
      <c r="A50" s="1195"/>
      <c r="B50" s="1198"/>
      <c r="C50" s="1368"/>
      <c r="D50" s="1172"/>
      <c r="E50" s="1277" t="s">
        <v>1406</v>
      </c>
      <c r="F50" s="1278">
        <f ca="1">F7</f>
        <v>28056.880000000005</v>
      </c>
      <c r="H50" s="790"/>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7">
        <f ca="1">F8</f>
        <v>365</v>
      </c>
      <c r="I51" s="1898" t="s">
        <v>1540</v>
      </c>
      <c r="J51" s="1899">
        <f>IF(J49="",J50,J49+J50-YEAR('数据-取费表'!B2))</f>
        <v>57</v>
      </c>
      <c r="K51" s="1900" t="s">
        <v>1541</v>
      </c>
      <c r="L51" s="1901">
        <f ca="1">ROUND(-PV(INDIRECT("'数据-取费表'!h"&amp;$G$1),L48,(C39-C13*C76),0),0)</f>
        <v>25279</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31.19</v>
      </c>
      <c r="R52" s="1886" t="s">
        <v>1546</v>
      </c>
    </row>
    <row r="53" spans="1:18" s="1842" customFormat="1" ht="24.75" thickBot="1">
      <c r="A53" s="1405" t="s">
        <v>1137</v>
      </c>
      <c r="B53" s="1831" t="s">
        <v>1409</v>
      </c>
      <c r="C53" s="360">
        <f ca="1">ROUND(IF(F53="押一",C49/12*F11,IF(F53="押二",C49/12*2*F11,IF(F53="押三",C49/12*3*F11,C54*F11))),0)</f>
        <v>0</v>
      </c>
      <c r="D53" s="1824" t="s">
        <v>3042</v>
      </c>
      <c r="E53" s="357" t="s">
        <v>1410</v>
      </c>
      <c r="F53" s="1366"/>
      <c r="I53" s="1905" t="s">
        <v>1547</v>
      </c>
      <c r="J53" s="1906">
        <f ca="1">IF(M47="住宅",J51,IF(D1="——",MIN(J51,L48),IF(D1="在建（套用方法）",MIN(J51,L48-'数据-取费表'!B24),IF(D1="土地（套用方法）",MIN(J51,L48-'数据-取费表'!B20)))))</f>
        <v>31.19</v>
      </c>
      <c r="K53" s="3220" t="s">
        <v>1548</v>
      </c>
      <c r="L53" s="3221"/>
      <c r="O53" s="1884" t="s">
        <v>1046</v>
      </c>
      <c r="P53" s="1885" t="s">
        <v>1549</v>
      </c>
      <c r="Q53" s="1886">
        <f ca="1">Q47+Q48</f>
        <v>62233</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5">
        <f ca="1">C13</f>
        <v>15730</v>
      </c>
      <c r="D56" s="1914"/>
      <c r="E56" s="1915"/>
      <c r="F56" s="1907"/>
      <c r="I56" s="1916" t="s">
        <v>1554</v>
      </c>
      <c r="J56" s="1917" t="s">
        <v>3070</v>
      </c>
      <c r="K56" s="1887" t="s">
        <v>1555</v>
      </c>
      <c r="L56" s="1890" t="str">
        <f ca="1">IF(L48&lt;J51,"——",L48-J53)</f>
        <v>——</v>
      </c>
      <c r="O56" s="1884" t="s">
        <v>1040</v>
      </c>
      <c r="P56" s="1885" t="s">
        <v>1528</v>
      </c>
      <c r="Q56" s="1886">
        <f ca="1">C40+J29</f>
        <v>62233</v>
      </c>
      <c r="R56" s="1886" t="s">
        <v>1529</v>
      </c>
    </row>
    <row r="57" spans="1:18" s="1842" customFormat="1" ht="24.75" thickBot="1">
      <c r="A57" s="1918"/>
      <c r="B57" s="1169" t="s">
        <v>1478</v>
      </c>
      <c r="C57" s="281">
        <f ca="1">C29</f>
        <v>16558</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7" t="s">
        <v>1424</v>
      </c>
      <c r="C58" s="360">
        <f ca="1">ROUND(C59+C64+C65+C66,0)</f>
        <v>504</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141</v>
      </c>
      <c r="D59" s="1182" t="s">
        <v>1430</v>
      </c>
      <c r="E59" s="1183" t="s">
        <v>1431</v>
      </c>
      <c r="F59" s="367"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6">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139.09</v>
      </c>
      <c r="D61" s="1828" t="s">
        <v>1438</v>
      </c>
      <c r="E61" s="1169" t="s">
        <v>1494</v>
      </c>
      <c r="F61" s="366">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1.91</v>
      </c>
      <c r="D62" s="1184" t="s">
        <v>1497</v>
      </c>
      <c r="E62" s="1169" t="s">
        <v>1498</v>
      </c>
      <c r="F62" s="370">
        <f t="shared" si="0"/>
        <v>1.5</v>
      </c>
      <c r="I62" s="1929" t="s">
        <v>1570</v>
      </c>
      <c r="J62" s="1930" t="s">
        <v>1571</v>
      </c>
      <c r="K62" s="1930" t="s">
        <v>1572</v>
      </c>
      <c r="L62" s="1930" t="s">
        <v>1573</v>
      </c>
      <c r="M62" s="1931" t="s">
        <v>1574</v>
      </c>
      <c r="O62" s="1884" t="s">
        <v>1046</v>
      </c>
      <c r="P62" s="1885" t="s">
        <v>1575</v>
      </c>
      <c r="Q62" s="1886">
        <f ca="1">Q56+Q57</f>
        <v>62233</v>
      </c>
      <c r="R62" s="1886" t="s">
        <v>1047</v>
      </c>
    </row>
    <row r="63" spans="1:18" s="1842" customFormat="1" ht="13.5" thickBot="1">
      <c r="A63" s="371"/>
      <c r="B63" s="1175"/>
      <c r="C63" s="28"/>
      <c r="D63" s="1185"/>
      <c r="E63" s="1169" t="s">
        <v>1499</v>
      </c>
      <c r="F63" s="347">
        <f t="shared" ca="1" si="0"/>
        <v>12718.02</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331.2</v>
      </c>
      <c r="D64" s="1183" t="s">
        <v>1502</v>
      </c>
      <c r="E64" s="1169" t="s">
        <v>1494</v>
      </c>
      <c r="F64" s="373">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31.5</v>
      </c>
      <c r="D65" s="1183" t="s">
        <v>1454</v>
      </c>
      <c r="E65" s="1169" t="s">
        <v>1455</v>
      </c>
      <c r="F65" s="375">
        <f t="shared" ca="1" si="0"/>
        <v>2E-3</v>
      </c>
      <c r="I65" s="1929" t="s">
        <v>1579</v>
      </c>
      <c r="J65" s="1930">
        <v>40</v>
      </c>
      <c r="K65" s="1930">
        <v>30</v>
      </c>
      <c r="L65" s="1930">
        <v>50</v>
      </c>
      <c r="M65" s="1932">
        <v>0.02</v>
      </c>
      <c r="O65" s="1884" t="s">
        <v>1040</v>
      </c>
      <c r="P65" s="1885" t="s">
        <v>1580</v>
      </c>
      <c r="Q65" s="1886">
        <f ca="1">C40+J29</f>
        <v>62233</v>
      </c>
      <c r="R65" s="1886" t="s">
        <v>1529</v>
      </c>
    </row>
    <row r="66" spans="1:18" s="1842" customFormat="1" ht="16.5" thickBot="1">
      <c r="A66" s="1201" t="s">
        <v>1504</v>
      </c>
      <c r="B66" s="1169" t="s">
        <v>1439</v>
      </c>
      <c r="C66" s="23">
        <f ca="1">ROUND(C48*F66,1)</f>
        <v>0</v>
      </c>
      <c r="D66" s="1183" t="s">
        <v>1505</v>
      </c>
      <c r="E66" s="1169" t="s">
        <v>1422</v>
      </c>
      <c r="F66" s="356">
        <f t="shared" ca="1" si="0"/>
        <v>2.5000000000000001E-2</v>
      </c>
      <c r="O66" s="1884" t="s">
        <v>1041</v>
      </c>
      <c r="P66" s="1885" t="s">
        <v>1558</v>
      </c>
      <c r="Q66" s="1886">
        <f ca="1">L60</f>
        <v>0</v>
      </c>
      <c r="R66" s="1886" t="s">
        <v>1581</v>
      </c>
    </row>
    <row r="67" spans="1:18" s="1842" customFormat="1" ht="16.5" thickBot="1">
      <c r="A67" s="1176" t="s">
        <v>1031</v>
      </c>
      <c r="B67" s="1186" t="s">
        <v>1463</v>
      </c>
      <c r="C67" s="360">
        <f ca="1">C48-C58</f>
        <v>-504</v>
      </c>
      <c r="D67" s="1182" t="s">
        <v>1464</v>
      </c>
      <c r="E67" s="1187"/>
      <c r="F67" s="1188"/>
      <c r="O67" s="1894" t="s">
        <v>1042</v>
      </c>
      <c r="P67" s="1885" t="s">
        <v>1562</v>
      </c>
      <c r="Q67" s="1933">
        <f ca="1">L51</f>
        <v>25279</v>
      </c>
      <c r="R67" s="1886" t="s">
        <v>1582</v>
      </c>
    </row>
    <row r="68" spans="1:18" s="1842" customFormat="1" ht="16.5" thickBot="1">
      <c r="A68" s="1166" t="s">
        <v>1032</v>
      </c>
      <c r="B68" s="1167" t="s">
        <v>1485</v>
      </c>
      <c r="C68" s="345">
        <f ca="1">ROUND(C67*(1-((1+F70)/(1+F68))^F69)/(F68-F70),0)</f>
        <v>-7438</v>
      </c>
      <c r="D68" s="1184" t="s">
        <v>1469</v>
      </c>
      <c r="E68" s="1169" t="s">
        <v>1470</v>
      </c>
      <c r="F68" s="356">
        <f ca="1">F40</f>
        <v>5.5E-2</v>
      </c>
      <c r="O68" s="1894" t="s">
        <v>1043</v>
      </c>
      <c r="P68" s="1934" t="s">
        <v>1583</v>
      </c>
      <c r="Q68" s="1886">
        <f ca="1">ROUND(Q69-Q70*Q71,0)</f>
        <v>1617</v>
      </c>
      <c r="R68" s="1886" t="s">
        <v>1051</v>
      </c>
    </row>
    <row r="69" spans="1:18" s="1842" customFormat="1" ht="13.5" thickBot="1">
      <c r="A69" s="1170"/>
      <c r="B69" s="1171"/>
      <c r="C69" s="350"/>
      <c r="D69" s="1189" t="s">
        <v>1473</v>
      </c>
      <c r="E69" s="1169" t="s">
        <v>1474</v>
      </c>
      <c r="F69" s="378">
        <f ca="1">F41</f>
        <v>31.19</v>
      </c>
      <c r="O69" s="1894" t="s">
        <v>1048</v>
      </c>
      <c r="P69" s="1934" t="s">
        <v>1584</v>
      </c>
      <c r="Q69" s="1886">
        <f ca="1">C39</f>
        <v>2954</v>
      </c>
      <c r="R69" s="1886" t="s">
        <v>1529</v>
      </c>
    </row>
    <row r="70" spans="1:18" s="1842" customFormat="1" ht="13.5" thickBot="1">
      <c r="A70" s="1173"/>
      <c r="B70" s="1174"/>
      <c r="C70" s="354"/>
      <c r="D70" s="1185"/>
      <c r="E70" s="1169" t="s">
        <v>1477</v>
      </c>
      <c r="F70" s="1275"/>
      <c r="O70" s="1894" t="s">
        <v>1049</v>
      </c>
      <c r="P70" s="1934" t="s">
        <v>1585</v>
      </c>
      <c r="Q70" s="1886">
        <f ca="1">C13</f>
        <v>15730</v>
      </c>
      <c r="R70" s="1886" t="s">
        <v>1529</v>
      </c>
    </row>
    <row r="71" spans="1:18" s="1842" customFormat="1" ht="13.5" thickBot="1">
      <c r="A71" s="1190" t="s">
        <v>1033</v>
      </c>
      <c r="B71" s="1191" t="s">
        <v>1487</v>
      </c>
      <c r="C71" s="381">
        <f ca="1">ROUND(C68*10000/F71,0)</f>
        <v>-2651</v>
      </c>
      <c r="D71" s="1192" t="s">
        <v>1488</v>
      </c>
      <c r="E71" s="1193" t="s">
        <v>1489</v>
      </c>
      <c r="F71" s="384">
        <f ca="1">F43</f>
        <v>28056.880000000005</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1337</v>
      </c>
      <c r="D75" s="1842"/>
      <c r="E75" s="1842"/>
      <c r="F75" s="1842"/>
      <c r="K75" s="1868"/>
      <c r="L75" s="1842"/>
      <c r="O75" s="1884" t="s">
        <v>1046</v>
      </c>
      <c r="P75" s="1885" t="s">
        <v>1549</v>
      </c>
      <c r="Q75" s="1886">
        <f ca="1">Q65+Q66</f>
        <v>62233</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0.54699999999999993</v>
      </c>
    </row>
    <row r="80" spans="1:18">
      <c r="B80" s="385" t="s">
        <v>1511</v>
      </c>
      <c r="C80" s="317">
        <f ca="1">ROUND(C75/C39,3)</f>
        <v>0.45300000000000001</v>
      </c>
    </row>
    <row r="81" spans="2:3">
      <c r="B81" s="313" t="s">
        <v>1512</v>
      </c>
      <c r="C81" s="281"/>
    </row>
    <row r="82" spans="2:3">
      <c r="B82" s="316" t="s">
        <v>1513</v>
      </c>
      <c r="C82" s="318">
        <f ca="1">1-C83</f>
        <v>0.747</v>
      </c>
    </row>
    <row r="83" spans="2:3">
      <c r="B83" s="316" t="s">
        <v>1514</v>
      </c>
      <c r="C83" s="317">
        <f ca="1">ROUND(C13/C40,3)</f>
        <v>0.253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9" zoomScale="90" zoomScaleNormal="90" workbookViewId="0">
      <selection activeCell="K26" sqref="K26"/>
    </sheetView>
  </sheetViews>
  <sheetFormatPr defaultRowHeight="14.25"/>
  <cols>
    <col min="1" max="1" width="10.5" style="3333" customWidth="1"/>
    <col min="2" max="2" width="15.75" style="3333" customWidth="1"/>
    <col min="3" max="3" width="15.125" style="3333" customWidth="1"/>
    <col min="4" max="4" width="12.25" style="3333" customWidth="1"/>
    <col min="5" max="5" width="14.375" style="3333" customWidth="1"/>
    <col min="6" max="6" width="12.25" style="3333" customWidth="1"/>
    <col min="7" max="7" width="14.5" style="3333" customWidth="1"/>
    <col min="8" max="8" width="12.25" style="3333" customWidth="1"/>
    <col min="9" max="9" width="14.5" style="3333" customWidth="1"/>
    <col min="10" max="10" width="12.25" style="3333" customWidth="1"/>
    <col min="11" max="11" width="12.25" style="3657" customWidth="1"/>
    <col min="12" max="12" width="12.25" style="3658" customWidth="1"/>
    <col min="13" max="15" width="12.25" style="3333" customWidth="1"/>
    <col min="16" max="16" width="4.75" style="3659" customWidth="1"/>
    <col min="17" max="17" width="19.5" style="3333" customWidth="1"/>
    <col min="18" max="22" width="6.125" style="3333" customWidth="1"/>
    <col min="23" max="23" width="5.75" style="3333" customWidth="1"/>
    <col min="24" max="24" width="4.25" style="3333" customWidth="1"/>
    <col min="25" max="25" width="3.5" style="3333" customWidth="1"/>
    <col min="26" max="26" width="19.75" style="3333" customWidth="1"/>
    <col min="27" max="28" width="9.375" style="3333" customWidth="1"/>
    <col min="29" max="16384" width="9" style="3333"/>
  </cols>
  <sheetData>
    <row r="1" spans="1:29" s="3302" customFormat="1" ht="28.5" customHeight="1" thickBot="1">
      <c r="A1" s="3289" t="s">
        <v>3163</v>
      </c>
      <c r="B1" s="3290" t="s">
        <v>3164</v>
      </c>
      <c r="C1" s="3291" t="s">
        <v>3165</v>
      </c>
      <c r="D1" s="3292" t="s">
        <v>1377</v>
      </c>
      <c r="E1" s="3293"/>
      <c r="F1" s="3294" t="s">
        <v>3166</v>
      </c>
      <c r="G1" s="3295" t="s">
        <v>3167</v>
      </c>
      <c r="H1" s="3296"/>
      <c r="I1" s="3296"/>
      <c r="J1" s="3296"/>
      <c r="K1" s="3297"/>
      <c r="L1" s="3298"/>
      <c r="M1" s="3291"/>
      <c r="N1" s="3291"/>
      <c r="O1" s="3291"/>
      <c r="P1" s="3299"/>
      <c r="Q1" s="3300"/>
      <c r="R1" s="3300"/>
      <c r="S1" s="3300"/>
      <c r="T1" s="3300"/>
      <c r="U1" s="3300"/>
      <c r="V1" s="3300"/>
      <c r="W1" s="3300"/>
      <c r="X1" s="3300"/>
      <c r="Y1" s="3300"/>
      <c r="Z1" s="3300"/>
      <c r="AA1" s="3300"/>
      <c r="AB1" s="3300"/>
      <c r="AC1" s="3301"/>
    </row>
    <row r="2" spans="1:29" s="3310" customFormat="1" ht="28.5" customHeight="1" thickTop="1">
      <c r="A2" s="1617" t="s">
        <v>3168</v>
      </c>
      <c r="B2" s="3303">
        <f>IF(C2="——",ROUND(C49*D3/10000,0),ROUND(C49*D3/10000,0)-D2)</f>
        <v>0</v>
      </c>
      <c r="C2" s="2588" t="s">
        <v>70</v>
      </c>
      <c r="D2" s="3304" t="e">
        <f ca="1">SUMIF(INDIRECT("'"&amp;F2&amp;"'"&amp;"!A:A"),"承租人权益价值",INDIRECT("'"&amp;F2&amp;"'"&amp;"!c:c"))</f>
        <v>#REF!</v>
      </c>
      <c r="E2" s="2589" t="s">
        <v>3169</v>
      </c>
      <c r="F2" s="2590"/>
      <c r="G2" s="3305"/>
      <c r="H2" s="3305"/>
      <c r="I2" s="3305"/>
      <c r="J2" s="3305"/>
      <c r="K2" s="3305"/>
      <c r="L2" s="3306"/>
      <c r="M2" s="3307"/>
      <c r="N2" s="3307"/>
      <c r="O2" s="3307"/>
      <c r="P2" s="3308"/>
      <c r="Q2" s="3307"/>
      <c r="R2" s="3307"/>
      <c r="S2" s="3307"/>
      <c r="T2" s="3307"/>
      <c r="U2" s="3307"/>
      <c r="V2" s="3307"/>
      <c r="W2" s="3307"/>
      <c r="X2" s="3307"/>
      <c r="Y2" s="3307"/>
      <c r="Z2" s="3307"/>
      <c r="AA2" s="3307"/>
      <c r="AB2" s="3307"/>
      <c r="AC2" s="3309"/>
    </row>
    <row r="3" spans="1:29" s="3310" customFormat="1" ht="28.5" customHeight="1" thickBot="1">
      <c r="A3" s="246" t="s">
        <v>3170</v>
      </c>
      <c r="B3" s="3311">
        <f>IF(C2="——",C49,ROUND(B2*10000/D3,0))</f>
        <v>6.8</v>
      </c>
      <c r="C3" s="3312" t="s">
        <v>3171</v>
      </c>
      <c r="D3" s="3313">
        <f>IF(D1="",'[1]数据-汇总表'!E3,SUMIF('[1]数据-汇总表'!$C19:$C33,D1,'[1]数据-汇总表'!$E19:$E33))</f>
        <v>656.26</v>
      </c>
      <c r="E3" s="3314"/>
      <c r="F3" s="3315"/>
      <c r="G3" s="3305"/>
      <c r="H3" s="3305"/>
      <c r="I3" s="3305"/>
      <c r="J3" s="3305"/>
      <c r="K3" s="3316"/>
      <c r="L3" s="3306"/>
      <c r="M3" s="3307"/>
      <c r="N3" s="3307"/>
      <c r="O3" s="3307"/>
      <c r="P3" s="3308"/>
      <c r="Q3" s="3307"/>
      <c r="R3" s="3307"/>
      <c r="S3" s="3307"/>
      <c r="T3" s="3307"/>
      <c r="U3" s="3307"/>
      <c r="V3" s="3307"/>
      <c r="W3" s="3307"/>
      <c r="X3" s="3307"/>
      <c r="Y3" s="3307"/>
      <c r="Z3" s="3307"/>
      <c r="AA3" s="3307"/>
      <c r="AB3" s="3307"/>
      <c r="AC3" s="3314"/>
    </row>
    <row r="4" spans="1:29" ht="15">
      <c r="A4" s="3317" t="s">
        <v>3172</v>
      </c>
      <c r="B4" s="3318"/>
      <c r="C4" s="3319" t="s">
        <v>3173</v>
      </c>
      <c r="D4" s="3320"/>
      <c r="E4" s="3321" t="s">
        <v>3174</v>
      </c>
      <c r="F4" s="3322"/>
      <c r="G4" s="3319" t="s">
        <v>3175</v>
      </c>
      <c r="H4" s="3320"/>
      <c r="I4" s="3319" t="s">
        <v>3176</v>
      </c>
      <c r="J4" s="3320"/>
      <c r="K4" s="3323" t="s">
        <v>3177</v>
      </c>
      <c r="L4" s="3324"/>
      <c r="M4" s="3325"/>
      <c r="N4" s="3325"/>
      <c r="O4" s="3325"/>
      <c r="P4" s="3326" t="s">
        <v>3178</v>
      </c>
      <c r="Q4" s="3327"/>
      <c r="R4" s="3328" t="s">
        <v>3179</v>
      </c>
      <c r="S4" s="3329"/>
      <c r="T4" s="3328" t="s">
        <v>3180</v>
      </c>
      <c r="U4" s="3329"/>
      <c r="V4" s="3330" t="s">
        <v>3181</v>
      </c>
      <c r="W4" s="3330"/>
      <c r="X4" s="3331"/>
      <c r="Y4" s="3328" t="s">
        <v>3178</v>
      </c>
      <c r="Z4" s="3329"/>
      <c r="AA4" s="3332" t="s">
        <v>3179</v>
      </c>
      <c r="AB4" s="3330" t="s">
        <v>3180</v>
      </c>
      <c r="AC4" s="3332" t="s">
        <v>3181</v>
      </c>
    </row>
    <row r="5" spans="1:29" ht="15">
      <c r="A5" s="3334"/>
      <c r="B5" s="3335"/>
      <c r="C5" s="3336" t="s">
        <v>3182</v>
      </c>
      <c r="D5" s="3337"/>
      <c r="E5" s="3338" t="s">
        <v>3183</v>
      </c>
      <c r="F5" s="3339"/>
      <c r="G5" s="3340" t="s">
        <v>3184</v>
      </c>
      <c r="H5" s="3337"/>
      <c r="I5" s="3340" t="s">
        <v>3185</v>
      </c>
      <c r="J5" s="3337"/>
      <c r="K5" s="3323"/>
      <c r="L5" s="3324"/>
      <c r="M5" s="3325"/>
      <c r="N5" s="3325"/>
      <c r="O5" s="3325"/>
      <c r="P5" s="3341"/>
      <c r="Q5" s="3342"/>
      <c r="R5" s="3343"/>
      <c r="S5" s="3344"/>
      <c r="T5" s="3343"/>
      <c r="U5" s="3344"/>
      <c r="V5" s="3330"/>
      <c r="W5" s="3330"/>
      <c r="X5" s="3331"/>
      <c r="Y5" s="3343"/>
      <c r="Z5" s="3344"/>
      <c r="AA5" s="3345"/>
      <c r="AB5" s="3330"/>
      <c r="AC5" s="3345"/>
    </row>
    <row r="6" spans="1:29" ht="15.75" thickBot="1">
      <c r="A6" s="3346"/>
      <c r="B6" s="3347"/>
      <c r="C6" s="3348" t="s">
        <v>3186</v>
      </c>
      <c r="D6" s="3349"/>
      <c r="E6" s="3350"/>
      <c r="F6" s="3351"/>
      <c r="G6" s="3352"/>
      <c r="H6" s="3349"/>
      <c r="I6" s="3352"/>
      <c r="J6" s="3349"/>
      <c r="K6" s="3323" t="s">
        <v>3187</v>
      </c>
      <c r="L6" s="3324"/>
      <c r="M6" s="3325"/>
      <c r="N6" s="3325"/>
      <c r="O6" s="3325"/>
      <c r="P6" s="3353"/>
      <c r="Q6" s="3354"/>
      <c r="R6" s="3343"/>
      <c r="S6" s="3344"/>
      <c r="T6" s="3355"/>
      <c r="U6" s="3356"/>
      <c r="V6" s="3330"/>
      <c r="W6" s="3330"/>
      <c r="X6" s="3331"/>
      <c r="Y6" s="3355"/>
      <c r="Z6" s="3356"/>
      <c r="AA6" s="3357"/>
      <c r="AB6" s="3330"/>
      <c r="AC6" s="3357"/>
    </row>
    <row r="7" spans="1:29" s="3374" customFormat="1" ht="15.75" thickBot="1">
      <c r="A7" s="3358" t="s">
        <v>3188</v>
      </c>
      <c r="B7" s="3359"/>
      <c r="C7" s="3360">
        <f>'[1]数据-取费表'!B2</f>
        <v>43155</v>
      </c>
      <c r="D7" s="3361">
        <v>100</v>
      </c>
      <c r="E7" s="3362">
        <v>43155</v>
      </c>
      <c r="F7" s="3363">
        <f>SUMIF(58:58,YEAR(E7)&amp;"-"&amp;MONTH(E7),59:59)</f>
        <v>100</v>
      </c>
      <c r="G7" s="3362">
        <v>43155</v>
      </c>
      <c r="H7" s="3361">
        <f>SUMIF(58:58,YEAR(G7)&amp;"-"&amp;MONTH(G7),59:59)</f>
        <v>100</v>
      </c>
      <c r="I7" s="3362">
        <v>43155</v>
      </c>
      <c r="J7" s="3361">
        <f>SUMIF(58:58,YEAR(I7)&amp;"-"&amp;MONTH(I7),59:59)</f>
        <v>100</v>
      </c>
      <c r="K7" s="3364"/>
      <c r="L7" s="3365"/>
      <c r="M7" s="3366"/>
      <c r="N7" s="3366"/>
      <c r="O7" s="3366"/>
      <c r="P7" s="3367" t="s">
        <v>3189</v>
      </c>
      <c r="Q7" s="3368"/>
      <c r="R7" s="3369" t="s">
        <v>3190</v>
      </c>
      <c r="S7" s="3370">
        <f t="shared" ref="S7:S15" si="0">F7</f>
        <v>100</v>
      </c>
      <c r="T7" s="3369" t="s">
        <v>3191</v>
      </c>
      <c r="U7" s="3370">
        <f t="shared" ref="U7:U15" si="1">H7</f>
        <v>100</v>
      </c>
      <c r="V7" s="3369" t="s">
        <v>3191</v>
      </c>
      <c r="W7" s="3370">
        <f t="shared" ref="W7:W15" si="2">J7</f>
        <v>100</v>
      </c>
      <c r="X7" s="3371"/>
      <c r="Y7" s="3367" t="s">
        <v>2554</v>
      </c>
      <c r="Z7" s="3372"/>
      <c r="AA7" s="3373">
        <f>D7/F7</f>
        <v>1</v>
      </c>
      <c r="AB7" s="3373">
        <f>D7/H7</f>
        <v>1</v>
      </c>
      <c r="AC7" s="3373">
        <f>D7/J7</f>
        <v>1</v>
      </c>
    </row>
    <row r="8" spans="1:29" s="3374" customFormat="1" ht="15.75" thickBot="1">
      <c r="A8" s="3358" t="s">
        <v>2555</v>
      </c>
      <c r="B8" s="3359"/>
      <c r="C8" s="3375" t="s">
        <v>3192</v>
      </c>
      <c r="D8" s="3361">
        <v>100</v>
      </c>
      <c r="E8" s="3375" t="s">
        <v>3122</v>
      </c>
      <c r="F8" s="3363">
        <f>SUMIF(61:61,E8,62:62)-SUMIF(61:61,C8,62:62)+100</f>
        <v>100</v>
      </c>
      <c r="G8" s="3375" t="s">
        <v>3122</v>
      </c>
      <c r="H8" s="3361">
        <f>SUMIF(61:61,G8,62:62)-SUMIF(61:61,C8,62:62)+100</f>
        <v>100</v>
      </c>
      <c r="I8" s="3375" t="s">
        <v>3122</v>
      </c>
      <c r="J8" s="3361">
        <f>SUMIF(61:61,I8,62:62)-SUMIF(61:61,C8,62:62)+100</f>
        <v>100</v>
      </c>
      <c r="K8" s="3364"/>
      <c r="L8" s="3365"/>
      <c r="M8" s="3366"/>
      <c r="N8" s="3366"/>
      <c r="O8" s="3366"/>
      <c r="P8" s="3367" t="s">
        <v>2557</v>
      </c>
      <c r="Q8" s="3372"/>
      <c r="R8" s="3369" t="s">
        <v>3193</v>
      </c>
      <c r="S8" s="3370">
        <f t="shared" si="0"/>
        <v>100</v>
      </c>
      <c r="T8" s="3369" t="s">
        <v>3193</v>
      </c>
      <c r="U8" s="3370">
        <f t="shared" si="1"/>
        <v>100</v>
      </c>
      <c r="V8" s="3369" t="s">
        <v>3193</v>
      </c>
      <c r="W8" s="3370">
        <f t="shared" si="2"/>
        <v>100</v>
      </c>
      <c r="X8" s="3371"/>
      <c r="Y8" s="3367" t="s">
        <v>2557</v>
      </c>
      <c r="Z8" s="3372"/>
      <c r="AA8" s="3373">
        <f t="shared" ref="AA8:AA46" si="3">D8/F8</f>
        <v>1</v>
      </c>
      <c r="AB8" s="3373">
        <f t="shared" ref="AB8:AB46" si="4">D8/H8</f>
        <v>1</v>
      </c>
      <c r="AC8" s="3373">
        <f t="shared" ref="AC8:AC46" si="5">D8/J8</f>
        <v>1</v>
      </c>
    </row>
    <row r="9" spans="1:29" s="3374" customFormat="1">
      <c r="A9" s="3376" t="s">
        <v>2558</v>
      </c>
      <c r="B9" s="3377" t="s">
        <v>2559</v>
      </c>
      <c r="C9" s="3378" t="s">
        <v>183</v>
      </c>
      <c r="D9" s="3379">
        <v>100</v>
      </c>
      <c r="E9" s="3380" t="s">
        <v>183</v>
      </c>
      <c r="F9" s="3381">
        <f>SUMIF(63:63,E9,64:64)-SUMIF(63:63,C9,64:64)+100</f>
        <v>100</v>
      </c>
      <c r="G9" s="3380" t="s">
        <v>183</v>
      </c>
      <c r="H9" s="3379">
        <f>SUMIF(63:63,G9,64:64)-SUMIF(63:63,C9,64:64)+100</f>
        <v>100</v>
      </c>
      <c r="I9" s="3380" t="s">
        <v>183</v>
      </c>
      <c r="J9" s="3379">
        <f>SUMIF(63:63,I9,64:64)-SUMIF(63:63,C9,64:64)+100</f>
        <v>100</v>
      </c>
      <c r="K9" s="3364"/>
      <c r="L9" s="3365"/>
      <c r="M9" s="3366"/>
      <c r="N9" s="3366"/>
      <c r="O9" s="3366"/>
      <c r="P9" s="3382" t="s">
        <v>2560</v>
      </c>
      <c r="Q9" s="3383" t="str">
        <f t="shared" ref="Q9:Q15" si="6">B9</f>
        <v>用途</v>
      </c>
      <c r="R9" s="3369" t="s">
        <v>3193</v>
      </c>
      <c r="S9" s="3370">
        <f t="shared" si="0"/>
        <v>100</v>
      </c>
      <c r="T9" s="3369" t="s">
        <v>3193</v>
      </c>
      <c r="U9" s="3370">
        <f t="shared" si="1"/>
        <v>100</v>
      </c>
      <c r="V9" s="3369" t="s">
        <v>3193</v>
      </c>
      <c r="W9" s="3370">
        <f t="shared" si="2"/>
        <v>100</v>
      </c>
      <c r="X9" s="3371"/>
      <c r="Y9" s="3384" t="s">
        <v>2561</v>
      </c>
      <c r="Z9" s="3385" t="str">
        <f t="shared" ref="Z9:Z15" si="7">Q9</f>
        <v>用途</v>
      </c>
      <c r="AA9" s="3373">
        <f t="shared" si="3"/>
        <v>1</v>
      </c>
      <c r="AB9" s="3373">
        <f t="shared" si="4"/>
        <v>1</v>
      </c>
      <c r="AC9" s="3373">
        <f t="shared" si="5"/>
        <v>1</v>
      </c>
    </row>
    <row r="10" spans="1:29" s="3395" customFormat="1" ht="27.75" thickBot="1">
      <c r="A10" s="3386"/>
      <c r="B10" s="3387" t="s">
        <v>3194</v>
      </c>
      <c r="C10" s="3388" t="s">
        <v>3161</v>
      </c>
      <c r="D10" s="3389">
        <v>100</v>
      </c>
      <c r="E10" s="3390" t="s">
        <v>3161</v>
      </c>
      <c r="F10" s="3391">
        <f>SUMIF(65:65,E10,66:66)-SUMIF(65:65,C10,66:66)+100</f>
        <v>100</v>
      </c>
      <c r="G10" s="3388" t="s">
        <v>3161</v>
      </c>
      <c r="H10" s="3389">
        <f>SUMIF(65:65,G10,66:66)-SUMIF(65:65,C10,66:66)+100</f>
        <v>100</v>
      </c>
      <c r="I10" s="3388" t="s">
        <v>3161</v>
      </c>
      <c r="J10" s="3389">
        <f>SUMIF(65:65,I10,66:66)-SUMIF(65:65,C10,66:66)+100</f>
        <v>100</v>
      </c>
      <c r="K10" s="3392">
        <v>1</v>
      </c>
      <c r="L10" s="3393"/>
      <c r="M10" s="3394"/>
      <c r="N10" s="3394"/>
      <c r="O10" s="3394"/>
      <c r="P10" s="3382"/>
      <c r="Q10" s="3383" t="str">
        <f t="shared" si="6"/>
        <v>土地使用年限（年）</v>
      </c>
      <c r="R10" s="3369" t="s">
        <v>3195</v>
      </c>
      <c r="S10" s="3370">
        <f t="shared" si="0"/>
        <v>100</v>
      </c>
      <c r="T10" s="3369" t="s">
        <v>3195</v>
      </c>
      <c r="U10" s="3370">
        <f t="shared" si="1"/>
        <v>100</v>
      </c>
      <c r="V10" s="3369" t="s">
        <v>3195</v>
      </c>
      <c r="W10" s="3370">
        <f t="shared" si="2"/>
        <v>100</v>
      </c>
      <c r="X10" s="3371"/>
      <c r="Y10" s="3384"/>
      <c r="Z10" s="3385" t="str">
        <f t="shared" si="7"/>
        <v>土地使用年限（年）</v>
      </c>
      <c r="AA10" s="3373">
        <f t="shared" si="3"/>
        <v>1</v>
      </c>
      <c r="AB10" s="3373">
        <f t="shared" si="4"/>
        <v>1</v>
      </c>
      <c r="AC10" s="3373">
        <f t="shared" si="5"/>
        <v>1</v>
      </c>
    </row>
    <row r="11" spans="1:29" ht="14.25" hidden="1" customHeight="1">
      <c r="A11" s="3396"/>
      <c r="B11" s="3387" t="s">
        <v>3196</v>
      </c>
      <c r="C11" s="3397">
        <v>1</v>
      </c>
      <c r="D11" s="3389">
        <v>100</v>
      </c>
      <c r="E11" s="3398">
        <v>1</v>
      </c>
      <c r="F11" s="3391">
        <f>LOOKUP(E11,68:68,69:69)-LOOKUP(C11,68:68,69:69)+100</f>
        <v>100</v>
      </c>
      <c r="G11" s="3397">
        <v>1</v>
      </c>
      <c r="H11" s="3389">
        <f>LOOKUP(G11,68:68,69:69)-LOOKUP(C11,68:68,69:69)+100</f>
        <v>100</v>
      </c>
      <c r="I11" s="3397">
        <v>1</v>
      </c>
      <c r="J11" s="3389">
        <f>LOOKUP(I11,68:68,69:69)-LOOKUP(C11,68:68,69:69)+100</f>
        <v>100</v>
      </c>
      <c r="K11" s="3392"/>
      <c r="L11" s="3399"/>
      <c r="M11" s="3325"/>
      <c r="N11" s="3325"/>
      <c r="O11" s="3325"/>
      <c r="P11" s="3382"/>
      <c r="Q11" s="3383" t="str">
        <f t="shared" si="6"/>
        <v>容积率</v>
      </c>
      <c r="R11" s="3369" t="s">
        <v>3195</v>
      </c>
      <c r="S11" s="3370">
        <f t="shared" si="0"/>
        <v>100</v>
      </c>
      <c r="T11" s="3369" t="s">
        <v>3195</v>
      </c>
      <c r="U11" s="3370">
        <f t="shared" si="1"/>
        <v>100</v>
      </c>
      <c r="V11" s="3369" t="s">
        <v>3195</v>
      </c>
      <c r="W11" s="3370">
        <f t="shared" si="2"/>
        <v>100</v>
      </c>
      <c r="X11" s="3371"/>
      <c r="Y11" s="3384"/>
      <c r="Z11" s="3385" t="str">
        <f t="shared" si="7"/>
        <v>容积率</v>
      </c>
      <c r="AA11" s="3373">
        <f t="shared" si="3"/>
        <v>1</v>
      </c>
      <c r="AB11" s="3373">
        <f t="shared" si="4"/>
        <v>1</v>
      </c>
      <c r="AC11" s="3373">
        <f t="shared" si="5"/>
        <v>1</v>
      </c>
    </row>
    <row r="12" spans="1:29" s="3374" customFormat="1" ht="15.75" hidden="1" thickBot="1">
      <c r="A12" s="3400"/>
      <c r="B12" s="3401">
        <v>111</v>
      </c>
      <c r="C12" s="3402"/>
      <c r="D12" s="3403">
        <v>100</v>
      </c>
      <c r="E12" s="3404"/>
      <c r="F12" s="3391">
        <f>SUMIF(70:70,E12,71:71)-SUMIF(70:70,C12,71:71)+100</f>
        <v>100</v>
      </c>
      <c r="G12" s="3404"/>
      <c r="H12" s="3389">
        <f>SUMIF(70:70,G12,71:71)-SUMIF(70:70,C12,71:71)+100</f>
        <v>100</v>
      </c>
      <c r="I12" s="3404"/>
      <c r="J12" s="3389">
        <f>SUMIF(70:70,I12,71:71)-SUMIF(70:70,C12,71:71)+100</f>
        <v>100</v>
      </c>
      <c r="K12" s="3405"/>
      <c r="L12" s="3365"/>
      <c r="M12" s="3366"/>
      <c r="N12" s="3366"/>
      <c r="O12" s="3366"/>
      <c r="P12" s="3382"/>
      <c r="Q12" s="3383">
        <f t="shared" si="6"/>
        <v>111</v>
      </c>
      <c r="R12" s="3369" t="s">
        <v>3195</v>
      </c>
      <c r="S12" s="3370">
        <f t="shared" si="0"/>
        <v>100</v>
      </c>
      <c r="T12" s="3369" t="s">
        <v>3195</v>
      </c>
      <c r="U12" s="3370">
        <f t="shared" si="1"/>
        <v>100</v>
      </c>
      <c r="V12" s="3369" t="s">
        <v>3195</v>
      </c>
      <c r="W12" s="3370">
        <f t="shared" si="2"/>
        <v>100</v>
      </c>
      <c r="X12" s="3371"/>
      <c r="Y12" s="3384"/>
      <c r="Z12" s="3385">
        <f t="shared" si="7"/>
        <v>111</v>
      </c>
      <c r="AA12" s="3373">
        <f>D12/F12</f>
        <v>1</v>
      </c>
      <c r="AB12" s="3373">
        <f>D12/H12</f>
        <v>1</v>
      </c>
      <c r="AC12" s="3373">
        <f>D12/J12</f>
        <v>1</v>
      </c>
    </row>
    <row r="13" spans="1:29" ht="15.75" hidden="1" thickBot="1">
      <c r="A13" s="3396"/>
      <c r="B13" s="3401">
        <v>111</v>
      </c>
      <c r="C13" s="3404"/>
      <c r="D13" s="3406">
        <v>100</v>
      </c>
      <c r="E13" s="3404"/>
      <c r="F13" s="3391">
        <f>SUMIF(72:72,E13,73:73)-SUMIF(72:72,C13,73:73)+100</f>
        <v>100</v>
      </c>
      <c r="G13" s="3404"/>
      <c r="H13" s="3406">
        <f>SUMIF(72:72,G13,73:73)-SUMIF(72:72,C13,73:73)+100</f>
        <v>100</v>
      </c>
      <c r="I13" s="3404"/>
      <c r="J13" s="3406">
        <f>SUMIF(72:72,I13,73:73)-SUMIF(72:72,C13,73:73)+100</f>
        <v>100</v>
      </c>
      <c r="K13" s="3405"/>
      <c r="L13" s="3407"/>
      <c r="M13" s="3325"/>
      <c r="N13" s="3325"/>
      <c r="O13" s="3325"/>
      <c r="P13" s="3382"/>
      <c r="Q13" s="3383">
        <f t="shared" si="6"/>
        <v>111</v>
      </c>
      <c r="R13" s="3369" t="s">
        <v>3193</v>
      </c>
      <c r="S13" s="3370">
        <f t="shared" si="0"/>
        <v>100</v>
      </c>
      <c r="T13" s="3369" t="s">
        <v>3193</v>
      </c>
      <c r="U13" s="3370">
        <f t="shared" si="1"/>
        <v>100</v>
      </c>
      <c r="V13" s="3369" t="s">
        <v>3193</v>
      </c>
      <c r="W13" s="3370">
        <f t="shared" si="2"/>
        <v>100</v>
      </c>
      <c r="X13" s="3371"/>
      <c r="Y13" s="3384"/>
      <c r="Z13" s="3385">
        <f t="shared" si="7"/>
        <v>111</v>
      </c>
      <c r="AA13" s="3373">
        <f t="shared" si="3"/>
        <v>1</v>
      </c>
      <c r="AB13" s="3373">
        <f t="shared" si="4"/>
        <v>1</v>
      </c>
      <c r="AC13" s="3373">
        <f t="shared" si="5"/>
        <v>1</v>
      </c>
    </row>
    <row r="14" spans="1:29" ht="15.75" hidden="1" thickBot="1">
      <c r="A14" s="3408"/>
      <c r="B14" s="3409">
        <v>111</v>
      </c>
      <c r="C14" s="3410"/>
      <c r="D14" s="3411">
        <v>100</v>
      </c>
      <c r="E14" s="3404"/>
      <c r="F14" s="3412">
        <f>SUMIF(74:74,E14,75:75)-SUMIF(74:74,C14,75:75)+100</f>
        <v>100</v>
      </c>
      <c r="G14" s="3404"/>
      <c r="H14" s="3411">
        <f>SUMIF(74:74,G14,75:75)-SUMIF(74:74,C14,75:75)+100</f>
        <v>100</v>
      </c>
      <c r="I14" s="3404"/>
      <c r="J14" s="3411">
        <f>SUMIF(74:74,I14,75:75)-SUMIF(74:74,C14,75:75)+100</f>
        <v>100</v>
      </c>
      <c r="K14" s="3405"/>
      <c r="L14" s="3407"/>
      <c r="M14" s="3325"/>
      <c r="N14" s="3325"/>
      <c r="O14" s="3325"/>
      <c r="P14" s="3382"/>
      <c r="Q14" s="3383">
        <f t="shared" si="6"/>
        <v>111</v>
      </c>
      <c r="R14" s="3369" t="s">
        <v>3193</v>
      </c>
      <c r="S14" s="3370">
        <f t="shared" si="0"/>
        <v>100</v>
      </c>
      <c r="T14" s="3369" t="s">
        <v>3193</v>
      </c>
      <c r="U14" s="3370">
        <f t="shared" si="1"/>
        <v>100</v>
      </c>
      <c r="V14" s="3369" t="s">
        <v>3193</v>
      </c>
      <c r="W14" s="3370">
        <f t="shared" si="2"/>
        <v>100</v>
      </c>
      <c r="X14" s="3371"/>
      <c r="Y14" s="3384"/>
      <c r="Z14" s="3385">
        <f t="shared" si="7"/>
        <v>111</v>
      </c>
      <c r="AA14" s="3373">
        <f t="shared" si="3"/>
        <v>1</v>
      </c>
      <c r="AB14" s="3373">
        <f t="shared" si="4"/>
        <v>1</v>
      </c>
      <c r="AC14" s="3373">
        <f t="shared" si="5"/>
        <v>1</v>
      </c>
    </row>
    <row r="15" spans="1:29" ht="71.25">
      <c r="A15" s="3413" t="s">
        <v>2564</v>
      </c>
      <c r="B15" s="3414" t="s">
        <v>2789</v>
      </c>
      <c r="C15" s="3415" t="str">
        <f>[1]估价对象房地状况!C4</f>
        <v>估价对象位于XX商圈，周边商业氛围成熟，人流量大，商业繁华度好</v>
      </c>
      <c r="D15" s="3416">
        <v>100</v>
      </c>
      <c r="E15" s="3417"/>
      <c r="F15" s="3418">
        <f>SUMIF(76:76,E16,77:77)-SUMIF(76:76,C16,77:77)+100</f>
        <v>98</v>
      </c>
      <c r="G15" s="3419"/>
      <c r="H15" s="3416">
        <f>SUMIF(76:76,G16,77:77)-SUMIF(76:76,C16,77:77)+100</f>
        <v>98</v>
      </c>
      <c r="I15" s="3417"/>
      <c r="J15" s="3416">
        <f>SUMIF(76:76,I16,77:77)-SUMIF(76:76,C16,77:77)+100</f>
        <v>98</v>
      </c>
      <c r="K15" s="3420">
        <v>2</v>
      </c>
      <c r="L15" s="3407"/>
      <c r="M15" s="3325"/>
      <c r="N15" s="3325"/>
      <c r="O15" s="3325"/>
      <c r="P15" s="3421" t="s">
        <v>3197</v>
      </c>
      <c r="Q15" s="3422" t="str">
        <f t="shared" si="6"/>
        <v>商业繁华度</v>
      </c>
      <c r="R15" s="3423" t="s">
        <v>3195</v>
      </c>
      <c r="S15" s="3424">
        <f t="shared" si="0"/>
        <v>98</v>
      </c>
      <c r="T15" s="3423" t="s">
        <v>3195</v>
      </c>
      <c r="U15" s="3424">
        <f t="shared" si="1"/>
        <v>98</v>
      </c>
      <c r="V15" s="3423" t="s">
        <v>3195</v>
      </c>
      <c r="W15" s="3424">
        <f t="shared" si="2"/>
        <v>98</v>
      </c>
      <c r="X15" s="3331"/>
      <c r="Y15" s="3425" t="s">
        <v>3197</v>
      </c>
      <c r="Z15" s="3426" t="str">
        <f t="shared" si="7"/>
        <v>商业繁华度</v>
      </c>
      <c r="AA15" s="3427">
        <f t="shared" si="3"/>
        <v>1.0204081632653061</v>
      </c>
      <c r="AB15" s="3427">
        <f t="shared" si="4"/>
        <v>1.0204081632653061</v>
      </c>
      <c r="AC15" s="3427">
        <f t="shared" si="5"/>
        <v>1.0204081632653061</v>
      </c>
    </row>
    <row r="16" spans="1:29" ht="15">
      <c r="A16" s="3396"/>
      <c r="B16" s="3428"/>
      <c r="C16" s="3429" t="s">
        <v>3083</v>
      </c>
      <c r="D16" s="3430"/>
      <c r="E16" s="3429" t="s">
        <v>3084</v>
      </c>
      <c r="F16" s="3431"/>
      <c r="G16" s="3429" t="s">
        <v>3084</v>
      </c>
      <c r="H16" s="3432"/>
      <c r="I16" s="3429" t="s">
        <v>3084</v>
      </c>
      <c r="J16" s="3430"/>
      <c r="K16" s="3433"/>
      <c r="L16" s="3407"/>
      <c r="M16" s="3325"/>
      <c r="N16" s="3325"/>
      <c r="O16" s="3325"/>
      <c r="P16" s="3434"/>
      <c r="Q16" s="3422"/>
      <c r="R16" s="3423"/>
      <c r="S16" s="3424"/>
      <c r="T16" s="3423"/>
      <c r="U16" s="3424"/>
      <c r="V16" s="3423"/>
      <c r="W16" s="3424"/>
      <c r="X16" s="3331"/>
      <c r="Y16" s="3435"/>
      <c r="Z16" s="3426"/>
      <c r="AA16" s="3427">
        <v>1</v>
      </c>
      <c r="AB16" s="3427">
        <v>1</v>
      </c>
      <c r="AC16" s="3427">
        <v>1</v>
      </c>
    </row>
    <row r="17" spans="1:29" ht="85.5">
      <c r="A17" s="3396"/>
      <c r="B17" s="3436" t="s">
        <v>2101</v>
      </c>
      <c r="C17" s="3437" t="str">
        <f>[1]估价对象房地状况!C6</f>
        <v>估价对象周边道路状况、公共交通通达情况、停车便捷程度，综合评价交通便捷度较好</v>
      </c>
      <c r="D17" s="3432">
        <v>100</v>
      </c>
      <c r="E17" s="3438"/>
      <c r="F17" s="3439">
        <f>SUMIF(78:78,E18,79:79)-SUMIF(78:78,C18,79:79)+100</f>
        <v>98</v>
      </c>
      <c r="G17" s="3440"/>
      <c r="H17" s="3441">
        <f>SUMIF(78:78,G18,79:79)-SUMIF(78:78,C18,79:79)+100</f>
        <v>98</v>
      </c>
      <c r="I17" s="3438"/>
      <c r="J17" s="3441">
        <f>SUMIF(78:78,I18,79:79)-SUMIF(78:78,C18,79:79)+100</f>
        <v>98</v>
      </c>
      <c r="K17" s="3420">
        <v>2</v>
      </c>
      <c r="L17" s="3407"/>
      <c r="M17" s="3325"/>
      <c r="N17" s="3325"/>
      <c r="O17" s="3325"/>
      <c r="P17" s="3434"/>
      <c r="Q17" s="3422" t="str">
        <f>B17</f>
        <v>交通便捷度</v>
      </c>
      <c r="R17" s="3423" t="s">
        <v>3195</v>
      </c>
      <c r="S17" s="3424">
        <f>F17</f>
        <v>98</v>
      </c>
      <c r="T17" s="3423" t="s">
        <v>3195</v>
      </c>
      <c r="U17" s="3424">
        <f>H17</f>
        <v>98</v>
      </c>
      <c r="V17" s="3423" t="s">
        <v>3195</v>
      </c>
      <c r="W17" s="3424">
        <f>J17</f>
        <v>98</v>
      </c>
      <c r="X17" s="3331"/>
      <c r="Y17" s="3435"/>
      <c r="Z17" s="3426" t="str">
        <f>Q17</f>
        <v>交通便捷度</v>
      </c>
      <c r="AA17" s="3427">
        <f t="shared" si="3"/>
        <v>1.0204081632653061</v>
      </c>
      <c r="AB17" s="3427">
        <f t="shared" si="4"/>
        <v>1.0204081632653061</v>
      </c>
      <c r="AC17" s="3427">
        <f t="shared" si="5"/>
        <v>1.0204081632653061</v>
      </c>
    </row>
    <row r="18" spans="1:29" ht="15">
      <c r="A18" s="3396"/>
      <c r="B18" s="3442"/>
      <c r="C18" s="3443" t="s">
        <v>3083</v>
      </c>
      <c r="D18" s="3432"/>
      <c r="E18" s="3444" t="s">
        <v>3084</v>
      </c>
      <c r="F18" s="3439"/>
      <c r="G18" s="3445" t="s">
        <v>3084</v>
      </c>
      <c r="H18" s="3430"/>
      <c r="I18" s="3444" t="s">
        <v>3084</v>
      </c>
      <c r="J18" s="3430"/>
      <c r="K18" s="3433"/>
      <c r="L18" s="3407"/>
      <c r="M18" s="3325"/>
      <c r="N18" s="3325"/>
      <c r="O18" s="3325"/>
      <c r="P18" s="3434"/>
      <c r="Q18" s="3422"/>
      <c r="R18" s="3423"/>
      <c r="S18" s="3424"/>
      <c r="T18" s="3423"/>
      <c r="U18" s="3424"/>
      <c r="V18" s="3423"/>
      <c r="W18" s="3424"/>
      <c r="X18" s="3331"/>
      <c r="Y18" s="3435"/>
      <c r="Z18" s="3426"/>
      <c r="AA18" s="3427">
        <v>1</v>
      </c>
      <c r="AB18" s="3427">
        <v>1</v>
      </c>
      <c r="AC18" s="3427">
        <v>1</v>
      </c>
    </row>
    <row r="19" spans="1:29" ht="42.75">
      <c r="A19" s="3396"/>
      <c r="B19" s="3436" t="s">
        <v>3198</v>
      </c>
      <c r="C19" s="3437" t="str">
        <f>[1]估价对象房地状况!C7</f>
        <v>估价对象所在区域公共配套设施齐备情况</v>
      </c>
      <c r="D19" s="3441">
        <v>100</v>
      </c>
      <c r="E19" s="3446"/>
      <c r="F19" s="3447">
        <f>SUMIF(80:80,E20,81:81)-SUMIF(80:80,C20,81:81)+100</f>
        <v>100</v>
      </c>
      <c r="G19" s="3448"/>
      <c r="H19" s="3432">
        <f>SUMIF(80:80,G20,81:81)-SUMIF(80:80,C20,81:81)+100</f>
        <v>100</v>
      </c>
      <c r="I19" s="3446"/>
      <c r="J19" s="3432">
        <f>SUMIF(80:80,I20,81:81)-SUMIF(80:80,C20,81:81)+100</f>
        <v>100</v>
      </c>
      <c r="K19" s="3420">
        <v>2</v>
      </c>
      <c r="L19" s="3407"/>
      <c r="M19" s="3325"/>
      <c r="N19" s="3325"/>
      <c r="O19" s="3325"/>
      <c r="P19" s="3434"/>
      <c r="Q19" s="3422" t="str">
        <f>B19</f>
        <v>公共配套设施</v>
      </c>
      <c r="R19" s="3423" t="s">
        <v>3195</v>
      </c>
      <c r="S19" s="3424">
        <f>F19</f>
        <v>100</v>
      </c>
      <c r="T19" s="3423" t="s">
        <v>3195</v>
      </c>
      <c r="U19" s="3424">
        <f>H19</f>
        <v>100</v>
      </c>
      <c r="V19" s="3423" t="s">
        <v>3195</v>
      </c>
      <c r="W19" s="3424">
        <f>J19</f>
        <v>100</v>
      </c>
      <c r="X19" s="3331"/>
      <c r="Y19" s="3435"/>
      <c r="Z19" s="3426" t="str">
        <f>Q19</f>
        <v>公共配套设施</v>
      </c>
      <c r="AA19" s="3427">
        <f t="shared" si="3"/>
        <v>1</v>
      </c>
      <c r="AB19" s="3427">
        <f t="shared" si="4"/>
        <v>1</v>
      </c>
      <c r="AC19" s="3427">
        <f t="shared" si="5"/>
        <v>1</v>
      </c>
    </row>
    <row r="20" spans="1:29" ht="15">
      <c r="A20" s="3396"/>
      <c r="B20" s="3442"/>
      <c r="C20" s="3429" t="s">
        <v>3083</v>
      </c>
      <c r="D20" s="3430"/>
      <c r="E20" s="3449" t="s">
        <v>3083</v>
      </c>
      <c r="F20" s="3431"/>
      <c r="G20" s="3450" t="s">
        <v>3083</v>
      </c>
      <c r="H20" s="3430"/>
      <c r="I20" s="3449" t="s">
        <v>3083</v>
      </c>
      <c r="J20" s="3430"/>
      <c r="K20" s="3433"/>
      <c r="L20" s="3407"/>
      <c r="M20" s="3325"/>
      <c r="N20" s="3325"/>
      <c r="O20" s="3325"/>
      <c r="P20" s="3434"/>
      <c r="Q20" s="3422"/>
      <c r="R20" s="3423"/>
      <c r="S20" s="3424"/>
      <c r="T20" s="3423"/>
      <c r="U20" s="3424"/>
      <c r="V20" s="3423"/>
      <c r="W20" s="3424"/>
      <c r="X20" s="3331"/>
      <c r="Y20" s="3435"/>
      <c r="Z20" s="3426"/>
      <c r="AA20" s="3427">
        <v>1</v>
      </c>
      <c r="AB20" s="3427">
        <v>1</v>
      </c>
      <c r="AC20" s="3427">
        <v>1</v>
      </c>
    </row>
    <row r="21" spans="1:29" ht="28.5">
      <c r="A21" s="3396"/>
      <c r="B21" s="3451" t="s">
        <v>3199</v>
      </c>
      <c r="C21" s="3437" t="str">
        <f>[1]估价对象房地状况!C8</f>
        <v>估价对象所在区域基础设施水平</v>
      </c>
      <c r="D21" s="3441">
        <v>100</v>
      </c>
      <c r="E21" s="3446"/>
      <c r="F21" s="3447">
        <f>SUMIF(82:82,E22,83:83)-SUMIF(82:82,C22,83:83)+100</f>
        <v>100</v>
      </c>
      <c r="G21" s="3448"/>
      <c r="H21" s="3432">
        <f>SUMIF(82:82,G22,83:83)-SUMIF(82:82,C22,83:83)+100</f>
        <v>100</v>
      </c>
      <c r="I21" s="3446"/>
      <c r="J21" s="3432">
        <f>SUMIF(82:82,I22,83:83)-SUMIF(82:82,C22,83:83)+100</f>
        <v>100</v>
      </c>
      <c r="K21" s="3420">
        <v>2</v>
      </c>
      <c r="L21" s="3407"/>
      <c r="M21" s="3325"/>
      <c r="N21" s="3325"/>
      <c r="O21" s="3325"/>
      <c r="P21" s="3434"/>
      <c r="Q21" s="3422" t="str">
        <f>B21</f>
        <v>基础设施水平</v>
      </c>
      <c r="R21" s="3423" t="s">
        <v>3195</v>
      </c>
      <c r="S21" s="3424">
        <f>F21</f>
        <v>100</v>
      </c>
      <c r="T21" s="3423" t="s">
        <v>3195</v>
      </c>
      <c r="U21" s="3424">
        <f>H21</f>
        <v>100</v>
      </c>
      <c r="V21" s="3423" t="s">
        <v>3195</v>
      </c>
      <c r="W21" s="3424">
        <f>J21</f>
        <v>100</v>
      </c>
      <c r="X21" s="3331"/>
      <c r="Y21" s="3435"/>
      <c r="Z21" s="3426" t="str">
        <f>Q21</f>
        <v>基础设施水平</v>
      </c>
      <c r="AA21" s="3427">
        <f t="shared" ref="AA21" si="8">D21/F21</f>
        <v>1</v>
      </c>
      <c r="AB21" s="3427">
        <f t="shared" ref="AB21" si="9">D21/H21</f>
        <v>1</v>
      </c>
      <c r="AC21" s="3427">
        <f t="shared" ref="AC21" si="10">D21/J21</f>
        <v>1</v>
      </c>
    </row>
    <row r="22" spans="1:29" ht="15">
      <c r="A22" s="3396"/>
      <c r="B22" s="3451"/>
      <c r="C22" s="3443" t="s">
        <v>3160</v>
      </c>
      <c r="D22" s="3430"/>
      <c r="E22" s="3429" t="s">
        <v>3160</v>
      </c>
      <c r="F22" s="3431"/>
      <c r="G22" s="3429" t="s">
        <v>3160</v>
      </c>
      <c r="H22" s="3430"/>
      <c r="I22" s="3429" t="s">
        <v>3160</v>
      </c>
      <c r="J22" s="3430"/>
      <c r="K22" s="3452"/>
      <c r="L22" s="3407"/>
      <c r="M22" s="3325"/>
      <c r="N22" s="3325"/>
      <c r="O22" s="3325"/>
      <c r="P22" s="3434"/>
      <c r="Q22" s="3422"/>
      <c r="R22" s="3423"/>
      <c r="S22" s="3424"/>
      <c r="T22" s="3423"/>
      <c r="U22" s="3424"/>
      <c r="V22" s="3423"/>
      <c r="W22" s="3424"/>
      <c r="X22" s="3331"/>
      <c r="Y22" s="3435"/>
      <c r="Z22" s="3426"/>
      <c r="AA22" s="3427">
        <v>1</v>
      </c>
      <c r="AB22" s="3427">
        <v>1</v>
      </c>
      <c r="AC22" s="3427">
        <v>1</v>
      </c>
    </row>
    <row r="23" spans="1:29" ht="57">
      <c r="A23" s="3396"/>
      <c r="B23" s="3436" t="s">
        <v>2106</v>
      </c>
      <c r="C23" s="3453" t="str">
        <f>[1]估价对象房地状况!C9</f>
        <v>区域自然环境：；人文环境；综合评价环境状况一般</v>
      </c>
      <c r="D23" s="3432">
        <v>100</v>
      </c>
      <c r="E23" s="3438"/>
      <c r="F23" s="3439">
        <f>SUMIF(84:84,E24,85:85)-SUMIF(84:84,C24,85:85)+100</f>
        <v>100</v>
      </c>
      <c r="G23" s="3440"/>
      <c r="H23" s="3432">
        <f>SUMIF(84:84,G24,85:85)-SUMIF(84:84,C24,85:85)+100</f>
        <v>100</v>
      </c>
      <c r="I23" s="3438"/>
      <c r="J23" s="3432">
        <f>SUMIF(84:84,I24,85:85)-SUMIF(84:84,C24,85:85)+100</f>
        <v>100</v>
      </c>
      <c r="K23" s="3420">
        <v>2</v>
      </c>
      <c r="L23" s="3407"/>
      <c r="M23" s="3325"/>
      <c r="N23" s="3325"/>
      <c r="O23" s="3325"/>
      <c r="P23" s="3434"/>
      <c r="Q23" s="3422" t="str">
        <f>B23</f>
        <v>自然及人文环境</v>
      </c>
      <c r="R23" s="3423" t="s">
        <v>3195</v>
      </c>
      <c r="S23" s="3424">
        <f>F23</f>
        <v>100</v>
      </c>
      <c r="T23" s="3423" t="s">
        <v>3195</v>
      </c>
      <c r="U23" s="3424">
        <f>H23</f>
        <v>100</v>
      </c>
      <c r="V23" s="3423" t="s">
        <v>3195</v>
      </c>
      <c r="W23" s="3424">
        <f>J23</f>
        <v>100</v>
      </c>
      <c r="X23" s="3331"/>
      <c r="Y23" s="3435"/>
      <c r="Z23" s="3426" t="str">
        <f>Q23</f>
        <v>自然及人文环境</v>
      </c>
      <c r="AA23" s="3427">
        <f t="shared" si="3"/>
        <v>1</v>
      </c>
      <c r="AB23" s="3427">
        <f t="shared" si="4"/>
        <v>1</v>
      </c>
      <c r="AC23" s="3427">
        <f t="shared" si="5"/>
        <v>1</v>
      </c>
    </row>
    <row r="24" spans="1:29" ht="15">
      <c r="A24" s="3396"/>
      <c r="B24" s="3442"/>
      <c r="C24" s="3429" t="s">
        <v>3083</v>
      </c>
      <c r="D24" s="3430"/>
      <c r="E24" s="3449" t="s">
        <v>3083</v>
      </c>
      <c r="F24" s="3431"/>
      <c r="G24" s="3450" t="s">
        <v>3083</v>
      </c>
      <c r="H24" s="3430"/>
      <c r="I24" s="3449" t="s">
        <v>3083</v>
      </c>
      <c r="J24" s="3430"/>
      <c r="K24" s="3433"/>
      <c r="L24" s="3407"/>
      <c r="M24" s="3325"/>
      <c r="N24" s="3325"/>
      <c r="O24" s="3325"/>
      <c r="P24" s="3434"/>
      <c r="Q24" s="3422"/>
      <c r="R24" s="3423"/>
      <c r="S24" s="3424"/>
      <c r="T24" s="3423"/>
      <c r="U24" s="3424"/>
      <c r="V24" s="3423"/>
      <c r="W24" s="3424"/>
      <c r="X24" s="3331"/>
      <c r="Y24" s="3435"/>
      <c r="Z24" s="3426"/>
      <c r="AA24" s="3427">
        <v>1</v>
      </c>
      <c r="AB24" s="3427">
        <v>1</v>
      </c>
      <c r="AC24" s="3427">
        <v>1</v>
      </c>
    </row>
    <row r="25" spans="1:29" ht="15">
      <c r="A25" s="3396"/>
      <c r="B25" s="3387" t="s">
        <v>3200</v>
      </c>
      <c r="C25" s="3454" t="s">
        <v>3158</v>
      </c>
      <c r="D25" s="3406">
        <v>100</v>
      </c>
      <c r="E25" s="3454" t="s">
        <v>3139</v>
      </c>
      <c r="F25" s="3455">
        <f>SUMIF(86:86,E25,87:87)-SUMIF(86:86,C25,87:87)+100</f>
        <v>105</v>
      </c>
      <c r="G25" s="3454" t="s">
        <v>3139</v>
      </c>
      <c r="H25" s="3406">
        <f>SUMIF(86:86,G25,87:87)-SUMIF(86:86,C25,87:87)+100</f>
        <v>105</v>
      </c>
      <c r="I25" s="3454" t="s">
        <v>3139</v>
      </c>
      <c r="J25" s="3406">
        <f>SUMIF(86:86,I25,87:87)-SUMIF(86:86,C25,87:87)+100</f>
        <v>105</v>
      </c>
      <c r="K25" s="3392">
        <v>5</v>
      </c>
      <c r="L25" s="3407"/>
      <c r="M25" s="3325"/>
      <c r="N25" s="3325"/>
      <c r="O25" s="3325"/>
      <c r="P25" s="3434"/>
      <c r="Q25" s="3422" t="str">
        <f t="shared" ref="Q25:Q46" si="11">B25</f>
        <v>临街状况</v>
      </c>
      <c r="R25" s="3423" t="s">
        <v>3201</v>
      </c>
      <c r="S25" s="3424">
        <f>F25</f>
        <v>105</v>
      </c>
      <c r="T25" s="3423" t="s">
        <v>3195</v>
      </c>
      <c r="U25" s="3424">
        <f>H25</f>
        <v>105</v>
      </c>
      <c r="V25" s="3423" t="s">
        <v>3195</v>
      </c>
      <c r="W25" s="3424">
        <f>J25</f>
        <v>105</v>
      </c>
      <c r="X25" s="3331"/>
      <c r="Y25" s="3435"/>
      <c r="Z25" s="3426" t="str">
        <f>Q25</f>
        <v>临街状况</v>
      </c>
      <c r="AA25" s="3427">
        <f t="shared" si="3"/>
        <v>0.95238095238095233</v>
      </c>
      <c r="AB25" s="3427">
        <f t="shared" si="4"/>
        <v>0.95238095238095233</v>
      </c>
      <c r="AC25" s="3427">
        <f t="shared" si="5"/>
        <v>0.95238095238095233</v>
      </c>
    </row>
    <row r="26" spans="1:29" ht="15">
      <c r="A26" s="3396"/>
      <c r="B26" s="3456" t="s">
        <v>3202</v>
      </c>
      <c r="C26" s="3457" t="s">
        <v>3203</v>
      </c>
      <c r="D26" s="3406">
        <v>100</v>
      </c>
      <c r="E26" s="3457" t="s">
        <v>3203</v>
      </c>
      <c r="F26" s="3455">
        <f>SUMIF(88:88,E26,89:89)-SUMIF(88:88,C26,89:89)+100</f>
        <v>100</v>
      </c>
      <c r="G26" s="3457" t="s">
        <v>3203</v>
      </c>
      <c r="H26" s="3406">
        <f>SUMIF(88:88,G26,89:89)-SUMIF(88:88,C26,89:89)+100</f>
        <v>100</v>
      </c>
      <c r="I26" s="3457" t="s">
        <v>3203</v>
      </c>
      <c r="J26" s="3406">
        <f>SUMIF(88:88,I26,89:89)-SUMIF(88:88,C26,89:89)+100</f>
        <v>100</v>
      </c>
      <c r="K26" s="3405"/>
      <c r="L26" s="3407"/>
      <c r="M26" s="3325"/>
      <c r="N26" s="3325"/>
      <c r="O26" s="3325"/>
      <c r="P26" s="3434"/>
      <c r="Q26" s="3422" t="str">
        <f t="shared" si="11"/>
        <v>平面位置/可视性</v>
      </c>
      <c r="R26" s="3423" t="s">
        <v>3204</v>
      </c>
      <c r="S26" s="3424">
        <f>F26</f>
        <v>100</v>
      </c>
      <c r="T26" s="3423" t="s">
        <v>3205</v>
      </c>
      <c r="U26" s="3424">
        <f>H26</f>
        <v>100</v>
      </c>
      <c r="V26" s="3423" t="s">
        <v>3195</v>
      </c>
      <c r="W26" s="3424">
        <f>J26</f>
        <v>100</v>
      </c>
      <c r="X26" s="3331"/>
      <c r="Y26" s="3435"/>
      <c r="Z26" s="3426" t="str">
        <f>Q26</f>
        <v>平面位置/可视性</v>
      </c>
      <c r="AA26" s="3427">
        <f t="shared" si="3"/>
        <v>1</v>
      </c>
      <c r="AB26" s="3427">
        <f t="shared" si="4"/>
        <v>1</v>
      </c>
      <c r="AC26" s="3427">
        <f t="shared" si="5"/>
        <v>1</v>
      </c>
    </row>
    <row r="27" spans="1:29" s="3374" customFormat="1" ht="15">
      <c r="A27" s="3400"/>
      <c r="B27" s="3436" t="s">
        <v>3206</v>
      </c>
      <c r="C27" s="3458" t="s">
        <v>3147</v>
      </c>
      <c r="D27" s="3459">
        <v>100</v>
      </c>
      <c r="E27" s="3458" t="s">
        <v>3155</v>
      </c>
      <c r="F27" s="3460">
        <f>SUMIF(90:90,E27,91:91)-SUMIF(90:90,C27,91:91)+100</f>
        <v>105</v>
      </c>
      <c r="G27" s="3458" t="s">
        <v>3155</v>
      </c>
      <c r="H27" s="3459">
        <f>SUMIF(90:90,G27,91:91)-SUMIF(90:90,C27,91:91)+100</f>
        <v>105</v>
      </c>
      <c r="I27" s="3458" t="s">
        <v>3155</v>
      </c>
      <c r="J27" s="3459">
        <f>SUMIF(90:90,I27,91:91)-SUMIF(90:90,C27,91:91)+100</f>
        <v>105</v>
      </c>
      <c r="K27" s="3392">
        <v>5</v>
      </c>
      <c r="L27" s="3365"/>
      <c r="M27" s="3366"/>
      <c r="N27" s="3366"/>
      <c r="O27" s="3366"/>
      <c r="P27" s="3434"/>
      <c r="Q27" s="3383" t="str">
        <f t="shared" si="11"/>
        <v>人流量</v>
      </c>
      <c r="R27" s="3369" t="s">
        <v>3193</v>
      </c>
      <c r="S27" s="3370">
        <f>F27</f>
        <v>105</v>
      </c>
      <c r="T27" s="3369" t="s">
        <v>3205</v>
      </c>
      <c r="U27" s="3370">
        <f>H27</f>
        <v>105</v>
      </c>
      <c r="V27" s="3369" t="s">
        <v>3207</v>
      </c>
      <c r="W27" s="3370">
        <f>J27</f>
        <v>105</v>
      </c>
      <c r="X27" s="3371"/>
      <c r="Y27" s="3435"/>
      <c r="Z27" s="3385" t="str">
        <f>Q27</f>
        <v>人流量</v>
      </c>
      <c r="AA27" s="3427">
        <f>D27/F27</f>
        <v>0.95238095238095233</v>
      </c>
      <c r="AB27" s="3427">
        <f>D27/H27</f>
        <v>0.95238095238095233</v>
      </c>
      <c r="AC27" s="3427">
        <f>D27/J27</f>
        <v>0.95238095238095233</v>
      </c>
    </row>
    <row r="28" spans="1:29" ht="15">
      <c r="A28" s="3396"/>
      <c r="B28" s="3387" t="s">
        <v>3208</v>
      </c>
      <c r="C28" s="3454" t="s">
        <v>3123</v>
      </c>
      <c r="D28" s="3406">
        <v>100</v>
      </c>
      <c r="E28" s="3454" t="s">
        <v>3123</v>
      </c>
      <c r="F28" s="3455">
        <f>SUMIF(92:92,E28,93:93)-SUMIF(92:92,C28,93:93)+100</f>
        <v>100</v>
      </c>
      <c r="G28" s="3454" t="s">
        <v>3123</v>
      </c>
      <c r="H28" s="3406">
        <f>SUMIF(92:92,G28,93:93)-SUMIF(92:92,C28,93:93)+100</f>
        <v>100</v>
      </c>
      <c r="I28" s="3454" t="s">
        <v>3123</v>
      </c>
      <c r="J28" s="3406">
        <f>SUMIF(92:92,I28,93:93)-SUMIF(92:92,C28,93:93)+100</f>
        <v>100</v>
      </c>
      <c r="K28" s="3405"/>
      <c r="L28" s="3407"/>
      <c r="M28" s="3325"/>
      <c r="N28" s="3325"/>
      <c r="O28" s="3325"/>
      <c r="P28" s="3434"/>
      <c r="Q28" s="3422" t="str">
        <f t="shared" si="11"/>
        <v>楼层</v>
      </c>
      <c r="R28" s="3423" t="s">
        <v>3195</v>
      </c>
      <c r="S28" s="3424">
        <f t="shared" ref="S28:S46" si="12">F28</f>
        <v>100</v>
      </c>
      <c r="T28" s="3423" t="s">
        <v>3205</v>
      </c>
      <c r="U28" s="3424">
        <f t="shared" ref="U28:U46" si="13">H28</f>
        <v>100</v>
      </c>
      <c r="V28" s="3423" t="s">
        <v>3209</v>
      </c>
      <c r="W28" s="3424">
        <f t="shared" ref="W28:W46" si="14">J28</f>
        <v>100</v>
      </c>
      <c r="X28" s="3331"/>
      <c r="Y28" s="3435"/>
      <c r="Z28" s="3426" t="str">
        <f t="shared" ref="Z28:Z46" si="15">Q28</f>
        <v>楼层</v>
      </c>
      <c r="AA28" s="3427">
        <f t="shared" si="3"/>
        <v>1</v>
      </c>
      <c r="AB28" s="3427">
        <f t="shared" si="4"/>
        <v>1</v>
      </c>
      <c r="AC28" s="3427">
        <f t="shared" si="5"/>
        <v>1</v>
      </c>
    </row>
    <row r="29" spans="1:29" ht="15">
      <c r="A29" s="3396"/>
      <c r="B29" s="3456">
        <v>111</v>
      </c>
      <c r="C29" s="3404"/>
      <c r="D29" s="3406">
        <v>100</v>
      </c>
      <c r="E29" s="3404"/>
      <c r="F29" s="3455">
        <f>SUMIF(94:94,E29,95:95)-SUMIF(94:94,C29,95:95)+100</f>
        <v>100</v>
      </c>
      <c r="G29" s="3404"/>
      <c r="H29" s="3406">
        <f>SUMIF(94:94,G29,95:95)-SUMIF(94:94,C29,95:95)+100</f>
        <v>100</v>
      </c>
      <c r="I29" s="3404"/>
      <c r="J29" s="3406">
        <f>SUMIF(94:94,I29,95:95)-SUMIF(94:94,C29,95:95)+100</f>
        <v>100</v>
      </c>
      <c r="K29" s="3405"/>
      <c r="L29" s="3407"/>
      <c r="M29" s="3325"/>
      <c r="N29" s="3325"/>
      <c r="O29" s="3325"/>
      <c r="P29" s="3434"/>
      <c r="Q29" s="3422">
        <f t="shared" si="11"/>
        <v>111</v>
      </c>
      <c r="R29" s="3423" t="s">
        <v>3193</v>
      </c>
      <c r="S29" s="3424">
        <f t="shared" si="12"/>
        <v>100</v>
      </c>
      <c r="T29" s="3423" t="s">
        <v>3193</v>
      </c>
      <c r="U29" s="3424">
        <f t="shared" si="13"/>
        <v>100</v>
      </c>
      <c r="V29" s="3423" t="s">
        <v>3193</v>
      </c>
      <c r="W29" s="3424">
        <f t="shared" si="14"/>
        <v>100</v>
      </c>
      <c r="X29" s="3331"/>
      <c r="Y29" s="3435"/>
      <c r="Z29" s="3426">
        <f t="shared" si="15"/>
        <v>111</v>
      </c>
      <c r="AA29" s="3427">
        <f t="shared" si="3"/>
        <v>1</v>
      </c>
      <c r="AB29" s="3427">
        <f t="shared" si="4"/>
        <v>1</v>
      </c>
      <c r="AC29" s="3427">
        <f t="shared" si="5"/>
        <v>1</v>
      </c>
    </row>
    <row r="30" spans="1:29" ht="15">
      <c r="A30" s="3396"/>
      <c r="B30" s="3456">
        <v>111</v>
      </c>
      <c r="C30" s="3404"/>
      <c r="D30" s="3406">
        <v>100</v>
      </c>
      <c r="E30" s="3404"/>
      <c r="F30" s="3455">
        <f>SUMIF(96:96,E30,97:97)-SUMIF(96:96,C30,97:97)+100</f>
        <v>100</v>
      </c>
      <c r="G30" s="3404"/>
      <c r="H30" s="3406">
        <f>SUMIF(96:96,G30,97:97)-SUMIF(96:96,C30,97:97)+100</f>
        <v>100</v>
      </c>
      <c r="I30" s="3404"/>
      <c r="J30" s="3406">
        <f>SUMIF(96:96,I30,97:97)-SUMIF(96:96,C30,97:97)+100</f>
        <v>100</v>
      </c>
      <c r="K30" s="3405"/>
      <c r="L30" s="3407"/>
      <c r="M30" s="3325"/>
      <c r="N30" s="3325"/>
      <c r="O30" s="3325"/>
      <c r="P30" s="3434"/>
      <c r="Q30" s="3422">
        <f t="shared" si="11"/>
        <v>111</v>
      </c>
      <c r="R30" s="3423" t="s">
        <v>3193</v>
      </c>
      <c r="S30" s="3424">
        <f t="shared" si="12"/>
        <v>100</v>
      </c>
      <c r="T30" s="3423" t="s">
        <v>3193</v>
      </c>
      <c r="U30" s="3424">
        <f t="shared" si="13"/>
        <v>100</v>
      </c>
      <c r="V30" s="3423" t="s">
        <v>3193</v>
      </c>
      <c r="W30" s="3424">
        <f t="shared" si="14"/>
        <v>100</v>
      </c>
      <c r="X30" s="3331"/>
      <c r="Y30" s="3435"/>
      <c r="Z30" s="3426">
        <f t="shared" si="15"/>
        <v>111</v>
      </c>
      <c r="AA30" s="3427">
        <f t="shared" si="3"/>
        <v>1</v>
      </c>
      <c r="AB30" s="3427">
        <f t="shared" si="4"/>
        <v>1</v>
      </c>
      <c r="AC30" s="3427">
        <f t="shared" si="5"/>
        <v>1</v>
      </c>
    </row>
    <row r="31" spans="1:29" ht="15.75" thickBot="1">
      <c r="A31" s="3408"/>
      <c r="B31" s="3456">
        <v>111</v>
      </c>
      <c r="C31" s="3410"/>
      <c r="D31" s="3411">
        <v>100</v>
      </c>
      <c r="E31" s="3404"/>
      <c r="F31" s="3412">
        <f>SUMIF(98:98,E31,99:99)-SUMIF(98:98,C31,99:99)+100</f>
        <v>100</v>
      </c>
      <c r="G31" s="3404"/>
      <c r="H31" s="3411">
        <f>SUMIF(98:98,G31,99:99)-SUMIF(98:98,C31,99:99)+100</f>
        <v>100</v>
      </c>
      <c r="I31" s="3404"/>
      <c r="J31" s="3411">
        <f>SUMIF(98:98,I31,99:99)-SUMIF(98:98,C31,99:99)+100</f>
        <v>100</v>
      </c>
      <c r="K31" s="3405"/>
      <c r="L31" s="3407"/>
      <c r="M31" s="3325"/>
      <c r="N31" s="3325"/>
      <c r="O31" s="3325"/>
      <c r="P31" s="3434"/>
      <c r="Q31" s="3422">
        <f t="shared" si="11"/>
        <v>111</v>
      </c>
      <c r="R31" s="3423" t="s">
        <v>3193</v>
      </c>
      <c r="S31" s="3424">
        <f t="shared" si="12"/>
        <v>100</v>
      </c>
      <c r="T31" s="3423" t="s">
        <v>3193</v>
      </c>
      <c r="U31" s="3424">
        <f t="shared" si="13"/>
        <v>100</v>
      </c>
      <c r="V31" s="3423" t="s">
        <v>3193</v>
      </c>
      <c r="W31" s="3424">
        <f t="shared" si="14"/>
        <v>100</v>
      </c>
      <c r="X31" s="3331"/>
      <c r="Y31" s="3435"/>
      <c r="Z31" s="3426">
        <f t="shared" si="15"/>
        <v>111</v>
      </c>
      <c r="AA31" s="3427">
        <f t="shared" si="3"/>
        <v>1</v>
      </c>
      <c r="AB31" s="3427">
        <f t="shared" si="4"/>
        <v>1</v>
      </c>
      <c r="AC31" s="3427">
        <f t="shared" si="5"/>
        <v>1</v>
      </c>
    </row>
    <row r="32" spans="1:29" ht="15">
      <c r="A32" s="3413" t="s">
        <v>2568</v>
      </c>
      <c r="B32" s="3377" t="s">
        <v>2686</v>
      </c>
      <c r="C32" s="3461" t="s">
        <v>3142</v>
      </c>
      <c r="D32" s="3462">
        <v>100</v>
      </c>
      <c r="E32" s="3461" t="s">
        <v>3141</v>
      </c>
      <c r="F32" s="3455">
        <f>SUMIF(100:100,E32,101:101)-SUMIF(100:100,C32,101:101)+100</f>
        <v>94</v>
      </c>
      <c r="G32" s="3461" t="s">
        <v>3210</v>
      </c>
      <c r="H32" s="3406">
        <f>SUMIF(100:100,G32,101:101)-SUMIF(100:100,C32,101:101)+100</f>
        <v>96</v>
      </c>
      <c r="I32" s="3461" t="s">
        <v>3141</v>
      </c>
      <c r="J32" s="3462">
        <f>SUMIF(100:100,I32,101:101)-SUMIF(100:100,C32,101:101)+100</f>
        <v>94</v>
      </c>
      <c r="K32" s="3392">
        <v>2</v>
      </c>
      <c r="L32" s="3407"/>
      <c r="M32" s="3325"/>
      <c r="N32" s="3325"/>
      <c r="O32" s="3325"/>
      <c r="P32" s="3463" t="s">
        <v>2570</v>
      </c>
      <c r="Q32" s="3422" t="str">
        <f t="shared" si="11"/>
        <v>商业类型</v>
      </c>
      <c r="R32" s="3423" t="s">
        <v>3195</v>
      </c>
      <c r="S32" s="3424">
        <f t="shared" si="12"/>
        <v>94</v>
      </c>
      <c r="T32" s="3423" t="s">
        <v>3195</v>
      </c>
      <c r="U32" s="3424">
        <f t="shared" si="13"/>
        <v>96</v>
      </c>
      <c r="V32" s="3423" t="s">
        <v>3195</v>
      </c>
      <c r="W32" s="3424">
        <f t="shared" si="14"/>
        <v>94</v>
      </c>
      <c r="X32" s="3331"/>
      <c r="Y32" s="3464" t="s">
        <v>3211</v>
      </c>
      <c r="Z32" s="3426" t="str">
        <f t="shared" si="15"/>
        <v>商业类型</v>
      </c>
      <c r="AA32" s="3427">
        <f t="shared" si="3"/>
        <v>1.0638297872340425</v>
      </c>
      <c r="AB32" s="3427">
        <f t="shared" si="4"/>
        <v>1.0416666666666667</v>
      </c>
      <c r="AC32" s="3427">
        <f t="shared" si="5"/>
        <v>1.0638297872340425</v>
      </c>
    </row>
    <row r="33" spans="1:29" s="3474" customFormat="1" ht="15">
      <c r="A33" s="3465"/>
      <c r="B33" s="3387" t="s">
        <v>2571</v>
      </c>
      <c r="C33" s="3466">
        <f>'比较法-商业'!C33</f>
        <v>9000</v>
      </c>
      <c r="D33" s="3389">
        <v>100</v>
      </c>
      <c r="E33" s="3398">
        <v>488</v>
      </c>
      <c r="F33" s="3391">
        <f>LOOKUP(E33,103:103,104:104)-LOOKUP(C33,103:103,104:104)+100</f>
        <v>106</v>
      </c>
      <c r="G33" s="3397">
        <v>500</v>
      </c>
      <c r="H33" s="3389">
        <f>LOOKUP(G33,103:103,104:104)-LOOKUP(C33,103:103,104:104)+100</f>
        <v>104</v>
      </c>
      <c r="I33" s="3397">
        <v>408</v>
      </c>
      <c r="J33" s="3389">
        <f>LOOKUP(I33,103:103,104:104)-LOOKUP(C33,103:103,104:104)+100</f>
        <v>106</v>
      </c>
      <c r="K33" s="3405"/>
      <c r="L33" s="3399"/>
      <c r="M33" s="3467"/>
      <c r="N33" s="3467"/>
      <c r="O33" s="3467"/>
      <c r="P33" s="3468"/>
      <c r="Q33" s="3469" t="str">
        <f t="shared" si="11"/>
        <v>项目建筑规模</v>
      </c>
      <c r="R33" s="3470" t="s">
        <v>3212</v>
      </c>
      <c r="S33" s="3471">
        <f t="shared" si="12"/>
        <v>106</v>
      </c>
      <c r="T33" s="3470" t="s">
        <v>3212</v>
      </c>
      <c r="U33" s="3471">
        <f t="shared" si="13"/>
        <v>104</v>
      </c>
      <c r="V33" s="3470" t="s">
        <v>3212</v>
      </c>
      <c r="W33" s="3471">
        <f t="shared" si="14"/>
        <v>106</v>
      </c>
      <c r="X33" s="3472"/>
      <c r="Y33" s="3464"/>
      <c r="Z33" s="3473" t="str">
        <f t="shared" si="15"/>
        <v>项目建筑规模</v>
      </c>
      <c r="AA33" s="3427">
        <f t="shared" si="3"/>
        <v>0.94339622641509435</v>
      </c>
      <c r="AB33" s="3427">
        <f t="shared" si="4"/>
        <v>0.96153846153846156</v>
      </c>
      <c r="AC33" s="3427">
        <f t="shared" si="5"/>
        <v>0.94339622641509435</v>
      </c>
    </row>
    <row r="34" spans="1:29" ht="15">
      <c r="A34" s="3475"/>
      <c r="B34" s="3387" t="s">
        <v>2572</v>
      </c>
      <c r="C34" s="3476" t="s">
        <v>3153</v>
      </c>
      <c r="D34" s="3406">
        <v>100</v>
      </c>
      <c r="E34" s="3476" t="s">
        <v>3153</v>
      </c>
      <c r="F34" s="3455">
        <f>SUMIF(105:105,E34,106:106)-SUMIF(105:105,C34,106:106)+100</f>
        <v>100</v>
      </c>
      <c r="G34" s="3476" t="s">
        <v>3153</v>
      </c>
      <c r="H34" s="3406">
        <f>SUMIF(105:105,G34,106:106)-SUMIF(105:105,C34,106:106)+100</f>
        <v>100</v>
      </c>
      <c r="I34" s="3476" t="s">
        <v>3153</v>
      </c>
      <c r="J34" s="3406">
        <f>SUMIF(105:105,I34,106:106)-SUMIF(105:105,C34,106:106)+100</f>
        <v>100</v>
      </c>
      <c r="K34" s="3392">
        <v>1</v>
      </c>
      <c r="L34" s="3407"/>
      <c r="M34" s="3325"/>
      <c r="N34" s="3325"/>
      <c r="O34" s="3325"/>
      <c r="P34" s="3468"/>
      <c r="Q34" s="3422" t="str">
        <f t="shared" si="11"/>
        <v>建筑结构</v>
      </c>
      <c r="R34" s="3423" t="s">
        <v>3195</v>
      </c>
      <c r="S34" s="3424">
        <f t="shared" si="12"/>
        <v>100</v>
      </c>
      <c r="T34" s="3423" t="s">
        <v>3195</v>
      </c>
      <c r="U34" s="3424">
        <f t="shared" si="13"/>
        <v>100</v>
      </c>
      <c r="V34" s="3423" t="s">
        <v>3195</v>
      </c>
      <c r="W34" s="3424">
        <f t="shared" si="14"/>
        <v>100</v>
      </c>
      <c r="X34" s="3331"/>
      <c r="Y34" s="3464"/>
      <c r="Z34" s="3426" t="str">
        <f t="shared" si="15"/>
        <v>建筑结构</v>
      </c>
      <c r="AA34" s="3427">
        <f t="shared" si="3"/>
        <v>1</v>
      </c>
      <c r="AB34" s="3427">
        <f t="shared" si="4"/>
        <v>1</v>
      </c>
      <c r="AC34" s="3427">
        <f t="shared" si="5"/>
        <v>1</v>
      </c>
    </row>
    <row r="35" spans="1:29" ht="15">
      <c r="A35" s="3475"/>
      <c r="B35" s="3387" t="s">
        <v>3213</v>
      </c>
      <c r="C35" s="3477" t="s">
        <v>3156</v>
      </c>
      <c r="D35" s="3406">
        <v>100</v>
      </c>
      <c r="E35" s="3477" t="s">
        <v>3156</v>
      </c>
      <c r="F35" s="3455">
        <f>SUMIF(107:107,E35,108:108)-SUMIF(107:107,C35,108:108)+100</f>
        <v>100</v>
      </c>
      <c r="G35" s="3477" t="s">
        <v>3156</v>
      </c>
      <c r="H35" s="3406">
        <f>SUMIF(107:107,G35,108:108)-SUMIF(107:107,C35,108:108)+100</f>
        <v>100</v>
      </c>
      <c r="I35" s="3477" t="s">
        <v>3156</v>
      </c>
      <c r="J35" s="3406">
        <f>SUMIF(107:107,I35,108:108)-SUMIF(107:107,C35,108:108)+100</f>
        <v>100</v>
      </c>
      <c r="K35" s="3392">
        <v>1</v>
      </c>
      <c r="L35" s="3407"/>
      <c r="M35" s="3325"/>
      <c r="N35" s="3325"/>
      <c r="O35" s="3325"/>
      <c r="P35" s="3468"/>
      <c r="Q35" s="3422" t="str">
        <f t="shared" si="11"/>
        <v>公共部分装修</v>
      </c>
      <c r="R35" s="3423" t="s">
        <v>3195</v>
      </c>
      <c r="S35" s="3424">
        <f t="shared" si="12"/>
        <v>100</v>
      </c>
      <c r="T35" s="3423" t="s">
        <v>3195</v>
      </c>
      <c r="U35" s="3424">
        <f t="shared" si="13"/>
        <v>100</v>
      </c>
      <c r="V35" s="3423" t="s">
        <v>3195</v>
      </c>
      <c r="W35" s="3424">
        <f t="shared" si="14"/>
        <v>100</v>
      </c>
      <c r="X35" s="3331"/>
      <c r="Y35" s="3464"/>
      <c r="Z35" s="3426" t="str">
        <f t="shared" si="15"/>
        <v>公共部分装修</v>
      </c>
      <c r="AA35" s="3427">
        <f t="shared" si="3"/>
        <v>1</v>
      </c>
      <c r="AB35" s="3427">
        <f t="shared" si="4"/>
        <v>1</v>
      </c>
      <c r="AC35" s="3427">
        <f t="shared" si="5"/>
        <v>1</v>
      </c>
    </row>
    <row r="36" spans="1:29" ht="15">
      <c r="A36" s="3475"/>
      <c r="B36" s="3387" t="s">
        <v>3214</v>
      </c>
      <c r="C36" s="3478">
        <v>0.95</v>
      </c>
      <c r="D36" s="3406">
        <v>100</v>
      </c>
      <c r="E36" s="3478">
        <v>0.8</v>
      </c>
      <c r="F36" s="3455">
        <f>LOOKUP(E36,110:110,111:111)-LOOKUP(C36,110:110,111:111)+100</f>
        <v>99</v>
      </c>
      <c r="G36" s="3478">
        <v>0.8</v>
      </c>
      <c r="H36" s="3455">
        <f>LOOKUP(G36,110:110,111:111)-LOOKUP(C36,110:110,111:111)+100</f>
        <v>99</v>
      </c>
      <c r="I36" s="3478">
        <v>0.8</v>
      </c>
      <c r="J36" s="3406">
        <f>LOOKUP(I36,110:110,111:111)-LOOKUP(C36,110:110,111:111)+100</f>
        <v>99</v>
      </c>
      <c r="K36" s="3392">
        <v>1</v>
      </c>
      <c r="L36" s="3407"/>
      <c r="M36" s="3325"/>
      <c r="N36" s="3325"/>
      <c r="O36" s="3325"/>
      <c r="P36" s="3468"/>
      <c r="Q36" s="3422" t="str">
        <f t="shared" si="11"/>
        <v>成新度</v>
      </c>
      <c r="R36" s="3423" t="s">
        <v>3193</v>
      </c>
      <c r="S36" s="3424">
        <f t="shared" si="12"/>
        <v>99</v>
      </c>
      <c r="T36" s="3423" t="s">
        <v>3193</v>
      </c>
      <c r="U36" s="3424">
        <f t="shared" si="13"/>
        <v>99</v>
      </c>
      <c r="V36" s="3423" t="s">
        <v>3193</v>
      </c>
      <c r="W36" s="3424">
        <f t="shared" si="14"/>
        <v>99</v>
      </c>
      <c r="X36" s="3331"/>
      <c r="Y36" s="3464"/>
      <c r="Z36" s="3426" t="str">
        <f t="shared" si="15"/>
        <v>成新度</v>
      </c>
      <c r="AA36" s="3427">
        <f t="shared" si="3"/>
        <v>1.0101010101010102</v>
      </c>
      <c r="AB36" s="3427">
        <f t="shared" si="4"/>
        <v>1.0101010101010102</v>
      </c>
      <c r="AC36" s="3427">
        <f t="shared" si="5"/>
        <v>1.0101010101010102</v>
      </c>
    </row>
    <row r="37" spans="1:29" s="3374" customFormat="1" ht="15">
      <c r="A37" s="3479"/>
      <c r="B37" s="3387" t="s">
        <v>2623</v>
      </c>
      <c r="C37" s="3477" t="s">
        <v>3160</v>
      </c>
      <c r="D37" s="3389">
        <v>100</v>
      </c>
      <c r="E37" s="3477" t="s">
        <v>3160</v>
      </c>
      <c r="F37" s="3455">
        <f>SUMIF(112:112,E37,113:113)-SUMIF(112:112,C37,113:113)+100</f>
        <v>100</v>
      </c>
      <c r="G37" s="3477" t="s">
        <v>3160</v>
      </c>
      <c r="H37" s="3406">
        <f>SUMIF(112:112,G37,113:113)-SUMIF(112:112,C37,113:113)+100</f>
        <v>100</v>
      </c>
      <c r="I37" s="3477" t="s">
        <v>3160</v>
      </c>
      <c r="J37" s="3406">
        <f>SUMIF(112:112,I37,113:113)-SUMIF(112:112,C37,113:113)+100</f>
        <v>100</v>
      </c>
      <c r="K37" s="3392">
        <v>2</v>
      </c>
      <c r="L37" s="3365"/>
      <c r="M37" s="3366"/>
      <c r="N37" s="3366"/>
      <c r="O37" s="3366"/>
      <c r="P37" s="3468"/>
      <c r="Q37" s="3383" t="str">
        <f t="shared" si="11"/>
        <v>市政基础设施</v>
      </c>
      <c r="R37" s="3369" t="s">
        <v>3201</v>
      </c>
      <c r="S37" s="3370">
        <f t="shared" si="12"/>
        <v>100</v>
      </c>
      <c r="T37" s="3369" t="s">
        <v>3201</v>
      </c>
      <c r="U37" s="3370">
        <f t="shared" si="13"/>
        <v>100</v>
      </c>
      <c r="V37" s="3369" t="s">
        <v>3201</v>
      </c>
      <c r="W37" s="3370">
        <f t="shared" si="14"/>
        <v>100</v>
      </c>
      <c r="X37" s="3371"/>
      <c r="Y37" s="3464"/>
      <c r="Z37" s="3385" t="str">
        <f t="shared" si="15"/>
        <v>市政基础设施</v>
      </c>
      <c r="AA37" s="3373">
        <f t="shared" si="3"/>
        <v>1</v>
      </c>
      <c r="AB37" s="3373">
        <f t="shared" si="4"/>
        <v>1</v>
      </c>
      <c r="AC37" s="3373">
        <f t="shared" si="5"/>
        <v>1</v>
      </c>
    </row>
    <row r="38" spans="1:29" ht="15">
      <c r="A38" s="3475"/>
      <c r="B38" s="3387" t="s">
        <v>3215</v>
      </c>
      <c r="C38" s="3477" t="s">
        <v>3144</v>
      </c>
      <c r="D38" s="3406">
        <v>100</v>
      </c>
      <c r="E38" s="3477" t="s">
        <v>3143</v>
      </c>
      <c r="F38" s="3455">
        <f>SUMIF(114:114,E38,115:115)-SUMIF(114:114,C38,115:115)+100</f>
        <v>95</v>
      </c>
      <c r="G38" s="3477" t="s">
        <v>3143</v>
      </c>
      <c r="H38" s="3406">
        <f>SUMIF(114:114,G38,115:115)-SUMIF(114:114,C38,115:115)+100</f>
        <v>95</v>
      </c>
      <c r="I38" s="3477" t="s">
        <v>3143</v>
      </c>
      <c r="J38" s="3406">
        <f>SUMIF(114:114,I38,115:115)-SUMIF(114:114,C38,115:115)+100</f>
        <v>95</v>
      </c>
      <c r="K38" s="3392">
        <v>5</v>
      </c>
      <c r="L38" s="3407"/>
      <c r="M38" s="3325"/>
      <c r="N38" s="3325"/>
      <c r="O38" s="3325"/>
      <c r="P38" s="3468" t="s">
        <v>3216</v>
      </c>
      <c r="Q38" s="3422" t="str">
        <f t="shared" si="11"/>
        <v>业态</v>
      </c>
      <c r="R38" s="3423" t="s">
        <v>3217</v>
      </c>
      <c r="S38" s="3424">
        <f t="shared" si="12"/>
        <v>95</v>
      </c>
      <c r="T38" s="3423" t="s">
        <v>3217</v>
      </c>
      <c r="U38" s="3424">
        <f t="shared" si="13"/>
        <v>95</v>
      </c>
      <c r="V38" s="3423" t="s">
        <v>3217</v>
      </c>
      <c r="W38" s="3424">
        <f t="shared" si="14"/>
        <v>95</v>
      </c>
      <c r="X38" s="3331"/>
      <c r="Y38" s="3464" t="s">
        <v>3216</v>
      </c>
      <c r="Z38" s="3426" t="str">
        <f t="shared" si="15"/>
        <v>业态</v>
      </c>
      <c r="AA38" s="3427">
        <f t="shared" si="3"/>
        <v>1.0526315789473684</v>
      </c>
      <c r="AB38" s="3427">
        <f t="shared" si="4"/>
        <v>1.0526315789473684</v>
      </c>
      <c r="AC38" s="3427">
        <f t="shared" si="5"/>
        <v>1.0526315789473684</v>
      </c>
    </row>
    <row r="39" spans="1:29" ht="15">
      <c r="A39" s="3475"/>
      <c r="B39" s="3387" t="s">
        <v>3218</v>
      </c>
      <c r="C39" s="3477" t="s">
        <v>3146</v>
      </c>
      <c r="D39" s="3406">
        <v>100</v>
      </c>
      <c r="E39" s="3477" t="s">
        <v>3145</v>
      </c>
      <c r="F39" s="3455">
        <f>SUMIF(116:116,E39,117:117)-SUMIF(116:116,C39,117:117)+100</f>
        <v>98</v>
      </c>
      <c r="G39" s="3477" t="s">
        <v>3145</v>
      </c>
      <c r="H39" s="3406">
        <f>SUMIF(116:116,G39,117:117)-SUMIF(116:116,C39,117:117)+100</f>
        <v>98</v>
      </c>
      <c r="I39" s="3477" t="s">
        <v>3145</v>
      </c>
      <c r="J39" s="3406">
        <f>SUMIF(116:116,I39,117:117)-SUMIF(116:116,C39,117:117)+100</f>
        <v>98</v>
      </c>
      <c r="K39" s="3392">
        <v>2</v>
      </c>
      <c r="L39" s="3407"/>
      <c r="M39" s="3325"/>
      <c r="N39" s="3325"/>
      <c r="O39" s="3325"/>
      <c r="P39" s="3468"/>
      <c r="Q39" s="3422" t="str">
        <f t="shared" si="11"/>
        <v>层高</v>
      </c>
      <c r="R39" s="3423" t="s">
        <v>3217</v>
      </c>
      <c r="S39" s="3424">
        <f t="shared" si="12"/>
        <v>98</v>
      </c>
      <c r="T39" s="3423" t="s">
        <v>3217</v>
      </c>
      <c r="U39" s="3424">
        <f t="shared" si="13"/>
        <v>98</v>
      </c>
      <c r="V39" s="3423" t="s">
        <v>3217</v>
      </c>
      <c r="W39" s="3424">
        <f t="shared" si="14"/>
        <v>98</v>
      </c>
      <c r="X39" s="3331"/>
      <c r="Y39" s="3464"/>
      <c r="Z39" s="3426" t="str">
        <f t="shared" si="15"/>
        <v>层高</v>
      </c>
      <c r="AA39" s="3427">
        <f t="shared" si="3"/>
        <v>1.0204081632653061</v>
      </c>
      <c r="AB39" s="3427">
        <f t="shared" si="4"/>
        <v>1.0204081632653061</v>
      </c>
      <c r="AC39" s="3427">
        <f t="shared" si="5"/>
        <v>1.0204081632653061</v>
      </c>
    </row>
    <row r="40" spans="1:29" ht="15">
      <c r="A40" s="3475"/>
      <c r="B40" s="3387" t="s">
        <v>3219</v>
      </c>
      <c r="C40" s="3480"/>
      <c r="D40" s="3406">
        <v>100</v>
      </c>
      <c r="E40" s="3481"/>
      <c r="F40" s="3455">
        <f>SUMIF(118:118,E40,119:119)-SUMIF(118:118,C40,119:119)+100</f>
        <v>100</v>
      </c>
      <c r="G40" s="3481"/>
      <c r="H40" s="3406">
        <f>SUMIF(118:118,G40,119:119)-SUMIF(118:118,C40,119:119)+100</f>
        <v>100</v>
      </c>
      <c r="I40" s="3481"/>
      <c r="J40" s="3406">
        <f>SUMIF(118:118,I40,119:119)-SUMIF(118:118,C40,119:119)+100</f>
        <v>100</v>
      </c>
      <c r="K40" s="3405"/>
      <c r="L40" s="3407"/>
      <c r="M40" s="3325"/>
      <c r="N40" s="3325"/>
      <c r="O40" s="3325"/>
      <c r="P40" s="3468"/>
      <c r="Q40" s="3422" t="str">
        <f t="shared" si="11"/>
        <v>单套建筑面积</v>
      </c>
      <c r="R40" s="3423" t="s">
        <v>3217</v>
      </c>
      <c r="S40" s="3424">
        <f t="shared" si="12"/>
        <v>100</v>
      </c>
      <c r="T40" s="3423" t="s">
        <v>3217</v>
      </c>
      <c r="U40" s="3424">
        <f t="shared" si="13"/>
        <v>100</v>
      </c>
      <c r="V40" s="3423" t="s">
        <v>3217</v>
      </c>
      <c r="W40" s="3424">
        <f t="shared" si="14"/>
        <v>100</v>
      </c>
      <c r="X40" s="3331"/>
      <c r="Y40" s="3464"/>
      <c r="Z40" s="3426" t="str">
        <f t="shared" si="15"/>
        <v>单套建筑面积</v>
      </c>
      <c r="AA40" s="3427">
        <f t="shared" si="3"/>
        <v>1</v>
      </c>
      <c r="AB40" s="3427">
        <f t="shared" si="4"/>
        <v>1</v>
      </c>
      <c r="AC40" s="3427">
        <f t="shared" si="5"/>
        <v>1</v>
      </c>
    </row>
    <row r="41" spans="1:29" s="3474" customFormat="1" ht="15">
      <c r="A41" s="3465"/>
      <c r="B41" s="3482" t="s">
        <v>3220</v>
      </c>
      <c r="C41" s="3454"/>
      <c r="D41" s="3406">
        <v>100</v>
      </c>
      <c r="E41" s="3454"/>
      <c r="F41" s="3455">
        <f>SUMIF(120:120,E41,121:121)-SUMIF(120:120,C41,121:121)+100</f>
        <v>100</v>
      </c>
      <c r="G41" s="3454"/>
      <c r="H41" s="3406">
        <f>SUMIF(120:120,G41,121:121)-SUMIF(120:120,C41,121:121)+100</f>
        <v>100</v>
      </c>
      <c r="I41" s="3454"/>
      <c r="J41" s="3406">
        <f>SUMIF(120:120,I41,121:121)-SUMIF(120:120,C41,121:121)+100</f>
        <v>100</v>
      </c>
      <c r="K41" s="3392">
        <v>3</v>
      </c>
      <c r="L41" s="3399"/>
      <c r="M41" s="3467"/>
      <c r="N41" s="3467"/>
      <c r="O41" s="3467"/>
      <c r="P41" s="3468"/>
      <c r="Q41" s="3469" t="str">
        <f t="shared" si="11"/>
        <v>进深比</v>
      </c>
      <c r="R41" s="3470" t="s">
        <v>3221</v>
      </c>
      <c r="S41" s="3471">
        <f t="shared" si="12"/>
        <v>100</v>
      </c>
      <c r="T41" s="3470" t="s">
        <v>3221</v>
      </c>
      <c r="U41" s="3471">
        <f t="shared" si="13"/>
        <v>100</v>
      </c>
      <c r="V41" s="3470" t="s">
        <v>3221</v>
      </c>
      <c r="W41" s="3471">
        <f t="shared" si="14"/>
        <v>100</v>
      </c>
      <c r="X41" s="3472"/>
      <c r="Y41" s="3464"/>
      <c r="Z41" s="3473" t="str">
        <f t="shared" si="15"/>
        <v>进深比</v>
      </c>
      <c r="AA41" s="3427">
        <f t="shared" si="3"/>
        <v>1</v>
      </c>
      <c r="AB41" s="3427">
        <f t="shared" si="4"/>
        <v>1</v>
      </c>
      <c r="AC41" s="3427">
        <f t="shared" si="5"/>
        <v>1</v>
      </c>
    </row>
    <row r="42" spans="1:29" ht="15">
      <c r="A42" s="3475"/>
      <c r="B42" s="3387" t="s">
        <v>3222</v>
      </c>
      <c r="C42" s="3477" t="s">
        <v>3156</v>
      </c>
      <c r="D42" s="3406">
        <v>100</v>
      </c>
      <c r="E42" s="3477" t="s">
        <v>3223</v>
      </c>
      <c r="F42" s="3455">
        <f>SUMIF(122:122,E42,123:123)-SUMIF(122:122,C42,123:123)+100</f>
        <v>91</v>
      </c>
      <c r="G42" s="3477" t="s">
        <v>3223</v>
      </c>
      <c r="H42" s="3406">
        <f>SUMIF(122:122,G42,123:123)-SUMIF(122:122,C42,123:123)+100</f>
        <v>91</v>
      </c>
      <c r="I42" s="3477" t="s">
        <v>3223</v>
      </c>
      <c r="J42" s="3406">
        <f>SUMIF(122:122,I42,123:123)-SUMIF(122:122,C42,123:123)+100</f>
        <v>91</v>
      </c>
      <c r="K42" s="3392">
        <v>3</v>
      </c>
      <c r="L42" s="3407"/>
      <c r="M42" s="3325"/>
      <c r="N42" s="3325"/>
      <c r="O42" s="3325"/>
      <c r="P42" s="3468"/>
      <c r="Q42" s="3422" t="str">
        <f t="shared" si="11"/>
        <v>内部装修</v>
      </c>
      <c r="R42" s="3423" t="s">
        <v>3221</v>
      </c>
      <c r="S42" s="3424">
        <f t="shared" si="12"/>
        <v>91</v>
      </c>
      <c r="T42" s="3423" t="s">
        <v>3221</v>
      </c>
      <c r="U42" s="3424">
        <f t="shared" si="13"/>
        <v>91</v>
      </c>
      <c r="V42" s="3423" t="s">
        <v>3221</v>
      </c>
      <c r="W42" s="3424">
        <f t="shared" si="14"/>
        <v>91</v>
      </c>
      <c r="X42" s="3331"/>
      <c r="Y42" s="3464"/>
      <c r="Z42" s="3426" t="str">
        <f t="shared" si="15"/>
        <v>内部装修</v>
      </c>
      <c r="AA42" s="3427">
        <f t="shared" si="3"/>
        <v>1.098901098901099</v>
      </c>
      <c r="AB42" s="3427">
        <f t="shared" si="4"/>
        <v>1.098901098901099</v>
      </c>
      <c r="AC42" s="3427">
        <f t="shared" si="5"/>
        <v>1.098901098901099</v>
      </c>
    </row>
    <row r="43" spans="1:29" ht="15">
      <c r="A43" s="3475"/>
      <c r="B43" s="3387" t="s">
        <v>2581</v>
      </c>
      <c r="C43" s="3477" t="s">
        <v>3084</v>
      </c>
      <c r="D43" s="3406">
        <v>100</v>
      </c>
      <c r="E43" s="3477" t="s">
        <v>3084</v>
      </c>
      <c r="F43" s="3455">
        <f>SUMIF(124:124,E43,125:125)-SUMIF(124:124,C43,125:125)+100</f>
        <v>100</v>
      </c>
      <c r="G43" s="3477" t="s">
        <v>3084</v>
      </c>
      <c r="H43" s="3406">
        <f>SUMIF(124:124,G43,125:125)-SUMIF(124:124,C43,125:125)+100</f>
        <v>100</v>
      </c>
      <c r="I43" s="3477" t="s">
        <v>3084</v>
      </c>
      <c r="J43" s="3406">
        <f>SUMIF(124:124,I43,125:125)-SUMIF(124:124,C43,125:125)+100</f>
        <v>100</v>
      </c>
      <c r="K43" s="3392">
        <v>3</v>
      </c>
      <c r="L43" s="3407"/>
      <c r="M43" s="3325"/>
      <c r="N43" s="3325"/>
      <c r="O43" s="3325"/>
      <c r="P43" s="3468"/>
      <c r="Q43" s="3422" t="str">
        <f t="shared" si="11"/>
        <v>内部装修维护情况</v>
      </c>
      <c r="R43" s="3423" t="s">
        <v>3224</v>
      </c>
      <c r="S43" s="3424">
        <f t="shared" si="12"/>
        <v>100</v>
      </c>
      <c r="T43" s="3423" t="s">
        <v>3224</v>
      </c>
      <c r="U43" s="3424">
        <f t="shared" si="13"/>
        <v>100</v>
      </c>
      <c r="V43" s="3423" t="s">
        <v>3224</v>
      </c>
      <c r="W43" s="3424">
        <f t="shared" si="14"/>
        <v>100</v>
      </c>
      <c r="X43" s="3331"/>
      <c r="Y43" s="3464"/>
      <c r="Z43" s="3426" t="str">
        <f t="shared" si="15"/>
        <v>内部装修维护情况</v>
      </c>
      <c r="AA43" s="3427">
        <f t="shared" si="3"/>
        <v>1</v>
      </c>
      <c r="AB43" s="3427">
        <f t="shared" si="4"/>
        <v>1</v>
      </c>
      <c r="AC43" s="3427">
        <f t="shared" si="5"/>
        <v>1</v>
      </c>
    </row>
    <row r="44" spans="1:29" s="3374" customFormat="1" ht="15">
      <c r="A44" s="3479"/>
      <c r="B44" s="3456">
        <v>111</v>
      </c>
      <c r="C44" s="3466"/>
      <c r="D44" s="3389">
        <v>100</v>
      </c>
      <c r="E44" s="3404"/>
      <c r="F44" s="3391">
        <f>SUMIF(126:126,E44,127:127)-SUMIF(126:126,C44,127:127)+100</f>
        <v>100</v>
      </c>
      <c r="G44" s="3404"/>
      <c r="H44" s="3389">
        <f>SUMIF(126:126,G44,127:127)-SUMIF(126:126,C44,127:127)+100</f>
        <v>100</v>
      </c>
      <c r="I44" s="3404"/>
      <c r="J44" s="3389">
        <f>SUMIF(126:126,I44,127:127)-SUMIF(126:126,C44,127:127)+100</f>
        <v>100</v>
      </c>
      <c r="K44" s="3405"/>
      <c r="L44" s="3365"/>
      <c r="M44" s="3366"/>
      <c r="N44" s="3366"/>
      <c r="O44" s="3366"/>
      <c r="P44" s="3468"/>
      <c r="Q44" s="3383">
        <f t="shared" si="11"/>
        <v>111</v>
      </c>
      <c r="R44" s="3369" t="s">
        <v>3224</v>
      </c>
      <c r="S44" s="3370">
        <f t="shared" si="12"/>
        <v>100</v>
      </c>
      <c r="T44" s="3369" t="s">
        <v>3224</v>
      </c>
      <c r="U44" s="3370">
        <f t="shared" si="13"/>
        <v>100</v>
      </c>
      <c r="V44" s="3369" t="s">
        <v>3224</v>
      </c>
      <c r="W44" s="3370">
        <f t="shared" si="14"/>
        <v>100</v>
      </c>
      <c r="X44" s="3371"/>
      <c r="Y44" s="3464"/>
      <c r="Z44" s="3385">
        <f t="shared" si="15"/>
        <v>111</v>
      </c>
      <c r="AA44" s="3373">
        <f t="shared" si="3"/>
        <v>1</v>
      </c>
      <c r="AB44" s="3373">
        <f t="shared" si="4"/>
        <v>1</v>
      </c>
      <c r="AC44" s="3373">
        <f t="shared" si="5"/>
        <v>1</v>
      </c>
    </row>
    <row r="45" spans="1:29" ht="15">
      <c r="A45" s="3475"/>
      <c r="B45" s="3456">
        <v>111</v>
      </c>
      <c r="C45" s="3404"/>
      <c r="D45" s="3406">
        <v>100</v>
      </c>
      <c r="E45" s="3404"/>
      <c r="F45" s="3455">
        <f>SUMIF(128:128,E45,129:129)-SUMIF(128:128,C45,129:129)+100</f>
        <v>100</v>
      </c>
      <c r="G45" s="3404"/>
      <c r="H45" s="3406">
        <f>SUMIF(128:128,G45,129:129)-SUMIF(128:128,C45,129:129)+100</f>
        <v>100</v>
      </c>
      <c r="I45" s="3404"/>
      <c r="J45" s="3406">
        <f>SUMIF(128:128,I45,129:129)-SUMIF(128:128,C45,129:129)+100</f>
        <v>100</v>
      </c>
      <c r="K45" s="3405"/>
      <c r="L45" s="3407"/>
      <c r="M45" s="3325"/>
      <c r="N45" s="3325"/>
      <c r="O45" s="3325"/>
      <c r="P45" s="3468"/>
      <c r="Q45" s="3422">
        <f t="shared" si="11"/>
        <v>111</v>
      </c>
      <c r="R45" s="3423" t="s">
        <v>3224</v>
      </c>
      <c r="S45" s="3424">
        <f t="shared" si="12"/>
        <v>100</v>
      </c>
      <c r="T45" s="3423" t="s">
        <v>3224</v>
      </c>
      <c r="U45" s="3424">
        <f t="shared" si="13"/>
        <v>100</v>
      </c>
      <c r="V45" s="3423" t="s">
        <v>3224</v>
      </c>
      <c r="W45" s="3424">
        <f t="shared" si="14"/>
        <v>100</v>
      </c>
      <c r="X45" s="3331"/>
      <c r="Y45" s="3464"/>
      <c r="Z45" s="3426">
        <f t="shared" si="15"/>
        <v>111</v>
      </c>
      <c r="AA45" s="3427">
        <f t="shared" si="3"/>
        <v>1</v>
      </c>
      <c r="AB45" s="3427">
        <f t="shared" si="4"/>
        <v>1</v>
      </c>
      <c r="AC45" s="3427">
        <f t="shared" si="5"/>
        <v>1</v>
      </c>
    </row>
    <row r="46" spans="1:29" ht="15.75" thickBot="1">
      <c r="A46" s="3483"/>
      <c r="B46" s="3409">
        <v>111</v>
      </c>
      <c r="C46" s="3410"/>
      <c r="D46" s="3411">
        <v>100</v>
      </c>
      <c r="E46" s="3404"/>
      <c r="F46" s="3412">
        <f>SUMIF(130:130,E46,131:131)-SUMIF(130:130,C46,131:131)+100</f>
        <v>100</v>
      </c>
      <c r="G46" s="3404"/>
      <c r="H46" s="3411">
        <f>SUMIF(130:130,G46,131:131)-SUMIF(130:130,C46,131:131)+100</f>
        <v>100</v>
      </c>
      <c r="I46" s="3404"/>
      <c r="J46" s="3411">
        <f>SUMIF(130:130,I46,131:131)-SUMIF(130:130,C46,131:131)+100</f>
        <v>100</v>
      </c>
      <c r="K46" s="3405"/>
      <c r="L46" s="3407"/>
      <c r="M46" s="3325"/>
      <c r="N46" s="3325"/>
      <c r="O46" s="3325"/>
      <c r="P46" s="3484"/>
      <c r="Q46" s="3422">
        <f t="shared" si="11"/>
        <v>111</v>
      </c>
      <c r="R46" s="3423" t="s">
        <v>3224</v>
      </c>
      <c r="S46" s="3424">
        <f t="shared" si="12"/>
        <v>100</v>
      </c>
      <c r="T46" s="3423" t="s">
        <v>3224</v>
      </c>
      <c r="U46" s="3424">
        <f t="shared" si="13"/>
        <v>100</v>
      </c>
      <c r="V46" s="3423" t="s">
        <v>3224</v>
      </c>
      <c r="W46" s="3424">
        <f t="shared" si="14"/>
        <v>100</v>
      </c>
      <c r="X46" s="3331"/>
      <c r="Y46" s="3485"/>
      <c r="Z46" s="3426">
        <f t="shared" si="15"/>
        <v>111</v>
      </c>
      <c r="AA46" s="3427">
        <f t="shared" si="3"/>
        <v>1</v>
      </c>
      <c r="AB46" s="3427">
        <f t="shared" si="4"/>
        <v>1</v>
      </c>
      <c r="AC46" s="3427">
        <f t="shared" si="5"/>
        <v>1</v>
      </c>
    </row>
    <row r="47" spans="1:29" ht="15">
      <c r="A47" s="3486" t="s">
        <v>3225</v>
      </c>
      <c r="B47" s="3487"/>
      <c r="C47" s="3488" t="s">
        <v>3226</v>
      </c>
      <c r="D47" s="3489"/>
      <c r="E47" s="3490">
        <v>6</v>
      </c>
      <c r="F47" s="3491"/>
      <c r="G47" s="3492">
        <v>6</v>
      </c>
      <c r="H47" s="3493"/>
      <c r="I47" s="3490">
        <v>6.1</v>
      </c>
      <c r="J47" s="3493"/>
      <c r="K47" s="3494"/>
      <c r="L47" s="3495"/>
      <c r="M47" s="3496"/>
      <c r="N47" s="3325"/>
      <c r="O47" s="3496"/>
      <c r="P47" s="3497" t="str">
        <f>A47</f>
        <v>成交单价（元/平方米）</v>
      </c>
      <c r="Q47" s="3497"/>
      <c r="R47" s="3330">
        <f>E47</f>
        <v>6</v>
      </c>
      <c r="S47" s="3330"/>
      <c r="T47" s="3330">
        <f>G47</f>
        <v>6</v>
      </c>
      <c r="U47" s="3330"/>
      <c r="V47" s="3330">
        <f>I47</f>
        <v>6.1</v>
      </c>
      <c r="W47" s="3330"/>
      <c r="X47" s="3498"/>
      <c r="Y47" s="3499"/>
      <c r="Z47" s="3498"/>
      <c r="AA47" s="3498"/>
      <c r="AB47" s="3498"/>
      <c r="AC47" s="3498"/>
    </row>
    <row r="48" spans="1:29" ht="15.75" thickBot="1">
      <c r="A48" s="3500" t="s">
        <v>3227</v>
      </c>
      <c r="B48" s="3501"/>
      <c r="C48" s="3502">
        <f>R49</f>
        <v>6.8</v>
      </c>
      <c r="D48" s="3503"/>
      <c r="E48" s="3504">
        <f>R48</f>
        <v>6.8</v>
      </c>
      <c r="F48" s="3504"/>
      <c r="G48" s="3502">
        <f>T48</f>
        <v>6.8</v>
      </c>
      <c r="H48" s="3503"/>
      <c r="I48" s="3504">
        <f>V48</f>
        <v>6.9</v>
      </c>
      <c r="J48" s="3503"/>
      <c r="K48" s="3505"/>
      <c r="L48" s="3495"/>
      <c r="M48" s="3496"/>
      <c r="N48" s="3325"/>
      <c r="O48" s="3496"/>
      <c r="P48" s="3497" t="str">
        <f>A48</f>
        <v>比较价值（元/平方米）</v>
      </c>
      <c r="Q48" s="3497"/>
      <c r="R48" s="3506">
        <f>IF(F1="售价",ROUND(PRODUCT(R47,AA7:AA46),0),ROUND(PRODUCT(R47,AA7:AA46),1))</f>
        <v>6.8</v>
      </c>
      <c r="S48" s="3506"/>
      <c r="T48" s="3506">
        <f>IF(F1="售价",ROUND(PRODUCT(T47,AB7:AB46),0),ROUND(PRODUCT(T47,AB7:AB46),1))</f>
        <v>6.8</v>
      </c>
      <c r="U48" s="3506"/>
      <c r="V48" s="3506">
        <f>IF(F1="售价",ROUND(PRODUCT(V47,AC7:AC46),0),ROUND(PRODUCT(V47,AC7:AC46),1))</f>
        <v>6.9</v>
      </c>
      <c r="W48" s="3506"/>
      <c r="X48" s="3498"/>
      <c r="Y48" s="3498"/>
      <c r="Z48" s="3498"/>
      <c r="AA48" s="3498"/>
      <c r="AB48" s="3498"/>
      <c r="AC48" s="3498"/>
    </row>
    <row r="49" spans="1:29" ht="15.75" thickBot="1">
      <c r="A49" s="3507" t="s">
        <v>3228</v>
      </c>
      <c r="B49" s="3508"/>
      <c r="C49" s="3509">
        <f>R49</f>
        <v>6.8</v>
      </c>
      <c r="D49" s="3509"/>
      <c r="E49" s="3509"/>
      <c r="F49" s="3509"/>
      <c r="G49" s="3509"/>
      <c r="H49" s="3509"/>
      <c r="I49" s="3509"/>
      <c r="J49" s="3509"/>
      <c r="K49" s="3510"/>
      <c r="L49" s="3495"/>
      <c r="M49" s="3496"/>
      <c r="N49" s="3325"/>
      <c r="O49" s="3496"/>
      <c r="P49" s="3511" t="str">
        <f>A49</f>
        <v>估价对象XX用房的比较价值（楼面单价，元/平方米）</v>
      </c>
      <c r="Q49" s="3512"/>
      <c r="R49" s="3513">
        <f>IF(F1="售价",ROUND(AVERAGE(R48:V48),0),ROUND(AVERAGE(R48:V48),1))</f>
        <v>6.8</v>
      </c>
      <c r="S49" s="3513"/>
      <c r="T49" s="3513"/>
      <c r="U49" s="3513"/>
      <c r="V49" s="3513"/>
      <c r="W49" s="3513"/>
      <c r="X49" s="3498"/>
      <c r="Y49" s="3498"/>
      <c r="Z49" s="3498"/>
      <c r="AA49" s="3498"/>
      <c r="AB49" s="3498"/>
      <c r="AC49" s="3498"/>
    </row>
    <row r="50" spans="1:29">
      <c r="A50" s="3496"/>
      <c r="B50" s="3496"/>
      <c r="C50" s="3496"/>
      <c r="D50" s="3496"/>
      <c r="E50" s="3496"/>
      <c r="F50" s="3496"/>
      <c r="G50" s="3514"/>
      <c r="H50" s="3496"/>
      <c r="I50" s="3496"/>
      <c r="J50" s="3496"/>
      <c r="K50" s="3515"/>
      <c r="L50" s="3516"/>
      <c r="M50" s="3496"/>
      <c r="N50" s="3496"/>
      <c r="O50" s="3496"/>
      <c r="P50" s="3517"/>
      <c r="Q50" s="3498"/>
      <c r="R50" s="3498"/>
      <c r="S50" s="3498"/>
      <c r="T50" s="3498"/>
      <c r="U50" s="3498"/>
      <c r="V50" s="3498"/>
      <c r="W50" s="3498"/>
      <c r="X50" s="3498"/>
      <c r="Y50" s="3498"/>
      <c r="Z50" s="3498"/>
      <c r="AA50" s="3498"/>
      <c r="AB50" s="3498"/>
      <c r="AC50" s="3498"/>
    </row>
    <row r="51" spans="1:29">
      <c r="A51" s="3496"/>
      <c r="B51" s="3496"/>
      <c r="C51" s="3496"/>
      <c r="D51" s="3496"/>
      <c r="E51" s="3496"/>
      <c r="F51" s="3496"/>
      <c r="G51" s="3496"/>
      <c r="H51" s="3496"/>
      <c r="I51" s="3496"/>
      <c r="J51" s="3496"/>
      <c r="K51" s="3515"/>
      <c r="L51" s="3516"/>
      <c r="M51" s="3496"/>
      <c r="N51" s="3496"/>
      <c r="O51" s="3496"/>
      <c r="P51" s="3517"/>
      <c r="Q51" s="3498"/>
      <c r="R51" s="3498"/>
      <c r="S51" s="3498"/>
      <c r="T51" s="3498"/>
      <c r="U51" s="3498"/>
      <c r="V51" s="3498"/>
      <c r="W51" s="3498"/>
      <c r="X51" s="3498"/>
      <c r="Y51" s="3498"/>
      <c r="Z51" s="3498"/>
      <c r="AA51" s="3498"/>
      <c r="AB51" s="3498"/>
      <c r="AC51" s="3498"/>
    </row>
    <row r="52" spans="1:29" ht="13.5" customHeight="1">
      <c r="A52" s="3496"/>
      <c r="B52" s="3496"/>
      <c r="C52" s="3518" t="s">
        <v>3229</v>
      </c>
      <c r="D52" s="3519"/>
      <c r="E52" s="3520">
        <f>IF(E47&lt;E48,E48/E47-1,E47/E48-1)</f>
        <v>0.1333333333333333</v>
      </c>
      <c r="F52" s="3521" t="str">
        <f>IF(OR(E52&gt;=0.3,E52&lt;=-0.3),"超过30%","")</f>
        <v/>
      </c>
      <c r="G52" s="3520">
        <f>IF(G47&lt;G48,G48/G47-1,G47/G48-1)</f>
        <v>0.1333333333333333</v>
      </c>
      <c r="H52" s="3521" t="str">
        <f>IF(OR(G52&gt;=0.3,G52&lt;=-0.3),"超过30%","")</f>
        <v/>
      </c>
      <c r="I52" s="3520">
        <f>IF(I47&lt;I48,I48/I47-1,I47/I48-1)</f>
        <v>0.1311475409836067</v>
      </c>
      <c r="J52" s="3521" t="str">
        <f>IF(OR(I52&gt;=0.3,I52&lt;=-0.3),"超过30%","")</f>
        <v/>
      </c>
      <c r="K52" s="3515"/>
      <c r="L52" s="3516"/>
      <c r="M52" s="3496"/>
      <c r="N52" s="3496"/>
      <c r="O52" s="3496"/>
      <c r="P52" s="3517"/>
      <c r="Q52" s="3498"/>
      <c r="R52" s="3498"/>
      <c r="S52" s="3498"/>
      <c r="T52" s="3498"/>
      <c r="U52" s="3498"/>
      <c r="V52" s="3498"/>
      <c r="W52" s="3498"/>
      <c r="X52" s="3498"/>
      <c r="Y52" s="3498"/>
      <c r="Z52" s="3498"/>
      <c r="AA52" s="3498"/>
      <c r="AB52" s="3498"/>
      <c r="AC52" s="3498"/>
    </row>
    <row r="53" spans="1:29" ht="13.5" customHeight="1">
      <c r="A53" s="3496"/>
      <c r="B53" s="3496"/>
      <c r="C53" s="3518" t="s">
        <v>3230</v>
      </c>
      <c r="D53" s="3522"/>
      <c r="E53" s="3520">
        <f>IF(E48&lt;G48,G48/E48-1,E48/G48-1)</f>
        <v>0</v>
      </c>
      <c r="F53" s="3521" t="str">
        <f>IF(OR(E53&gt;=0.2,E53&lt;=-0.2),"超过20%","")</f>
        <v/>
      </c>
      <c r="G53" s="3520">
        <f>IF(G48&lt;I48,I48/G48-1,G48/I48-1)</f>
        <v>1.4705882352941346E-2</v>
      </c>
      <c r="H53" s="3521" t="str">
        <f>IF(OR(G53&gt;=0.2,G53&lt;=-0.2),"超过20%","")</f>
        <v/>
      </c>
      <c r="I53" s="3520">
        <f>IF(I48&lt;E48,E48/I48-1,I48/E48-1)</f>
        <v>1.4705882352941346E-2</v>
      </c>
      <c r="J53" s="3521" t="str">
        <f>IF(OR(I53&gt;=0.2,I53&lt;=-0.2),"超过20%","")</f>
        <v/>
      </c>
      <c r="K53" s="3515"/>
      <c r="L53" s="3516"/>
      <c r="M53" s="3496"/>
      <c r="N53" s="3496"/>
      <c r="O53" s="3496"/>
      <c r="P53" s="3517"/>
      <c r="Q53" s="3498"/>
      <c r="R53" s="3498"/>
      <c r="S53" s="3498"/>
      <c r="T53" s="3498"/>
      <c r="U53" s="3498"/>
      <c r="V53" s="3498"/>
      <c r="W53" s="3498"/>
      <c r="X53" s="3498"/>
      <c r="Y53" s="3498"/>
      <c r="Z53" s="3498"/>
      <c r="AA53" s="3498"/>
      <c r="AB53" s="3498"/>
      <c r="AC53" s="3498"/>
    </row>
    <row r="54" spans="1:29" s="3528" customFormat="1" ht="13.5" customHeight="1">
      <c r="A54" s="3523"/>
      <c r="B54" s="3523"/>
      <c r="C54" s="3518" t="s">
        <v>3231</v>
      </c>
      <c r="D54" s="3522"/>
      <c r="E54" s="3520">
        <f>IF(E47&lt;G47,G47/E47-1,E47/G47-1)</f>
        <v>0</v>
      </c>
      <c r="F54" s="3521" t="str">
        <f>IF(OR(E54&gt;=0.3,E54&lt;=-0.3),"超过30%","")</f>
        <v/>
      </c>
      <c r="G54" s="3520">
        <f>IF(G47&lt;I47,I47/G47-1,G47/I47-1)</f>
        <v>1.6666666666666607E-2</v>
      </c>
      <c r="H54" s="3521" t="str">
        <f>IF(OR(G54&gt;=0.3,G54&lt;=-0.3),"超过30%","")</f>
        <v/>
      </c>
      <c r="I54" s="3520">
        <f>IF(I47&lt;E47,E47/I47-1,I47/E47-1)</f>
        <v>1.6666666666666607E-2</v>
      </c>
      <c r="J54" s="3521" t="str">
        <f>IF(OR(I54&gt;=0.3,I54&lt;=-0.3),"超过30%","")</f>
        <v/>
      </c>
      <c r="K54" s="3524"/>
      <c r="L54" s="3525"/>
      <c r="M54" s="3523"/>
      <c r="N54" s="3523"/>
      <c r="O54" s="3523"/>
      <c r="P54" s="3526"/>
      <c r="Q54" s="3527"/>
      <c r="R54" s="3527"/>
      <c r="S54" s="3527"/>
      <c r="T54" s="3527"/>
      <c r="U54" s="3527"/>
      <c r="V54" s="3527"/>
      <c r="W54" s="3527"/>
      <c r="X54" s="3527"/>
      <c r="Y54" s="3527"/>
      <c r="Z54" s="3527"/>
      <c r="AA54" s="3527"/>
      <c r="AB54" s="3527"/>
      <c r="AC54" s="3527"/>
    </row>
    <row r="55" spans="1:29" s="3528" customFormat="1">
      <c r="A55" s="3523"/>
      <c r="B55" s="3529"/>
      <c r="C55" s="3530"/>
      <c r="D55" s="3523"/>
      <c r="E55" s="3523"/>
      <c r="F55" s="3523"/>
      <c r="G55" s="3523"/>
      <c r="H55" s="3523"/>
      <c r="I55" s="3523"/>
      <c r="J55" s="3523"/>
      <c r="K55" s="3524"/>
      <c r="L55" s="3525"/>
      <c r="M55" s="3523"/>
      <c r="N55" s="3523"/>
      <c r="O55" s="3523"/>
      <c r="P55" s="3526"/>
      <c r="Q55" s="3527"/>
      <c r="R55" s="3527"/>
      <c r="S55" s="3527"/>
      <c r="T55" s="3527"/>
      <c r="U55" s="3527"/>
      <c r="V55" s="3527"/>
      <c r="W55" s="3527"/>
      <c r="X55" s="3527"/>
      <c r="Y55" s="3527"/>
      <c r="Z55" s="3527"/>
      <c r="AA55" s="3527"/>
      <c r="AB55" s="3527"/>
      <c r="AC55" s="3527"/>
    </row>
    <row r="56" spans="1:29">
      <c r="A56" s="3496"/>
      <c r="B56" s="3529"/>
      <c r="C56" s="3530"/>
      <c r="D56" s="3496"/>
      <c r="E56" s="3496"/>
      <c r="F56" s="3496"/>
      <c r="G56" s="3496"/>
      <c r="H56" s="3496"/>
      <c r="I56" s="3496"/>
      <c r="J56" s="3496"/>
      <c r="K56" s="3515"/>
      <c r="L56" s="3516"/>
      <c r="M56" s="3496"/>
      <c r="N56" s="3496"/>
      <c r="O56" s="3496"/>
      <c r="P56" s="3517"/>
      <c r="Q56" s="3498"/>
      <c r="R56" s="3498"/>
      <c r="S56" s="3498"/>
      <c r="T56" s="3498"/>
      <c r="U56" s="3498"/>
      <c r="V56" s="3498"/>
      <c r="W56" s="3498"/>
      <c r="X56" s="3498"/>
      <c r="Y56" s="3498"/>
      <c r="Z56" s="3498"/>
      <c r="AA56" s="3498"/>
      <c r="AB56" s="3498"/>
      <c r="AC56" s="3498"/>
    </row>
    <row r="57" spans="1:29" ht="21.75" thickBot="1">
      <c r="A57" s="3531" t="s">
        <v>3232</v>
      </c>
      <c r="B57" s="3498"/>
      <c r="C57" s="3532"/>
      <c r="D57" s="3532"/>
      <c r="E57" s="3532"/>
      <c r="F57" s="3533"/>
      <c r="G57" s="3533"/>
      <c r="H57" s="3532"/>
      <c r="I57" s="3532"/>
      <c r="J57" s="3532"/>
      <c r="K57" s="3534"/>
      <c r="L57" s="3535"/>
      <c r="M57" s="3536"/>
      <c r="N57" s="3536"/>
      <c r="O57" s="3536"/>
      <c r="P57" s="3537"/>
      <c r="Q57" s="3538"/>
      <c r="R57" s="3498"/>
      <c r="S57" s="3498"/>
      <c r="T57" s="3498"/>
      <c r="U57" s="3498"/>
      <c r="V57" s="3498"/>
      <c r="W57" s="3498"/>
      <c r="X57" s="3498"/>
      <c r="Y57" s="3498"/>
      <c r="Z57" s="3498"/>
      <c r="AA57" s="3498"/>
      <c r="AB57" s="3498"/>
      <c r="AC57" s="3498"/>
    </row>
    <row r="58" spans="1:29" s="3544" customFormat="1" ht="15">
      <c r="A58" s="3539" t="s">
        <v>3233</v>
      </c>
      <c r="B58" s="3540"/>
      <c r="C58" s="3541" t="str">
        <f>YEAR(C7)&amp;"-"&amp;MONTH(C7)</f>
        <v>2018-2</v>
      </c>
      <c r="D58" s="3542">
        <f>EDATE(C58,-1)</f>
        <v>43101</v>
      </c>
      <c r="E58" s="3542">
        <f t="shared" ref="E58:N58" si="16">EDATE(D58,-1)</f>
        <v>43070</v>
      </c>
      <c r="F58" s="3542">
        <f t="shared" si="16"/>
        <v>43040</v>
      </c>
      <c r="G58" s="3542">
        <f t="shared" si="16"/>
        <v>43009</v>
      </c>
      <c r="H58" s="3542">
        <f t="shared" si="16"/>
        <v>42979</v>
      </c>
      <c r="I58" s="3542">
        <f t="shared" si="16"/>
        <v>42948</v>
      </c>
      <c r="J58" s="3542">
        <f t="shared" si="16"/>
        <v>42917</v>
      </c>
      <c r="K58" s="3542">
        <f t="shared" si="16"/>
        <v>42887</v>
      </c>
      <c r="L58" s="3542">
        <f t="shared" si="16"/>
        <v>42856</v>
      </c>
      <c r="M58" s="3542">
        <f t="shared" si="16"/>
        <v>42826</v>
      </c>
      <c r="N58" s="3542">
        <f t="shared" si="16"/>
        <v>42795</v>
      </c>
      <c r="O58" s="3542">
        <f>EDATE(N58,-1)</f>
        <v>42767</v>
      </c>
      <c r="P58" s="3543"/>
    </row>
    <row r="59" spans="1:29" s="3374" customFormat="1" ht="15">
      <c r="A59" s="3545"/>
      <c r="B59" s="3546"/>
      <c r="C59" s="3547">
        <v>100</v>
      </c>
      <c r="D59" s="3548"/>
      <c r="E59" s="3548"/>
      <c r="F59" s="3548"/>
      <c r="G59" s="3548"/>
      <c r="H59" s="3548"/>
      <c r="I59" s="3548"/>
      <c r="J59" s="3548"/>
      <c r="K59" s="3548"/>
      <c r="L59" s="3548"/>
      <c r="M59" s="3549"/>
      <c r="N59" s="3548"/>
      <c r="O59" s="3549"/>
      <c r="P59" s="3550"/>
    </row>
    <row r="60" spans="1:29" s="3374" customFormat="1" ht="15.75" thickBot="1">
      <c r="A60" s="3551" t="s">
        <v>3234</v>
      </c>
      <c r="B60" s="3552"/>
      <c r="C60" s="3553"/>
      <c r="D60" s="3554"/>
      <c r="E60" s="3554"/>
      <c r="F60" s="3554"/>
      <c r="G60" s="3554"/>
      <c r="H60" s="3554"/>
      <c r="I60" s="3554"/>
      <c r="J60" s="3554"/>
      <c r="K60" s="3554"/>
      <c r="L60" s="3554"/>
      <c r="M60" s="3555"/>
      <c r="N60" s="3554"/>
      <c r="O60" s="3555"/>
      <c r="P60" s="3550"/>
      <c r="Q60" s="3556"/>
    </row>
    <row r="61" spans="1:29" s="3374" customFormat="1" ht="15">
      <c r="A61" s="3557" t="s">
        <v>3235</v>
      </c>
      <c r="B61" s="3546"/>
      <c r="C61" s="3558" t="s">
        <v>3192</v>
      </c>
      <c r="D61" s="3559"/>
      <c r="E61" s="3559"/>
      <c r="F61" s="3559"/>
      <c r="G61" s="3559"/>
      <c r="H61" s="3559"/>
      <c r="I61" s="3559"/>
      <c r="J61" s="3559"/>
      <c r="K61" s="3559"/>
      <c r="L61" s="3560"/>
      <c r="M61" s="3561"/>
      <c r="N61" s="3562"/>
      <c r="O61" s="3562"/>
      <c r="P61" s="3563"/>
      <c r="Q61" s="3556"/>
    </row>
    <row r="62" spans="1:29" s="3374" customFormat="1" ht="15.75" thickBot="1">
      <c r="A62" s="3557"/>
      <c r="B62" s="3546"/>
      <c r="C62" s="3564">
        <v>100</v>
      </c>
      <c r="D62" s="3548"/>
      <c r="E62" s="3548"/>
      <c r="F62" s="3548"/>
      <c r="G62" s="3548"/>
      <c r="H62" s="3548"/>
      <c r="I62" s="3548"/>
      <c r="J62" s="3548"/>
      <c r="K62" s="3548"/>
      <c r="L62" s="3548"/>
      <c r="M62" s="3565"/>
      <c r="N62" s="3562"/>
      <c r="O62" s="3562"/>
      <c r="P62" s="3550"/>
      <c r="Q62" s="3556"/>
    </row>
    <row r="63" spans="1:29">
      <c r="A63" s="3566" t="s">
        <v>2593</v>
      </c>
      <c r="B63" s="3567" t="s">
        <v>2559</v>
      </c>
      <c r="C63" s="3568" t="str">
        <f>C9</f>
        <v>商业</v>
      </c>
      <c r="D63" s="3569"/>
      <c r="E63" s="3569"/>
      <c r="F63" s="3569"/>
      <c r="G63" s="3569"/>
      <c r="H63" s="3569"/>
      <c r="I63" s="3569"/>
      <c r="J63" s="3569"/>
      <c r="K63" s="3570"/>
      <c r="L63" s="3571"/>
      <c r="M63" s="3572"/>
      <c r="N63" s="3573"/>
      <c r="O63" s="3573"/>
      <c r="P63" s="3574"/>
      <c r="Q63" s="3556"/>
    </row>
    <row r="64" spans="1:29" ht="15.75" thickBot="1">
      <c r="A64" s="3575"/>
      <c r="B64" s="3576"/>
      <c r="C64" s="3577">
        <v>100</v>
      </c>
      <c r="D64" s="3577"/>
      <c r="E64" s="3577"/>
      <c r="F64" s="3577"/>
      <c r="G64" s="3577"/>
      <c r="H64" s="3577"/>
      <c r="I64" s="3577"/>
      <c r="J64" s="3577"/>
      <c r="K64" s="3577"/>
      <c r="L64" s="3577"/>
      <c r="M64" s="3578"/>
      <c r="N64" s="3579"/>
      <c r="O64" s="3579"/>
      <c r="P64" s="3574"/>
      <c r="Q64" s="3556"/>
    </row>
    <row r="65" spans="1:17" ht="27.75" thickTop="1">
      <c r="A65" s="3575"/>
      <c r="B65" s="3580" t="s">
        <v>3236</v>
      </c>
      <c r="C65" s="3581" t="s">
        <v>3237</v>
      </c>
      <c r="D65" s="3581" t="s">
        <v>3238</v>
      </c>
      <c r="E65" s="3581" t="s">
        <v>3239</v>
      </c>
      <c r="F65" s="3581" t="s">
        <v>3240</v>
      </c>
      <c r="G65" s="3581" t="s">
        <v>3241</v>
      </c>
      <c r="H65" s="3581" t="s">
        <v>3242</v>
      </c>
      <c r="I65" s="3581" t="s">
        <v>3243</v>
      </c>
      <c r="J65" s="3581"/>
      <c r="K65" s="3582"/>
      <c r="L65" s="3583"/>
      <c r="M65" s="3584"/>
      <c r="N65" s="3573"/>
      <c r="O65" s="3573"/>
      <c r="P65" s="3574"/>
      <c r="Q65" s="3556"/>
    </row>
    <row r="66" spans="1:17" ht="15.75" thickBot="1">
      <c r="A66" s="3575"/>
      <c r="B66" s="3585"/>
      <c r="C66" s="3586" t="s">
        <v>1029</v>
      </c>
      <c r="D66" s="3586" t="s">
        <v>1029</v>
      </c>
      <c r="E66" s="3586" t="s">
        <v>1029</v>
      </c>
      <c r="F66" s="3586">
        <v>100</v>
      </c>
      <c r="G66" s="3586">
        <f>F66-$K10</f>
        <v>99</v>
      </c>
      <c r="H66" s="3586">
        <f>G66-$K10</f>
        <v>98</v>
      </c>
      <c r="I66" s="3586">
        <f>H66-$K10</f>
        <v>97</v>
      </c>
      <c r="J66" s="3586"/>
      <c r="K66" s="3586"/>
      <c r="L66" s="3586"/>
      <c r="M66" s="3587"/>
      <c r="N66" s="3579"/>
      <c r="O66" s="3579"/>
      <c r="P66" s="3574"/>
      <c r="Q66" s="3556"/>
    </row>
    <row r="67" spans="1:17" ht="15.75" thickTop="1">
      <c r="A67" s="3575"/>
      <c r="B67" s="3588" t="s">
        <v>2563</v>
      </c>
      <c r="C67" s="3589" t="str">
        <f>C68&amp;"（含）"&amp;"-"&amp;D68</f>
        <v>0（含）-1</v>
      </c>
      <c r="D67" s="3589" t="str">
        <f t="shared" ref="D67:L67" si="17">D68&amp;"（含）"&amp;"-"&amp;E68</f>
        <v>1（含）-2</v>
      </c>
      <c r="E67" s="3589" t="str">
        <f t="shared" si="17"/>
        <v>2（含）-</v>
      </c>
      <c r="F67" s="3589" t="str">
        <f t="shared" si="17"/>
        <v>（含）-</v>
      </c>
      <c r="G67" s="3589" t="str">
        <f t="shared" si="17"/>
        <v>（含）-</v>
      </c>
      <c r="H67" s="3589" t="str">
        <f t="shared" si="17"/>
        <v>（含）-</v>
      </c>
      <c r="I67" s="3589" t="str">
        <f t="shared" si="17"/>
        <v>（含）-</v>
      </c>
      <c r="J67" s="3589" t="str">
        <f t="shared" si="17"/>
        <v>（含）-</v>
      </c>
      <c r="K67" s="3589" t="str">
        <f t="shared" si="17"/>
        <v>（含）-</v>
      </c>
      <c r="L67" s="3589" t="str">
        <f t="shared" si="17"/>
        <v>（含）-</v>
      </c>
      <c r="M67" s="3430" t="str">
        <f>M68&amp;"（含）"&amp;"-"&amp;P68</f>
        <v>（含）-</v>
      </c>
      <c r="N67" s="3579"/>
      <c r="O67" s="3579"/>
      <c r="P67" s="3574"/>
      <c r="Q67" s="3556"/>
    </row>
    <row r="68" spans="1:17" ht="15">
      <c r="A68" s="3575"/>
      <c r="B68" s="3590"/>
      <c r="C68" s="3591">
        <v>0</v>
      </c>
      <c r="D68" s="3591">
        <v>1</v>
      </c>
      <c r="E68" s="3591">
        <v>2</v>
      </c>
      <c r="F68" s="3591"/>
      <c r="G68" s="3591"/>
      <c r="H68" s="3591"/>
      <c r="I68" s="3591"/>
      <c r="J68" s="3591"/>
      <c r="K68" s="3592"/>
      <c r="L68" s="3593"/>
      <c r="M68" s="3594"/>
      <c r="N68" s="3573"/>
      <c r="O68" s="3573"/>
      <c r="P68" s="3574"/>
      <c r="Q68" s="3556"/>
    </row>
    <row r="69" spans="1:17" ht="15.75" thickBot="1">
      <c r="A69" s="3575"/>
      <c r="B69" s="3576"/>
      <c r="C69" s="3586">
        <v>100</v>
      </c>
      <c r="D69" s="3586">
        <f t="shared" ref="D69:M69" si="18">C69-$K11</f>
        <v>100</v>
      </c>
      <c r="E69" s="3586">
        <f t="shared" si="18"/>
        <v>100</v>
      </c>
      <c r="F69" s="3586">
        <f t="shared" si="18"/>
        <v>100</v>
      </c>
      <c r="G69" s="3586">
        <f t="shared" si="18"/>
        <v>100</v>
      </c>
      <c r="H69" s="3586">
        <f t="shared" si="18"/>
        <v>100</v>
      </c>
      <c r="I69" s="3586">
        <f t="shared" si="18"/>
        <v>100</v>
      </c>
      <c r="J69" s="3586">
        <f t="shared" si="18"/>
        <v>100</v>
      </c>
      <c r="K69" s="3586">
        <f t="shared" si="18"/>
        <v>100</v>
      </c>
      <c r="L69" s="3586">
        <f t="shared" si="18"/>
        <v>100</v>
      </c>
      <c r="M69" s="3587">
        <f t="shared" si="18"/>
        <v>100</v>
      </c>
      <c r="N69" s="3579"/>
      <c r="O69" s="3579"/>
      <c r="P69" s="3574"/>
      <c r="Q69" s="3556"/>
    </row>
    <row r="70" spans="1:17" s="3474" customFormat="1" ht="15.75" thickTop="1">
      <c r="A70" s="3595"/>
      <c r="B70" s="3580">
        <f>B12</f>
        <v>111</v>
      </c>
      <c r="C70" s="3596"/>
      <c r="D70" s="3596"/>
      <c r="E70" s="3596"/>
      <c r="F70" s="3596"/>
      <c r="G70" s="3596"/>
      <c r="H70" s="3597"/>
      <c r="I70" s="3597"/>
      <c r="J70" s="3597"/>
      <c r="K70" s="3597"/>
      <c r="L70" s="3598"/>
      <c r="M70" s="3599"/>
      <c r="N70" s="3600"/>
      <c r="O70" s="3600"/>
      <c r="P70" s="3601"/>
      <c r="Q70" s="3602"/>
    </row>
    <row r="71" spans="1:17" s="3474" customFormat="1" ht="15.75" thickBot="1">
      <c r="A71" s="3595"/>
      <c r="B71" s="3585"/>
      <c r="C71" s="3603"/>
      <c r="D71" s="3577"/>
      <c r="E71" s="3577"/>
      <c r="F71" s="3577"/>
      <c r="G71" s="3577"/>
      <c r="H71" s="3577"/>
      <c r="I71" s="3577"/>
      <c r="J71" s="3577"/>
      <c r="K71" s="3577"/>
      <c r="L71" s="3577"/>
      <c r="M71" s="3578"/>
      <c r="N71" s="3579"/>
      <c r="O71" s="3579"/>
      <c r="P71" s="3601"/>
      <c r="Q71" s="3602"/>
    </row>
    <row r="72" spans="1:17" s="3474" customFormat="1" ht="15.75" thickTop="1">
      <c r="A72" s="3595"/>
      <c r="B72" s="3580">
        <f>B13</f>
        <v>111</v>
      </c>
      <c r="C72" s="3596"/>
      <c r="D72" s="3596"/>
      <c r="E72" s="3596"/>
      <c r="F72" s="3596"/>
      <c r="G72" s="3596"/>
      <c r="H72" s="3597"/>
      <c r="I72" s="3597"/>
      <c r="J72" s="3597"/>
      <c r="K72" s="3597"/>
      <c r="L72" s="3598"/>
      <c r="M72" s="3599"/>
      <c r="N72" s="3600"/>
      <c r="O72" s="3600"/>
      <c r="P72" s="3604"/>
      <c r="Q72" s="3605"/>
    </row>
    <row r="73" spans="1:17" s="3474" customFormat="1" ht="15.75" thickBot="1">
      <c r="A73" s="3595"/>
      <c r="B73" s="3585"/>
      <c r="C73" s="3603"/>
      <c r="D73" s="3577"/>
      <c r="E73" s="3577"/>
      <c r="F73" s="3577"/>
      <c r="G73" s="3603"/>
      <c r="H73" s="3606"/>
      <c r="I73" s="3606"/>
      <c r="J73" s="3606"/>
      <c r="K73" s="3606"/>
      <c r="L73" s="3606"/>
      <c r="M73" s="3607"/>
      <c r="N73" s="3600"/>
      <c r="O73" s="3600"/>
      <c r="P73" s="3601"/>
      <c r="Q73" s="3602"/>
    </row>
    <row r="74" spans="1:17" s="3474" customFormat="1" ht="15.75" thickTop="1">
      <c r="A74" s="3595"/>
      <c r="B74" s="3588">
        <f>B14</f>
        <v>111</v>
      </c>
      <c r="C74" s="3596"/>
      <c r="D74" s="3596"/>
      <c r="E74" s="3596"/>
      <c r="F74" s="3596"/>
      <c r="G74" s="3559"/>
      <c r="H74" s="3608"/>
      <c r="I74" s="3608"/>
      <c r="J74" s="3608"/>
      <c r="K74" s="3608"/>
      <c r="L74" s="3609"/>
      <c r="M74" s="3610"/>
      <c r="N74" s="3600"/>
      <c r="O74" s="3600"/>
      <c r="P74" s="3611"/>
      <c r="Q74" s="3602"/>
    </row>
    <row r="75" spans="1:17" s="3474" customFormat="1" ht="15.75" thickBot="1">
      <c r="A75" s="3612"/>
      <c r="B75" s="3613"/>
      <c r="C75" s="3614"/>
      <c r="D75" s="3614"/>
      <c r="E75" s="3614"/>
      <c r="F75" s="3614"/>
      <c r="G75" s="3614"/>
      <c r="H75" s="3615"/>
      <c r="I75" s="3615"/>
      <c r="J75" s="3615"/>
      <c r="K75" s="3615"/>
      <c r="L75" s="3615"/>
      <c r="M75" s="3616"/>
      <c r="N75" s="3600"/>
      <c r="O75" s="3600"/>
      <c r="P75" s="3601"/>
      <c r="Q75" s="3602"/>
    </row>
    <row r="76" spans="1:17">
      <c r="A76" s="3566" t="s">
        <v>3244</v>
      </c>
      <c r="B76" s="3567" t="s">
        <v>3245</v>
      </c>
      <c r="C76" s="3617" t="s">
        <v>3246</v>
      </c>
      <c r="D76" s="3617" t="s">
        <v>3247</v>
      </c>
      <c r="E76" s="3617" t="s">
        <v>3248</v>
      </c>
      <c r="F76" s="3617" t="s">
        <v>3249</v>
      </c>
      <c r="G76" s="3617" t="s">
        <v>3250</v>
      </c>
      <c r="H76" s="3568"/>
      <c r="I76" s="3568"/>
      <c r="J76" s="3568"/>
      <c r="K76" s="3618"/>
      <c r="L76" s="3619"/>
      <c r="M76" s="3620"/>
      <c r="N76" s="3573"/>
      <c r="O76" s="3573"/>
      <c r="P76" s="3621"/>
      <c r="Q76" s="3556"/>
    </row>
    <row r="77" spans="1:17" ht="15.75" thickBot="1">
      <c r="A77" s="3575"/>
      <c r="B77" s="3585"/>
      <c r="C77" s="3586">
        <v>100</v>
      </c>
      <c r="D77" s="3586">
        <f>C77-$K15</f>
        <v>98</v>
      </c>
      <c r="E77" s="3586">
        <f>D77-$K15</f>
        <v>96</v>
      </c>
      <c r="F77" s="3586">
        <f>E77-$K15</f>
        <v>94</v>
      </c>
      <c r="G77" s="3586">
        <f>F77-$K15</f>
        <v>92</v>
      </c>
      <c r="H77" s="3586"/>
      <c r="I77" s="3586"/>
      <c r="J77" s="3586"/>
      <c r="K77" s="3586"/>
      <c r="L77" s="3586"/>
      <c r="M77" s="3587"/>
      <c r="N77" s="3579"/>
      <c r="O77" s="3579"/>
      <c r="P77" s="3574"/>
      <c r="Q77" s="3556"/>
    </row>
    <row r="78" spans="1:17" ht="15.75" thickTop="1">
      <c r="A78" s="3575"/>
      <c r="B78" s="3580" t="s">
        <v>3251</v>
      </c>
      <c r="C78" s="3622" t="s">
        <v>3252</v>
      </c>
      <c r="D78" s="3622" t="s">
        <v>3253</v>
      </c>
      <c r="E78" s="3622" t="s">
        <v>3254</v>
      </c>
      <c r="F78" s="3622" t="s">
        <v>3255</v>
      </c>
      <c r="G78" s="3622" t="s">
        <v>3250</v>
      </c>
      <c r="H78" s="3581"/>
      <c r="I78" s="3581"/>
      <c r="J78" s="3581"/>
      <c r="K78" s="3582"/>
      <c r="L78" s="3583"/>
      <c r="M78" s="3584"/>
      <c r="N78" s="3573"/>
      <c r="O78" s="3573"/>
      <c r="P78" s="3574"/>
      <c r="Q78" s="3556"/>
    </row>
    <row r="79" spans="1:17" ht="15.75" thickBot="1">
      <c r="A79" s="3575"/>
      <c r="B79" s="3585"/>
      <c r="C79" s="3586">
        <v>100</v>
      </c>
      <c r="D79" s="3586">
        <f>C79-$K17</f>
        <v>98</v>
      </c>
      <c r="E79" s="3586">
        <f>D79-$K17</f>
        <v>96</v>
      </c>
      <c r="F79" s="3586">
        <f>E79-$K17</f>
        <v>94</v>
      </c>
      <c r="G79" s="3586">
        <f>F79-$K17</f>
        <v>92</v>
      </c>
      <c r="H79" s="3586"/>
      <c r="I79" s="3586"/>
      <c r="J79" s="3586"/>
      <c r="K79" s="3586"/>
      <c r="L79" s="3586"/>
      <c r="M79" s="3587"/>
      <c r="N79" s="3579"/>
      <c r="O79" s="3579"/>
      <c r="P79" s="3574"/>
      <c r="Q79" s="3556"/>
    </row>
    <row r="80" spans="1:17" ht="15.75" thickTop="1">
      <c r="A80" s="3575"/>
      <c r="B80" s="3580" t="s">
        <v>3256</v>
      </c>
      <c r="C80" s="3622" t="s">
        <v>3252</v>
      </c>
      <c r="D80" s="3622" t="s">
        <v>3253</v>
      </c>
      <c r="E80" s="3622" t="s">
        <v>3254</v>
      </c>
      <c r="F80" s="3622" t="s">
        <v>3255</v>
      </c>
      <c r="G80" s="3622" t="s">
        <v>3250</v>
      </c>
      <c r="H80" s="3581"/>
      <c r="I80" s="3581"/>
      <c r="J80" s="3581"/>
      <c r="K80" s="3582"/>
      <c r="L80" s="3583"/>
      <c r="M80" s="3584"/>
      <c r="N80" s="3573"/>
      <c r="O80" s="3573"/>
      <c r="P80" s="3574"/>
      <c r="Q80" s="3556"/>
    </row>
    <row r="81" spans="1:17" ht="15.75" thickBot="1">
      <c r="A81" s="3575"/>
      <c r="B81" s="3585"/>
      <c r="C81" s="3586">
        <v>100</v>
      </c>
      <c r="D81" s="3586">
        <f>C81-$K19</f>
        <v>98</v>
      </c>
      <c r="E81" s="3586">
        <f>D81-$K19</f>
        <v>96</v>
      </c>
      <c r="F81" s="3586">
        <f>E81-$K19</f>
        <v>94</v>
      </c>
      <c r="G81" s="3586">
        <f>F81-$K19</f>
        <v>92</v>
      </c>
      <c r="H81" s="3586"/>
      <c r="I81" s="3586"/>
      <c r="J81" s="3586"/>
      <c r="K81" s="3586"/>
      <c r="L81" s="3586"/>
      <c r="M81" s="3587"/>
      <c r="N81" s="3579"/>
      <c r="O81" s="3579"/>
      <c r="P81" s="3574"/>
      <c r="Q81" s="3556"/>
    </row>
    <row r="82" spans="1:17" ht="15.75" thickTop="1">
      <c r="A82" s="3575"/>
      <c r="B82" s="3588" t="s">
        <v>3257</v>
      </c>
      <c r="C82" s="3623" t="s">
        <v>3258</v>
      </c>
      <c r="D82" s="3623" t="s">
        <v>3259</v>
      </c>
      <c r="E82" s="3623" t="s">
        <v>3260</v>
      </c>
      <c r="F82" s="3623" t="s">
        <v>3261</v>
      </c>
      <c r="G82" s="3623" t="s">
        <v>3262</v>
      </c>
      <c r="H82" s="3581"/>
      <c r="I82" s="3581"/>
      <c r="J82" s="3581"/>
      <c r="K82" s="3581"/>
      <c r="L82" s="3581"/>
      <c r="M82" s="3624"/>
      <c r="N82" s="3579"/>
      <c r="O82" s="3579"/>
      <c r="P82" s="3574"/>
      <c r="Q82" s="3556"/>
    </row>
    <row r="83" spans="1:17" ht="15.75" thickBot="1">
      <c r="A83" s="3575"/>
      <c r="B83" s="3588"/>
      <c r="C83" s="3586">
        <v>100</v>
      </c>
      <c r="D83" s="3586">
        <f>C83-$K21</f>
        <v>98</v>
      </c>
      <c r="E83" s="3586">
        <f t="shared" ref="E83:G83" si="19">D83-$K21</f>
        <v>96</v>
      </c>
      <c r="F83" s="3586">
        <f t="shared" si="19"/>
        <v>94</v>
      </c>
      <c r="G83" s="3586">
        <f t="shared" si="19"/>
        <v>92</v>
      </c>
      <c r="H83" s="3623"/>
      <c r="I83" s="3623"/>
      <c r="J83" s="3623"/>
      <c r="K83" s="3623"/>
      <c r="L83" s="3623"/>
      <c r="M83" s="3432"/>
      <c r="N83" s="3579"/>
      <c r="O83" s="3579"/>
      <c r="P83" s="3574"/>
      <c r="Q83" s="3556"/>
    </row>
    <row r="84" spans="1:17" ht="15.75" thickTop="1">
      <c r="A84" s="3575"/>
      <c r="B84" s="3580" t="s">
        <v>3263</v>
      </c>
      <c r="C84" s="3622" t="s">
        <v>2602</v>
      </c>
      <c r="D84" s="3622" t="s">
        <v>2603</v>
      </c>
      <c r="E84" s="3622" t="s">
        <v>2604</v>
      </c>
      <c r="F84" s="3622" t="s">
        <v>2605</v>
      </c>
      <c r="G84" s="3622" t="s">
        <v>2606</v>
      </c>
      <c r="H84" s="3581"/>
      <c r="I84" s="3581"/>
      <c r="J84" s="3581"/>
      <c r="K84" s="3582"/>
      <c r="L84" s="3583"/>
      <c r="M84" s="3584"/>
      <c r="N84" s="3573"/>
      <c r="O84" s="3573"/>
      <c r="P84" s="3574"/>
      <c r="Q84" s="3556"/>
    </row>
    <row r="85" spans="1:17" ht="15.75" thickBot="1">
      <c r="A85" s="3575"/>
      <c r="B85" s="3585"/>
      <c r="C85" s="3586">
        <v>100</v>
      </c>
      <c r="D85" s="3586">
        <f>C85-$K23</f>
        <v>98</v>
      </c>
      <c r="E85" s="3586">
        <f>D85-$K23</f>
        <v>96</v>
      </c>
      <c r="F85" s="3586">
        <f>E85-$K23</f>
        <v>94</v>
      </c>
      <c r="G85" s="3586">
        <f>F85-$K23</f>
        <v>92</v>
      </c>
      <c r="H85" s="3586"/>
      <c r="I85" s="3586"/>
      <c r="J85" s="3586"/>
      <c r="K85" s="3586"/>
      <c r="L85" s="3586"/>
      <c r="M85" s="3587"/>
      <c r="N85" s="3579"/>
      <c r="O85" s="3579"/>
      <c r="P85" s="3574"/>
      <c r="Q85" s="3556"/>
    </row>
    <row r="86" spans="1:17" s="3374" customFormat="1" ht="15.75" thickTop="1">
      <c r="A86" s="3625"/>
      <c r="B86" s="3580" t="s">
        <v>2685</v>
      </c>
      <c r="C86" s="3626" t="s">
        <v>3090</v>
      </c>
      <c r="D86" s="3626" t="s">
        <v>3091</v>
      </c>
      <c r="E86" s="3626" t="s">
        <v>3092</v>
      </c>
      <c r="F86" s="3626" t="s">
        <v>3282</v>
      </c>
      <c r="G86" s="3626" t="s">
        <v>3093</v>
      </c>
      <c r="H86" s="3596"/>
      <c r="I86" s="3596"/>
      <c r="J86" s="3596"/>
      <c r="K86" s="3596"/>
      <c r="L86" s="3627"/>
      <c r="M86" s="3628"/>
      <c r="N86" s="3562"/>
      <c r="O86" s="3562"/>
      <c r="P86" s="3574"/>
      <c r="Q86" s="3556"/>
    </row>
    <row r="87" spans="1:17" s="3374" customFormat="1" ht="15.75" thickBot="1">
      <c r="A87" s="3625"/>
      <c r="B87" s="3585"/>
      <c r="C87" s="3629">
        <v>100</v>
      </c>
      <c r="D87" s="3586">
        <f t="shared" ref="D87:M87" si="20">C87-$K25</f>
        <v>95</v>
      </c>
      <c r="E87" s="3586">
        <f t="shared" si="20"/>
        <v>90</v>
      </c>
      <c r="F87" s="3586">
        <f t="shared" si="20"/>
        <v>85</v>
      </c>
      <c r="G87" s="3586">
        <f t="shared" si="20"/>
        <v>80</v>
      </c>
      <c r="H87" s="3586">
        <f t="shared" si="20"/>
        <v>75</v>
      </c>
      <c r="I87" s="3586">
        <f t="shared" si="20"/>
        <v>70</v>
      </c>
      <c r="J87" s="3586">
        <f t="shared" si="20"/>
        <v>65</v>
      </c>
      <c r="K87" s="3586">
        <f t="shared" si="20"/>
        <v>60</v>
      </c>
      <c r="L87" s="3586">
        <f t="shared" si="20"/>
        <v>55</v>
      </c>
      <c r="M87" s="3586">
        <f t="shared" si="20"/>
        <v>50</v>
      </c>
      <c r="N87" s="3579"/>
      <c r="O87" s="3579"/>
      <c r="P87" s="3574"/>
      <c r="Q87" s="3556"/>
    </row>
    <row r="88" spans="1:17" s="3374" customFormat="1" ht="15.75" thickTop="1">
      <c r="A88" s="3625"/>
      <c r="B88" s="3580" t="str">
        <f>B26</f>
        <v>平面位置/可视性</v>
      </c>
      <c r="C88" s="3626" t="s">
        <v>3264</v>
      </c>
      <c r="D88" s="3626" t="s">
        <v>3265</v>
      </c>
      <c r="E88" s="3626" t="s">
        <v>3266</v>
      </c>
      <c r="F88" s="3630" t="s">
        <v>3267</v>
      </c>
      <c r="G88" s="3626" t="s">
        <v>3268</v>
      </c>
      <c r="H88" s="3596"/>
      <c r="I88" s="3596"/>
      <c r="J88" s="3596"/>
      <c r="K88" s="3596"/>
      <c r="L88" s="3596"/>
      <c r="M88" s="3628"/>
      <c r="N88" s="3562"/>
      <c r="O88" s="3562"/>
      <c r="P88" s="3574"/>
      <c r="Q88" s="3556"/>
    </row>
    <row r="89" spans="1:17" s="3374" customFormat="1" ht="15.75" thickBot="1">
      <c r="A89" s="3625"/>
      <c r="B89" s="3585"/>
      <c r="C89" s="3603"/>
      <c r="D89" s="3577"/>
      <c r="E89" s="3577"/>
      <c r="F89" s="3577"/>
      <c r="G89" s="3577"/>
      <c r="H89" s="3577"/>
      <c r="I89" s="3577"/>
      <c r="J89" s="3577"/>
      <c r="K89" s="3577"/>
      <c r="L89" s="3577"/>
      <c r="M89" s="3577"/>
      <c r="N89" s="3579"/>
      <c r="O89" s="3579"/>
      <c r="P89" s="3574"/>
      <c r="Q89" s="3556"/>
    </row>
    <row r="90" spans="1:17" s="3474" customFormat="1" ht="15.75" thickTop="1">
      <c r="A90" s="3595"/>
      <c r="B90" s="3580" t="str">
        <f>B27</f>
        <v>人流量</v>
      </c>
      <c r="C90" s="3626" t="s">
        <v>3269</v>
      </c>
      <c r="D90" s="3626" t="s">
        <v>3270</v>
      </c>
      <c r="E90" s="3626" t="s">
        <v>3266</v>
      </c>
      <c r="F90" s="3626" t="s">
        <v>3267</v>
      </c>
      <c r="G90" s="3626" t="s">
        <v>3268</v>
      </c>
      <c r="H90" s="3597"/>
      <c r="I90" s="3597"/>
      <c r="J90" s="3597"/>
      <c r="K90" s="3597"/>
      <c r="L90" s="3598"/>
      <c r="M90" s="3599"/>
      <c r="N90" s="3600"/>
      <c r="O90" s="3600"/>
      <c r="P90" s="3601"/>
      <c r="Q90" s="3602"/>
    </row>
    <row r="91" spans="1:17" s="3474" customFormat="1" ht="15.75" thickBot="1">
      <c r="A91" s="3595"/>
      <c r="B91" s="3585"/>
      <c r="C91" s="3629">
        <v>100</v>
      </c>
      <c r="D91" s="3586">
        <f>C91-$K27</f>
        <v>95</v>
      </c>
      <c r="E91" s="3586">
        <f t="shared" ref="E91:M91" si="21">D91-$K27</f>
        <v>90</v>
      </c>
      <c r="F91" s="3586">
        <f t="shared" si="21"/>
        <v>85</v>
      </c>
      <c r="G91" s="3586">
        <f t="shared" si="21"/>
        <v>80</v>
      </c>
      <c r="H91" s="3586">
        <f t="shared" si="21"/>
        <v>75</v>
      </c>
      <c r="I91" s="3586">
        <f t="shared" si="21"/>
        <v>70</v>
      </c>
      <c r="J91" s="3586">
        <f t="shared" si="21"/>
        <v>65</v>
      </c>
      <c r="K91" s="3586">
        <f t="shared" si="21"/>
        <v>60</v>
      </c>
      <c r="L91" s="3586">
        <f t="shared" si="21"/>
        <v>55</v>
      </c>
      <c r="M91" s="3586">
        <f t="shared" si="21"/>
        <v>50</v>
      </c>
      <c r="N91" s="3600"/>
      <c r="O91" s="3600"/>
      <c r="P91" s="3601"/>
      <c r="Q91" s="3602"/>
    </row>
    <row r="92" spans="1:17" ht="15.75" thickTop="1">
      <c r="A92" s="3575"/>
      <c r="B92" s="3580" t="str">
        <f>B28</f>
        <v>楼层</v>
      </c>
      <c r="C92" s="3596" t="s">
        <v>3271</v>
      </c>
      <c r="D92" s="3596"/>
      <c r="E92" s="3596"/>
      <c r="F92" s="3596"/>
      <c r="G92" s="3596"/>
      <c r="H92" s="3596"/>
      <c r="I92" s="3596"/>
      <c r="J92" s="3596"/>
      <c r="K92" s="3596"/>
      <c r="L92" s="3627"/>
      <c r="M92" s="3628"/>
      <c r="N92" s="3573"/>
      <c r="O92" s="3573"/>
      <c r="P92" s="3574"/>
      <c r="Q92" s="3556"/>
    </row>
    <row r="93" spans="1:17" ht="15.75" thickBot="1">
      <c r="A93" s="3575"/>
      <c r="B93" s="3585"/>
      <c r="C93" s="3577"/>
      <c r="D93" s="3577"/>
      <c r="E93" s="3577"/>
      <c r="F93" s="3577"/>
      <c r="G93" s="3577"/>
      <c r="H93" s="3577"/>
      <c r="I93" s="3577"/>
      <c r="J93" s="3577"/>
      <c r="K93" s="3577"/>
      <c r="L93" s="3577"/>
      <c r="M93" s="3578"/>
      <c r="N93" s="3579"/>
      <c r="O93" s="3579"/>
      <c r="P93" s="3574"/>
      <c r="Q93" s="3556"/>
    </row>
    <row r="94" spans="1:17" ht="15.75" thickTop="1">
      <c r="A94" s="3575"/>
      <c r="B94" s="3580">
        <f>B29</f>
        <v>111</v>
      </c>
      <c r="C94" s="3596"/>
      <c r="D94" s="3596"/>
      <c r="E94" s="3596"/>
      <c r="F94" s="3596"/>
      <c r="G94" s="3631"/>
      <c r="H94" s="3631"/>
      <c r="I94" s="3631"/>
      <c r="J94" s="3631"/>
      <c r="K94" s="3632"/>
      <c r="L94" s="3633"/>
      <c r="M94" s="3634"/>
      <c r="N94" s="3573"/>
      <c r="O94" s="3573"/>
      <c r="P94" s="3574"/>
      <c r="Q94" s="3556"/>
    </row>
    <row r="95" spans="1:17" ht="15.75" thickBot="1">
      <c r="A95" s="3575"/>
      <c r="B95" s="3585"/>
      <c r="C95" s="3603"/>
      <c r="D95" s="3577"/>
      <c r="E95" s="3577"/>
      <c r="F95" s="3577"/>
      <c r="G95" s="3577"/>
      <c r="H95" s="3577"/>
      <c r="I95" s="3577"/>
      <c r="J95" s="3577"/>
      <c r="K95" s="3577"/>
      <c r="L95" s="3577"/>
      <c r="M95" s="3578"/>
      <c r="N95" s="3579"/>
      <c r="O95" s="3579"/>
      <c r="P95" s="3574"/>
      <c r="Q95" s="3556"/>
    </row>
    <row r="96" spans="1:17" ht="15.75" thickTop="1">
      <c r="A96" s="3575"/>
      <c r="B96" s="3580">
        <f>B30</f>
        <v>111</v>
      </c>
      <c r="C96" s="3596"/>
      <c r="D96" s="3596"/>
      <c r="E96" s="3596"/>
      <c r="F96" s="3596"/>
      <c r="G96" s="3631"/>
      <c r="H96" s="3631"/>
      <c r="I96" s="3631"/>
      <c r="J96" s="3631"/>
      <c r="K96" s="3632"/>
      <c r="L96" s="3633"/>
      <c r="M96" s="3634"/>
      <c r="N96" s="3573"/>
      <c r="O96" s="3573"/>
      <c r="P96" s="3574"/>
      <c r="Q96" s="3556"/>
    </row>
    <row r="97" spans="1:17" ht="15.75" thickBot="1">
      <c r="A97" s="3575"/>
      <c r="B97" s="3585"/>
      <c r="C97" s="3603"/>
      <c r="D97" s="3577"/>
      <c r="E97" s="3577"/>
      <c r="F97" s="3577"/>
      <c r="G97" s="3577"/>
      <c r="H97" s="3577"/>
      <c r="I97" s="3577"/>
      <c r="J97" s="3577"/>
      <c r="K97" s="3577"/>
      <c r="L97" s="3577"/>
      <c r="M97" s="3578"/>
      <c r="N97" s="3579"/>
      <c r="O97" s="3579"/>
      <c r="P97" s="3574"/>
      <c r="Q97" s="3556"/>
    </row>
    <row r="98" spans="1:17" ht="15.75" thickTop="1">
      <c r="A98" s="3575"/>
      <c r="B98" s="3588">
        <f>B31</f>
        <v>111</v>
      </c>
      <c r="C98" s="3596"/>
      <c r="D98" s="3596"/>
      <c r="E98" s="3596"/>
      <c r="F98" s="3596"/>
      <c r="G98" s="3635"/>
      <c r="H98" s="3635"/>
      <c r="I98" s="3635"/>
      <c r="J98" s="3635"/>
      <c r="K98" s="3636"/>
      <c r="L98" s="3637"/>
      <c r="M98" s="3638"/>
      <c r="N98" s="3573"/>
      <c r="O98" s="3573"/>
      <c r="P98" s="3574"/>
      <c r="Q98" s="3556"/>
    </row>
    <row r="99" spans="1:17" ht="15.75" thickBot="1">
      <c r="A99" s="3639"/>
      <c r="B99" s="3613"/>
      <c r="C99" s="3614"/>
      <c r="D99" s="3614"/>
      <c r="E99" s="3614"/>
      <c r="F99" s="3614"/>
      <c r="G99" s="3640"/>
      <c r="H99" s="3640"/>
      <c r="I99" s="3640"/>
      <c r="J99" s="3640"/>
      <c r="K99" s="3640"/>
      <c r="L99" s="3640"/>
      <c r="M99" s="3641"/>
      <c r="N99" s="3579"/>
      <c r="O99" s="3579"/>
      <c r="P99" s="3574"/>
      <c r="Q99" s="3556"/>
    </row>
    <row r="100" spans="1:17">
      <c r="A100" s="3566" t="s">
        <v>3272</v>
      </c>
      <c r="B100" s="3567" t="s">
        <v>3273</v>
      </c>
      <c r="C100" s="3642" t="s">
        <v>3274</v>
      </c>
      <c r="D100" s="3642" t="s">
        <v>3275</v>
      </c>
      <c r="E100" s="3642" t="s">
        <v>3276</v>
      </c>
      <c r="F100" s="3642" t="s">
        <v>3277</v>
      </c>
      <c r="G100" s="3642" t="s">
        <v>3278</v>
      </c>
      <c r="H100" s="3569"/>
      <c r="I100" s="3569"/>
      <c r="J100" s="3569"/>
      <c r="K100" s="3570"/>
      <c r="L100" s="3571"/>
      <c r="M100" s="3572"/>
      <c r="N100" s="3573"/>
      <c r="O100" s="3573"/>
      <c r="P100" s="3574"/>
      <c r="Q100" s="3556"/>
    </row>
    <row r="101" spans="1:17" ht="15.75" thickBot="1">
      <c r="A101" s="3575"/>
      <c r="B101" s="3585"/>
      <c r="C101" s="3586">
        <v>100</v>
      </c>
      <c r="D101" s="3586">
        <f t="shared" ref="D101:M101" si="22">C101-$K32</f>
        <v>98</v>
      </c>
      <c r="E101" s="3586">
        <f t="shared" si="22"/>
        <v>96</v>
      </c>
      <c r="F101" s="3586">
        <f t="shared" si="22"/>
        <v>94</v>
      </c>
      <c r="G101" s="3586">
        <f t="shared" si="22"/>
        <v>92</v>
      </c>
      <c r="H101" s="3586">
        <f t="shared" si="22"/>
        <v>90</v>
      </c>
      <c r="I101" s="3586">
        <f t="shared" si="22"/>
        <v>88</v>
      </c>
      <c r="J101" s="3586">
        <f t="shared" si="22"/>
        <v>86</v>
      </c>
      <c r="K101" s="3586">
        <f t="shared" si="22"/>
        <v>84</v>
      </c>
      <c r="L101" s="3586">
        <f t="shared" si="22"/>
        <v>82</v>
      </c>
      <c r="M101" s="3587">
        <f t="shared" si="22"/>
        <v>80</v>
      </c>
      <c r="N101" s="3579"/>
      <c r="O101" s="3579"/>
      <c r="P101" s="3574"/>
      <c r="Q101" s="3556"/>
    </row>
    <row r="102" spans="1:17" ht="15.75" thickTop="1">
      <c r="A102" s="3575"/>
      <c r="B102" s="3580" t="s">
        <v>3279</v>
      </c>
      <c r="C102" s="3622" t="str">
        <f>C103&amp;"(含)"&amp;"-"&amp;D103</f>
        <v>0(含)-100</v>
      </c>
      <c r="D102" s="3622" t="str">
        <f t="shared" ref="D102:L102" si="23">D103&amp;"(含)"&amp;"-"&amp;E103</f>
        <v>100(含)-200</v>
      </c>
      <c r="E102" s="3622" t="str">
        <f t="shared" si="23"/>
        <v>200(含)-500</v>
      </c>
      <c r="F102" s="3622" t="str">
        <f t="shared" si="23"/>
        <v>500(含)-1000</v>
      </c>
      <c r="G102" s="3622" t="str">
        <f t="shared" si="23"/>
        <v>1000(含)-5000</v>
      </c>
      <c r="H102" s="3622" t="str">
        <f t="shared" si="23"/>
        <v>5000(含)-10000</v>
      </c>
      <c r="I102" s="3622" t="str">
        <f t="shared" si="23"/>
        <v>10000(含)-20000</v>
      </c>
      <c r="J102" s="3622" t="str">
        <f t="shared" si="23"/>
        <v>20000(含)-</v>
      </c>
      <c r="K102" s="3622" t="str">
        <f t="shared" si="23"/>
        <v>(含)-</v>
      </c>
      <c r="L102" s="3622" t="str">
        <f t="shared" si="23"/>
        <v>(含)-</v>
      </c>
      <c r="M102" s="3643" t="str">
        <f>M103&amp;"(含)"&amp;"-"&amp;P103</f>
        <v>(含)-</v>
      </c>
      <c r="N102" s="3562"/>
      <c r="O102" s="3562"/>
      <c r="P102" s="3574"/>
      <c r="Q102" s="3556"/>
    </row>
    <row r="103" spans="1:17" s="3474" customFormat="1">
      <c r="A103" s="3644"/>
      <c r="B103" s="3645"/>
      <c r="C103" s="594">
        <v>0</v>
      </c>
      <c r="D103" s="594">
        <v>100</v>
      </c>
      <c r="E103" s="594">
        <v>200</v>
      </c>
      <c r="F103" s="594">
        <v>500</v>
      </c>
      <c r="G103" s="594">
        <v>1000</v>
      </c>
      <c r="H103" s="594">
        <v>5000</v>
      </c>
      <c r="I103" s="594">
        <v>10000</v>
      </c>
      <c r="J103" s="595">
        <v>20000</v>
      </c>
      <c r="K103" s="3646"/>
      <c r="L103" s="3647"/>
      <c r="M103" s="3648"/>
      <c r="N103" s="3600"/>
      <c r="O103" s="3600"/>
      <c r="P103" s="3601"/>
      <c r="Q103" s="3602"/>
    </row>
    <row r="104" spans="1:17" s="3474" customFormat="1" ht="15.75" thickBot="1">
      <c r="A104" s="3595"/>
      <c r="B104" s="3585"/>
      <c r="C104" s="559">
        <v>100</v>
      </c>
      <c r="D104" s="535">
        <v>98</v>
      </c>
      <c r="E104" s="535">
        <v>96</v>
      </c>
      <c r="F104" s="535">
        <v>94</v>
      </c>
      <c r="G104" s="535">
        <v>92</v>
      </c>
      <c r="H104" s="535">
        <v>90</v>
      </c>
      <c r="I104" s="535">
        <v>88</v>
      </c>
      <c r="J104" s="535">
        <v>86</v>
      </c>
      <c r="K104" s="3577"/>
      <c r="L104" s="3577"/>
      <c r="M104" s="3578"/>
      <c r="N104" s="3579"/>
      <c r="O104" s="3579"/>
      <c r="P104" s="3601"/>
      <c r="Q104" s="3602"/>
    </row>
    <row r="105" spans="1:17" ht="15" thickTop="1">
      <c r="A105" s="3649"/>
      <c r="B105" s="3580" t="s">
        <v>3280</v>
      </c>
      <c r="C105" s="3626" t="s">
        <v>3281</v>
      </c>
      <c r="D105" s="3596"/>
      <c r="E105" s="3631"/>
      <c r="F105" s="3631"/>
      <c r="G105" s="3631"/>
      <c r="H105" s="3631"/>
      <c r="I105" s="3631"/>
      <c r="J105" s="3631"/>
      <c r="K105" s="3632"/>
      <c r="L105" s="3633"/>
      <c r="M105" s="3634"/>
      <c r="N105" s="3573"/>
      <c r="O105" s="3573"/>
      <c r="P105" s="3574"/>
      <c r="Q105" s="3556"/>
    </row>
    <row r="106" spans="1:17" ht="15.75" thickBot="1">
      <c r="A106" s="3575"/>
      <c r="B106" s="3585"/>
      <c r="C106" s="3586">
        <v>100</v>
      </c>
      <c r="D106" s="3586">
        <f t="shared" ref="D106:M106" si="24">C106-$K34</f>
        <v>99</v>
      </c>
      <c r="E106" s="3586">
        <f t="shared" si="24"/>
        <v>98</v>
      </c>
      <c r="F106" s="3586">
        <f t="shared" si="24"/>
        <v>97</v>
      </c>
      <c r="G106" s="3586">
        <f t="shared" si="24"/>
        <v>96</v>
      </c>
      <c r="H106" s="3586">
        <f t="shared" si="24"/>
        <v>95</v>
      </c>
      <c r="I106" s="3586">
        <f t="shared" si="24"/>
        <v>94</v>
      </c>
      <c r="J106" s="3586">
        <f t="shared" si="24"/>
        <v>93</v>
      </c>
      <c r="K106" s="3586">
        <f t="shared" si="24"/>
        <v>92</v>
      </c>
      <c r="L106" s="3586">
        <f t="shared" si="24"/>
        <v>91</v>
      </c>
      <c r="M106" s="3587">
        <f t="shared" si="24"/>
        <v>90</v>
      </c>
      <c r="N106" s="3579"/>
      <c r="O106" s="3579"/>
      <c r="P106" s="3574"/>
      <c r="Q106" s="3556"/>
    </row>
    <row r="107" spans="1:17" ht="15" thickTop="1">
      <c r="A107" s="3649"/>
      <c r="B107" s="3580" t="s">
        <v>2621</v>
      </c>
      <c r="C107" s="3626" t="s">
        <v>3111</v>
      </c>
      <c r="D107" s="3626" t="s">
        <v>3112</v>
      </c>
      <c r="E107" s="3626" t="s">
        <v>3113</v>
      </c>
      <c r="F107" s="3650" t="s">
        <v>3114</v>
      </c>
      <c r="G107" s="3631"/>
      <c r="H107" s="3631"/>
      <c r="I107" s="3631"/>
      <c r="J107" s="3631"/>
      <c r="K107" s="3632"/>
      <c r="L107" s="3633"/>
      <c r="M107" s="3634"/>
      <c r="N107" s="3573"/>
      <c r="O107" s="3573"/>
      <c r="P107" s="3574"/>
      <c r="Q107" s="3556"/>
    </row>
    <row r="108" spans="1:17" ht="15.75" thickBot="1">
      <c r="A108" s="3575"/>
      <c r="B108" s="3585"/>
      <c r="C108" s="3586">
        <v>100</v>
      </c>
      <c r="D108" s="3586">
        <f t="shared" ref="D108:M108" si="25">C108-$K35</f>
        <v>99</v>
      </c>
      <c r="E108" s="3586">
        <f t="shared" si="25"/>
        <v>98</v>
      </c>
      <c r="F108" s="3586">
        <f t="shared" si="25"/>
        <v>97</v>
      </c>
      <c r="G108" s="3586">
        <f t="shared" si="25"/>
        <v>96</v>
      </c>
      <c r="H108" s="3586">
        <f t="shared" si="25"/>
        <v>95</v>
      </c>
      <c r="I108" s="3586">
        <f t="shared" si="25"/>
        <v>94</v>
      </c>
      <c r="J108" s="3586">
        <f t="shared" si="25"/>
        <v>93</v>
      </c>
      <c r="K108" s="3586">
        <f t="shared" si="25"/>
        <v>92</v>
      </c>
      <c r="L108" s="3586">
        <f t="shared" si="25"/>
        <v>91</v>
      </c>
      <c r="M108" s="3587">
        <f t="shared" si="25"/>
        <v>90</v>
      </c>
      <c r="N108" s="3579"/>
      <c r="O108" s="3579"/>
      <c r="P108" s="3574"/>
      <c r="Q108" s="3556"/>
    </row>
    <row r="109" spans="1:17" ht="15" thickTop="1">
      <c r="A109" s="3649"/>
      <c r="B109" s="3580" t="s">
        <v>1999</v>
      </c>
      <c r="C109" s="3622" t="str">
        <f>C110&amp;"(含)"&amp;"-"&amp;D110</f>
        <v>0.5(含)-0.6</v>
      </c>
      <c r="D109" s="3622" t="str">
        <f>D110&amp;"(含)"&amp;"-"&amp;E110</f>
        <v>0.6(含)-0.7</v>
      </c>
      <c r="E109" s="3622" t="str">
        <f>E110&amp;"(含)"&amp;"-"&amp;F110</f>
        <v>0.7(含)-0.8</v>
      </c>
      <c r="F109" s="3622" t="str">
        <f>F110&amp;"(含)"&amp;"-"&amp;G110</f>
        <v>0.8(含)-0.9</v>
      </c>
      <c r="G109" s="3622" t="str">
        <f>G110&amp;"(含)"&amp;"-"&amp;ROUND(H110,0)&amp;"(含)"</f>
        <v>0.9(含)-1(含)</v>
      </c>
      <c r="H109" s="3622"/>
      <c r="I109" s="3631"/>
      <c r="J109" s="3631"/>
      <c r="K109" s="3632"/>
      <c r="L109" s="3633"/>
      <c r="M109" s="3634"/>
      <c r="N109" s="3573"/>
      <c r="O109" s="3573"/>
      <c r="P109" s="3574"/>
      <c r="Q109" s="3556"/>
    </row>
    <row r="110" spans="1:17">
      <c r="A110" s="3649"/>
      <c r="B110" s="3588"/>
      <c r="C110" s="3651">
        <v>0.5</v>
      </c>
      <c r="D110" s="3651">
        <v>0.6</v>
      </c>
      <c r="E110" s="3651">
        <v>0.7</v>
      </c>
      <c r="F110" s="3651">
        <v>0.8</v>
      </c>
      <c r="G110" s="3651">
        <v>0.9</v>
      </c>
      <c r="H110" s="3651">
        <v>1.0001</v>
      </c>
      <c r="I110" s="3652"/>
      <c r="J110" s="3652"/>
      <c r="K110" s="3653"/>
      <c r="L110" s="3654"/>
      <c r="M110" s="3655"/>
      <c r="N110" s="3573"/>
      <c r="O110" s="3573"/>
      <c r="P110" s="3574"/>
      <c r="Q110" s="3556"/>
    </row>
    <row r="111" spans="1:17" ht="15.75" thickBot="1">
      <c r="A111" s="3575"/>
      <c r="B111" s="3585"/>
      <c r="C111" s="3629">
        <v>100</v>
      </c>
      <c r="D111" s="3586">
        <f>C111+$K36</f>
        <v>101</v>
      </c>
      <c r="E111" s="3586">
        <f t="shared" ref="E111:M111" si="26">D111+$K36</f>
        <v>102</v>
      </c>
      <c r="F111" s="3586">
        <f t="shared" si="26"/>
        <v>103</v>
      </c>
      <c r="G111" s="3586">
        <f t="shared" si="26"/>
        <v>104</v>
      </c>
      <c r="H111" s="3586">
        <f t="shared" si="26"/>
        <v>105</v>
      </c>
      <c r="I111" s="3586">
        <f t="shared" si="26"/>
        <v>106</v>
      </c>
      <c r="J111" s="3586">
        <f t="shared" si="26"/>
        <v>107</v>
      </c>
      <c r="K111" s="3586">
        <f t="shared" si="26"/>
        <v>108</v>
      </c>
      <c r="L111" s="3586">
        <f t="shared" si="26"/>
        <v>109</v>
      </c>
      <c r="M111" s="3586">
        <f t="shared" si="26"/>
        <v>110</v>
      </c>
      <c r="N111" s="3579"/>
      <c r="O111" s="3579"/>
      <c r="P111" s="3574"/>
      <c r="Q111" s="3556"/>
    </row>
    <row r="112" spans="1:17" s="3474" customFormat="1" ht="15" thickTop="1">
      <c r="A112" s="3644"/>
      <c r="B112" s="3580" t="s">
        <v>2623</v>
      </c>
      <c r="C112" s="3626" t="s">
        <v>3115</v>
      </c>
      <c r="D112" s="3596"/>
      <c r="E112" s="3596"/>
      <c r="F112" s="3596"/>
      <c r="G112" s="3596"/>
      <c r="H112" s="3631"/>
      <c r="I112" s="3631"/>
      <c r="J112" s="3631"/>
      <c r="K112" s="3632"/>
      <c r="L112" s="3633"/>
      <c r="M112" s="3634"/>
      <c r="N112" s="3600"/>
      <c r="O112" s="3600"/>
      <c r="P112" s="3601"/>
      <c r="Q112" s="3602"/>
    </row>
    <row r="113" spans="1:17" s="3474" customFormat="1" ht="15.75" thickBot="1">
      <c r="A113" s="3595"/>
      <c r="B113" s="3585"/>
      <c r="C113" s="3586">
        <v>100</v>
      </c>
      <c r="D113" s="3586">
        <f>C113-$K37</f>
        <v>98</v>
      </c>
      <c r="E113" s="3586">
        <f t="shared" ref="E113:M113" si="27">D113-$K37</f>
        <v>96</v>
      </c>
      <c r="F113" s="3586">
        <f t="shared" si="27"/>
        <v>94</v>
      </c>
      <c r="G113" s="3586">
        <f t="shared" si="27"/>
        <v>92</v>
      </c>
      <c r="H113" s="3586">
        <f t="shared" si="27"/>
        <v>90</v>
      </c>
      <c r="I113" s="3586">
        <f t="shared" si="27"/>
        <v>88</v>
      </c>
      <c r="J113" s="3586">
        <f t="shared" si="27"/>
        <v>86</v>
      </c>
      <c r="K113" s="3586">
        <f t="shared" si="27"/>
        <v>84</v>
      </c>
      <c r="L113" s="3586">
        <f t="shared" si="27"/>
        <v>82</v>
      </c>
      <c r="M113" s="3586">
        <f t="shared" si="27"/>
        <v>80</v>
      </c>
      <c r="N113" s="3600"/>
      <c r="O113" s="3600"/>
      <c r="P113" s="3601"/>
      <c r="Q113" s="3602"/>
    </row>
    <row r="114" spans="1:17" ht="15" thickTop="1">
      <c r="A114" s="3649"/>
      <c r="B114" s="3580" t="s">
        <v>2687</v>
      </c>
      <c r="C114" s="3626" t="s">
        <v>3116</v>
      </c>
      <c r="D114" s="3626" t="s">
        <v>3117</v>
      </c>
      <c r="E114" s="3631"/>
      <c r="F114" s="3631"/>
      <c r="G114" s="3631"/>
      <c r="H114" s="3631"/>
      <c r="I114" s="3631"/>
      <c r="J114" s="3631"/>
      <c r="K114" s="3632"/>
      <c r="L114" s="3633"/>
      <c r="M114" s="3634"/>
      <c r="N114" s="3573"/>
      <c r="O114" s="3573"/>
      <c r="P114" s="3574"/>
      <c r="Q114" s="3556"/>
    </row>
    <row r="115" spans="1:17" ht="15.75" thickBot="1">
      <c r="A115" s="3575"/>
      <c r="B115" s="3585"/>
      <c r="C115" s="3586">
        <v>100</v>
      </c>
      <c r="D115" s="3586">
        <f t="shared" ref="D115:M115" si="28">C115-$K38</f>
        <v>95</v>
      </c>
      <c r="E115" s="3586">
        <f t="shared" si="28"/>
        <v>90</v>
      </c>
      <c r="F115" s="3586">
        <f t="shared" si="28"/>
        <v>85</v>
      </c>
      <c r="G115" s="3586">
        <f t="shared" si="28"/>
        <v>80</v>
      </c>
      <c r="H115" s="3586">
        <f t="shared" si="28"/>
        <v>75</v>
      </c>
      <c r="I115" s="3586">
        <f t="shared" si="28"/>
        <v>70</v>
      </c>
      <c r="J115" s="3586">
        <f t="shared" si="28"/>
        <v>65</v>
      </c>
      <c r="K115" s="3586">
        <f t="shared" si="28"/>
        <v>60</v>
      </c>
      <c r="L115" s="3586">
        <f t="shared" si="28"/>
        <v>55</v>
      </c>
      <c r="M115" s="3587">
        <f t="shared" si="28"/>
        <v>50</v>
      </c>
      <c r="N115" s="3579"/>
      <c r="O115" s="3579"/>
      <c r="P115" s="3574"/>
      <c r="Q115" s="3556"/>
    </row>
    <row r="116" spans="1:17" ht="15" thickTop="1">
      <c r="A116" s="3649"/>
      <c r="B116" s="3580" t="s">
        <v>2688</v>
      </c>
      <c r="C116" s="3626" t="s">
        <v>3118</v>
      </c>
      <c r="D116" s="3626" t="s">
        <v>3119</v>
      </c>
      <c r="E116" s="3596"/>
      <c r="F116" s="3596"/>
      <c r="G116" s="3596"/>
      <c r="H116" s="3631"/>
      <c r="I116" s="3631"/>
      <c r="J116" s="3631"/>
      <c r="K116" s="3632"/>
      <c r="L116" s="3633"/>
      <c r="M116" s="3634"/>
      <c r="N116" s="3573"/>
      <c r="O116" s="3573"/>
      <c r="P116" s="3574"/>
      <c r="Q116" s="3556"/>
    </row>
    <row r="117" spans="1:17" ht="15.75" thickBot="1">
      <c r="A117" s="3575"/>
      <c r="B117" s="3585"/>
      <c r="C117" s="3586">
        <v>100</v>
      </c>
      <c r="D117" s="3586">
        <f>C117-$K39</f>
        <v>98</v>
      </c>
      <c r="E117" s="3586">
        <f>D117-$K39</f>
        <v>96</v>
      </c>
      <c r="F117" s="3586">
        <f>E117-$K39</f>
        <v>94</v>
      </c>
      <c r="G117" s="3586">
        <f>F117-$K39</f>
        <v>92</v>
      </c>
      <c r="H117" s="3586"/>
      <c r="I117" s="3586"/>
      <c r="J117" s="3586"/>
      <c r="K117" s="3586"/>
      <c r="L117" s="3586"/>
      <c r="M117" s="3587"/>
      <c r="N117" s="3579"/>
      <c r="O117" s="3579"/>
      <c r="P117" s="3574"/>
      <c r="Q117" s="3556"/>
    </row>
    <row r="118" spans="1:17" ht="15" thickTop="1">
      <c r="A118" s="3649"/>
      <c r="B118" s="3580" t="s">
        <v>2689</v>
      </c>
      <c r="C118" s="3656"/>
      <c r="D118" s="3656"/>
      <c r="E118" s="3656"/>
      <c r="F118" s="3656"/>
      <c r="G118" s="3656"/>
      <c r="H118" s="3597"/>
      <c r="I118" s="3597"/>
      <c r="J118" s="3597"/>
      <c r="K118" s="3597"/>
      <c r="L118" s="3598"/>
      <c r="M118" s="3599"/>
      <c r="N118" s="3573"/>
      <c r="O118" s="3573"/>
      <c r="P118" s="3574"/>
      <c r="Q118" s="3556"/>
    </row>
    <row r="119" spans="1:17" ht="15.75" thickBot="1">
      <c r="A119" s="3575"/>
      <c r="B119" s="3585"/>
      <c r="C119" s="3603"/>
      <c r="D119" s="3577"/>
      <c r="E119" s="3577"/>
      <c r="F119" s="3577"/>
      <c r="G119" s="3577"/>
      <c r="H119" s="3577"/>
      <c r="I119" s="3577"/>
      <c r="J119" s="3577"/>
      <c r="K119" s="3577"/>
      <c r="L119" s="3577"/>
      <c r="M119" s="3578"/>
      <c r="N119" s="3579"/>
      <c r="O119" s="3579"/>
      <c r="P119" s="3574"/>
      <c r="Q119" s="3556"/>
    </row>
    <row r="120" spans="1:17" s="3474" customFormat="1" ht="15" thickTop="1">
      <c r="A120" s="3644"/>
      <c r="B120" s="3580" t="s">
        <v>2690</v>
      </c>
      <c r="C120" s="3631"/>
      <c r="D120" s="3631"/>
      <c r="E120" s="3631"/>
      <c r="F120" s="3631"/>
      <c r="G120" s="3597"/>
      <c r="H120" s="3597"/>
      <c r="I120" s="3597"/>
      <c r="J120" s="3597"/>
      <c r="K120" s="3597"/>
      <c r="L120" s="3598"/>
      <c r="M120" s="3599"/>
      <c r="N120" s="3600"/>
      <c r="O120" s="3600"/>
      <c r="P120" s="3601"/>
      <c r="Q120" s="3602"/>
    </row>
    <row r="121" spans="1:17" s="3474" customFormat="1" ht="15.75" thickBot="1">
      <c r="A121" s="3595"/>
      <c r="B121" s="3576"/>
      <c r="C121" s="3629">
        <v>100</v>
      </c>
      <c r="D121" s="3586">
        <f>C121-$K41</f>
        <v>97</v>
      </c>
      <c r="E121" s="3586">
        <f t="shared" ref="E121:M121" si="29">D121-$K41</f>
        <v>94</v>
      </c>
      <c r="F121" s="3586">
        <f t="shared" si="29"/>
        <v>91</v>
      </c>
      <c r="G121" s="3586">
        <f t="shared" si="29"/>
        <v>88</v>
      </c>
      <c r="H121" s="3586">
        <f t="shared" si="29"/>
        <v>85</v>
      </c>
      <c r="I121" s="3586">
        <f t="shared" si="29"/>
        <v>82</v>
      </c>
      <c r="J121" s="3586">
        <f t="shared" si="29"/>
        <v>79</v>
      </c>
      <c r="K121" s="3586">
        <f t="shared" si="29"/>
        <v>76</v>
      </c>
      <c r="L121" s="3586">
        <f t="shared" si="29"/>
        <v>73</v>
      </c>
      <c r="M121" s="3587">
        <f t="shared" si="29"/>
        <v>70</v>
      </c>
      <c r="N121" s="3600"/>
      <c r="O121" s="3600"/>
      <c r="P121" s="3601"/>
      <c r="Q121" s="3602"/>
    </row>
    <row r="122" spans="1:17" ht="15" thickTop="1">
      <c r="A122" s="3649"/>
      <c r="B122" s="3580" t="s">
        <v>2625</v>
      </c>
      <c r="C122" s="3626" t="s">
        <v>3111</v>
      </c>
      <c r="D122" s="3626" t="s">
        <v>3112</v>
      </c>
      <c r="E122" s="3626" t="s">
        <v>3113</v>
      </c>
      <c r="F122" s="3650" t="s">
        <v>3114</v>
      </c>
      <c r="G122" s="3631"/>
      <c r="H122" s="3631"/>
      <c r="I122" s="3631"/>
      <c r="J122" s="3631"/>
      <c r="K122" s="3632"/>
      <c r="L122" s="3633"/>
      <c r="M122" s="3634"/>
      <c r="N122" s="3573"/>
      <c r="O122" s="3573"/>
      <c r="P122" s="3574"/>
      <c r="Q122" s="3556"/>
    </row>
    <row r="123" spans="1:17" ht="15.75" thickBot="1">
      <c r="A123" s="3575"/>
      <c r="B123" s="3585"/>
      <c r="C123" s="3586">
        <v>100</v>
      </c>
      <c r="D123" s="3586">
        <f t="shared" ref="D123:M123" si="30">C123-$K42</f>
        <v>97</v>
      </c>
      <c r="E123" s="3586">
        <f t="shared" si="30"/>
        <v>94</v>
      </c>
      <c r="F123" s="3586">
        <f t="shared" si="30"/>
        <v>91</v>
      </c>
      <c r="G123" s="3586">
        <f t="shared" si="30"/>
        <v>88</v>
      </c>
      <c r="H123" s="3586">
        <f t="shared" si="30"/>
        <v>85</v>
      </c>
      <c r="I123" s="3586">
        <f t="shared" si="30"/>
        <v>82</v>
      </c>
      <c r="J123" s="3586">
        <f t="shared" si="30"/>
        <v>79</v>
      </c>
      <c r="K123" s="3586">
        <f t="shared" si="30"/>
        <v>76</v>
      </c>
      <c r="L123" s="3586">
        <f t="shared" si="30"/>
        <v>73</v>
      </c>
      <c r="M123" s="3587">
        <f t="shared" si="30"/>
        <v>70</v>
      </c>
      <c r="N123" s="3579"/>
      <c r="O123" s="3579"/>
      <c r="P123" s="3574"/>
      <c r="Q123" s="3556"/>
    </row>
    <row r="124" spans="1:17" ht="15" thickTop="1">
      <c r="A124" s="3649"/>
      <c r="B124" s="3580" t="s">
        <v>2626</v>
      </c>
      <c r="C124" s="3622" t="s">
        <v>2602</v>
      </c>
      <c r="D124" s="3622" t="s">
        <v>2603</v>
      </c>
      <c r="E124" s="3622" t="s">
        <v>2604</v>
      </c>
      <c r="F124" s="3622" t="s">
        <v>2605</v>
      </c>
      <c r="G124" s="3622" t="s">
        <v>2606</v>
      </c>
      <c r="H124" s="3581"/>
      <c r="I124" s="3581"/>
      <c r="J124" s="3581"/>
      <c r="K124" s="3582"/>
      <c r="L124" s="3583"/>
      <c r="M124" s="3584"/>
      <c r="N124" s="3573"/>
      <c r="O124" s="3573"/>
      <c r="P124" s="3601"/>
      <c r="Q124" s="3556"/>
    </row>
    <row r="125" spans="1:17" ht="15.75" thickBot="1">
      <c r="A125" s="3575"/>
      <c r="B125" s="3585"/>
      <c r="C125" s="3586">
        <v>100</v>
      </c>
      <c r="D125" s="3586">
        <f>C125-$K43</f>
        <v>97</v>
      </c>
      <c r="E125" s="3586">
        <f>D125-$K43</f>
        <v>94</v>
      </c>
      <c r="F125" s="3586">
        <f>E125-$K43</f>
        <v>91</v>
      </c>
      <c r="G125" s="3586">
        <f>F125-$K43</f>
        <v>88</v>
      </c>
      <c r="H125" s="3586"/>
      <c r="I125" s="3586"/>
      <c r="J125" s="3586"/>
      <c r="K125" s="3586"/>
      <c r="L125" s="3586"/>
      <c r="M125" s="3587"/>
      <c r="N125" s="3579"/>
      <c r="O125" s="3579"/>
      <c r="P125" s="3574"/>
      <c r="Q125" s="3556"/>
    </row>
    <row r="126" spans="1:17" s="3474" customFormat="1" ht="15" thickTop="1">
      <c r="A126" s="3644"/>
      <c r="B126" s="3580">
        <f>B44</f>
        <v>111</v>
      </c>
      <c r="C126" s="3596"/>
      <c r="D126" s="3596"/>
      <c r="E126" s="3596"/>
      <c r="F126" s="3596"/>
      <c r="G126" s="3596"/>
      <c r="H126" s="3597"/>
      <c r="I126" s="3597"/>
      <c r="J126" s="3597"/>
      <c r="K126" s="3597"/>
      <c r="L126" s="3598"/>
      <c r="M126" s="3599"/>
      <c r="N126" s="3600"/>
      <c r="O126" s="3600"/>
      <c r="P126" s="3601"/>
      <c r="Q126" s="3602"/>
    </row>
    <row r="127" spans="1:17" s="3474" customFormat="1" ht="15.75" thickBot="1">
      <c r="A127" s="3595"/>
      <c r="B127" s="3585"/>
      <c r="C127" s="3603"/>
      <c r="D127" s="3577"/>
      <c r="E127" s="3577"/>
      <c r="F127" s="3577"/>
      <c r="G127" s="3603"/>
      <c r="H127" s="3606"/>
      <c r="I127" s="3606"/>
      <c r="J127" s="3606"/>
      <c r="K127" s="3606"/>
      <c r="L127" s="3606"/>
      <c r="M127" s="3607"/>
      <c r="N127" s="3600"/>
      <c r="O127" s="3600"/>
      <c r="P127" s="3601"/>
      <c r="Q127" s="3602"/>
    </row>
    <row r="128" spans="1:17" ht="15" thickTop="1">
      <c r="A128" s="3649"/>
      <c r="B128" s="3580">
        <f>B45</f>
        <v>111</v>
      </c>
      <c r="C128" s="3596"/>
      <c r="D128" s="3596"/>
      <c r="E128" s="3596"/>
      <c r="F128" s="3596"/>
      <c r="G128" s="3631"/>
      <c r="H128" s="3631"/>
      <c r="I128" s="3631"/>
      <c r="J128" s="3631"/>
      <c r="K128" s="3632"/>
      <c r="L128" s="3633"/>
      <c r="M128" s="3634"/>
      <c r="N128" s="3573"/>
      <c r="O128" s="3573"/>
      <c r="P128" s="3574"/>
      <c r="Q128" s="3556"/>
    </row>
    <row r="129" spans="1:17" ht="15.75" thickBot="1">
      <c r="A129" s="3575"/>
      <c r="B129" s="3585"/>
      <c r="C129" s="3603"/>
      <c r="D129" s="3577"/>
      <c r="E129" s="3577"/>
      <c r="F129" s="3577"/>
      <c r="G129" s="3577"/>
      <c r="H129" s="3577"/>
      <c r="I129" s="3577"/>
      <c r="J129" s="3577"/>
      <c r="K129" s="3577"/>
      <c r="L129" s="3577"/>
      <c r="M129" s="3578"/>
      <c r="N129" s="3579"/>
      <c r="O129" s="3579"/>
      <c r="P129" s="3574"/>
      <c r="Q129" s="3556"/>
    </row>
    <row r="130" spans="1:17" ht="15" thickTop="1">
      <c r="A130" s="3649"/>
      <c r="B130" s="3588">
        <f>B46</f>
        <v>111</v>
      </c>
      <c r="C130" s="3596"/>
      <c r="D130" s="3596"/>
      <c r="E130" s="3596"/>
      <c r="F130" s="3596"/>
      <c r="G130" s="3635"/>
      <c r="H130" s="3635"/>
      <c r="I130" s="3635"/>
      <c r="J130" s="3635"/>
      <c r="K130" s="3559"/>
      <c r="L130" s="3560"/>
      <c r="M130" s="3638"/>
      <c r="N130" s="3573"/>
      <c r="O130" s="3573"/>
      <c r="P130" s="3574"/>
      <c r="Q130" s="3556"/>
    </row>
    <row r="131" spans="1:17" ht="15.75" thickBot="1">
      <c r="A131" s="3639"/>
      <c r="B131" s="3613"/>
      <c r="C131" s="3614"/>
      <c r="D131" s="3614"/>
      <c r="E131" s="3614"/>
      <c r="F131" s="3614"/>
      <c r="G131" s="3640"/>
      <c r="H131" s="3640"/>
      <c r="I131" s="3640"/>
      <c r="J131" s="3640"/>
      <c r="K131" s="3640"/>
      <c r="L131" s="3640"/>
      <c r="M131" s="3641"/>
      <c r="N131" s="3579"/>
      <c r="O131" s="3579"/>
      <c r="P131" s="3574"/>
      <c r="Q131" s="355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 sqref="D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7" t="s">
        <v>1377</v>
      </c>
      <c r="C1" s="241"/>
      <c r="D1" s="241"/>
      <c r="E1" s="241"/>
      <c r="F1" s="241"/>
      <c r="G1" s="1379">
        <f>MATCH(B1,'数据-取费表'!A6:A16,0)+5</f>
        <v>6</v>
      </c>
    </row>
    <row r="2" spans="1:9" s="243" customFormat="1" ht="18" customHeight="1">
      <c r="A2" s="244" t="s">
        <v>2332</v>
      </c>
      <c r="B2" s="245">
        <f ca="1">IF(D2="——",C52,C52-E2)</f>
        <v>77798</v>
      </c>
      <c r="C2" s="242" t="s">
        <v>2333</v>
      </c>
      <c r="D2" s="2549" t="s">
        <v>70</v>
      </c>
      <c r="E2" s="1440" t="e">
        <f ca="1">SUMIF(INDIRECT("'"&amp;G2&amp;"'"&amp;"!A:A"),"承租人权益价值",INDIRECT("'"&amp;G2&amp;"'"&amp;"!c:c"))</f>
        <v>#REF!</v>
      </c>
      <c r="F2" s="2550" t="s">
        <v>2333</v>
      </c>
      <c r="G2" s="2551"/>
    </row>
    <row r="3" spans="1:9" s="243" customFormat="1" ht="18" customHeight="1" thickBot="1">
      <c r="A3" s="246" t="s">
        <v>2334</v>
      </c>
      <c r="B3" s="247">
        <f ca="1">ROUND(B2*10000/(IF(B1="",'数据-汇总表'!E3,INDIRECT("'数据-取费表'!k"&amp;$G$1))),0)</f>
        <v>27729</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 ca="1">C6+C7+C8</f>
        <v>39166</v>
      </c>
      <c r="D5" s="254" t="s">
        <v>2339</v>
      </c>
      <c r="E5" s="255" t="s">
        <v>2340</v>
      </c>
      <c r="F5" s="255" t="s">
        <v>2341</v>
      </c>
      <c r="G5" s="256"/>
    </row>
    <row r="6" spans="1:9" s="257" customFormat="1" ht="13.5" customHeight="1">
      <c r="A6" s="949" t="s">
        <v>2342</v>
      </c>
      <c r="B6" s="258" t="s">
        <v>2343</v>
      </c>
      <c r="C6" s="259">
        <f ca="1">基准地价修正!C26</f>
        <v>37462</v>
      </c>
      <c r="D6" s="260"/>
      <c r="E6" s="261"/>
      <c r="F6" s="261"/>
      <c r="G6" s="262"/>
    </row>
    <row r="7" spans="1:9" s="257" customFormat="1" ht="13.5" customHeight="1">
      <c r="A7" s="949" t="s">
        <v>2344</v>
      </c>
      <c r="B7" s="258" t="s">
        <v>2345</v>
      </c>
      <c r="C7" s="263">
        <f ca="1">ROUND(C6*F7,0)</f>
        <v>1143</v>
      </c>
      <c r="D7" s="263"/>
      <c r="E7" s="261"/>
      <c r="F7" s="264">
        <f>'数据-取费表'!B48+'数据-取费表'!B49</f>
        <v>3.0499999999999999E-2</v>
      </c>
      <c r="G7" s="262"/>
    </row>
    <row r="8" spans="1:9" s="266" customFormat="1">
      <c r="A8" s="949" t="s">
        <v>2346</v>
      </c>
      <c r="B8" s="258" t="s">
        <v>2347</v>
      </c>
      <c r="C8" s="263">
        <f ca="1">IF(G8="已包含在土地购买价格中","0",IF(B1="",'数据-取费表'!B29,IF(G9="全部缴纳",C9+C10,H9)))</f>
        <v>561</v>
      </c>
      <c r="D8" s="265"/>
      <c r="E8" s="263"/>
      <c r="F8" s="264"/>
      <c r="G8" s="2552" t="s">
        <v>3086</v>
      </c>
    </row>
    <row r="9" spans="1:9" s="257" customFormat="1" ht="13.5" customHeight="1">
      <c r="A9" s="950" t="s">
        <v>800</v>
      </c>
      <c r="B9" s="267" t="s">
        <v>2348</v>
      </c>
      <c r="C9" s="268">
        <f ca="1">ROUND(D9*E9/10000,0)</f>
        <v>0</v>
      </c>
      <c r="D9" s="1032">
        <f ca="1">IF(B1="",'数据-汇总表'!E5,IF(INDIRECT("'数据-取费表'!c"&amp;$G$1)="住宅",INDIRECT("'数据-取费表'!k"&amp;$G$1),0))</f>
        <v>0</v>
      </c>
      <c r="E9" s="268">
        <f>'数据-取费表'!B27</f>
        <v>160</v>
      </c>
      <c r="F9" s="264"/>
      <c r="G9" s="2553" t="s">
        <v>3085</v>
      </c>
      <c r="H9" s="1390"/>
      <c r="I9" s="2554" t="s">
        <v>2349</v>
      </c>
    </row>
    <row r="10" spans="1:9" s="257" customFormat="1" ht="13.5" customHeight="1">
      <c r="A10" s="950" t="s">
        <v>801</v>
      </c>
      <c r="B10" s="267" t="s">
        <v>2350</v>
      </c>
      <c r="C10" s="268">
        <f ca="1">ROUND(D10*E10/10000,0)</f>
        <v>561</v>
      </c>
      <c r="D10" s="1032">
        <f ca="1">IF(B1="",'数据-汇总表'!E6,IF(INDIRECT("'数据-取费表'!c"&amp;$G$1)="住宅",INDIRECT("'数据-取费表'!s"&amp;$G$1),INDIRECT("'数据-取费表'!k"&amp;$G$1)+INDIRECT("'数据-取费表'!s"&amp;$G$1)))</f>
        <v>28056.880000000005</v>
      </c>
      <c r="E10" s="268">
        <f>'数据-取费表'!B28</f>
        <v>200</v>
      </c>
      <c r="F10" s="264"/>
      <c r="G10" s="269"/>
    </row>
    <row r="11" spans="1:9" s="257" customFormat="1" ht="13.5" hidden="1" customHeight="1">
      <c r="A11" s="270" t="s">
        <v>7</v>
      </c>
      <c r="B11" s="258" t="s">
        <v>2351</v>
      </c>
      <c r="C11" s="254"/>
      <c r="D11" s="1034"/>
      <c r="E11" s="261"/>
      <c r="F11" s="261"/>
      <c r="G11" s="262"/>
    </row>
    <row r="12" spans="1:9" s="257" customFormat="1" ht="13.5" hidden="1" customHeight="1">
      <c r="A12" s="270" t="s">
        <v>8</v>
      </c>
      <c r="B12" s="258" t="s">
        <v>2352</v>
      </c>
      <c r="C12" s="254">
        <v>0</v>
      </c>
      <c r="D12" s="1034"/>
      <c r="E12" s="271"/>
      <c r="F12" s="264">
        <v>3.0499999999999999E-2</v>
      </c>
      <c r="G12" s="262"/>
    </row>
    <row r="13" spans="1:9" s="257" customFormat="1" ht="13.5" hidden="1" customHeight="1">
      <c r="A13" s="270" t="s">
        <v>9</v>
      </c>
      <c r="B13" s="258" t="s">
        <v>2353</v>
      </c>
      <c r="C13" s="254"/>
      <c r="D13" s="1034"/>
      <c r="E13" s="261"/>
      <c r="F13" s="261"/>
      <c r="G13" s="262"/>
    </row>
    <row r="14" spans="1:9" s="257" customFormat="1" ht="13.5" hidden="1" customHeight="1">
      <c r="A14" s="270" t="s">
        <v>10</v>
      </c>
      <c r="B14" s="258" t="s">
        <v>2354</v>
      </c>
      <c r="C14" s="254"/>
      <c r="D14" s="1034"/>
      <c r="E14" s="261"/>
      <c r="F14" s="261"/>
      <c r="G14" s="262" t="s">
        <v>2355</v>
      </c>
    </row>
    <row r="15" spans="1:9" s="257" customFormat="1" ht="13.5" hidden="1" customHeight="1">
      <c r="A15" s="270" t="s">
        <v>11</v>
      </c>
      <c r="B15" s="258" t="s">
        <v>2356</v>
      </c>
      <c r="C15" s="263"/>
      <c r="D15" s="1034"/>
      <c r="E15" s="261"/>
      <c r="F15" s="261"/>
      <c r="G15" s="262" t="s">
        <v>2357</v>
      </c>
    </row>
    <row r="16" spans="1:9" s="257" customFormat="1" ht="13.5" hidden="1" customHeight="1">
      <c r="A16" s="270" t="s">
        <v>12</v>
      </c>
      <c r="B16" s="258" t="s">
        <v>2354</v>
      </c>
      <c r="C16" s="263"/>
      <c r="D16" s="1034"/>
      <c r="E16" s="261"/>
      <c r="F16" s="261"/>
      <c r="G16" s="262"/>
    </row>
    <row r="17" spans="1:7" s="257" customFormat="1" ht="13.5" hidden="1" customHeight="1">
      <c r="A17" s="270" t="s">
        <v>13</v>
      </c>
      <c r="B17" s="258" t="s">
        <v>2358</v>
      </c>
      <c r="C17" s="272"/>
      <c r="D17" s="1035"/>
      <c r="E17" s="272"/>
      <c r="F17" s="272"/>
      <c r="G17" s="262" t="s">
        <v>2357</v>
      </c>
    </row>
    <row r="18" spans="1:7" s="257" customFormat="1" ht="13.5" hidden="1" customHeight="1">
      <c r="A18" s="270" t="s">
        <v>14</v>
      </c>
      <c r="B18" s="258" t="s">
        <v>2359</v>
      </c>
      <c r="C18" s="263">
        <v>0</v>
      </c>
      <c r="D18" s="1034"/>
      <c r="E18" s="261"/>
      <c r="F18" s="264">
        <v>3.0499999999999999E-2</v>
      </c>
      <c r="G18" s="262" t="s">
        <v>2360</v>
      </c>
    </row>
    <row r="19" spans="1:7" s="266" customFormat="1" ht="13.5" customHeight="1">
      <c r="A19" s="298" t="s">
        <v>2361</v>
      </c>
      <c r="B19" s="253" t="s">
        <v>2362</v>
      </c>
      <c r="C19" s="254" t="str">
        <f>IF(G19="已包含在土地取得成本中","0",ROUND(D19*E19/10000,0))</f>
        <v>0</v>
      </c>
      <c r="D19" s="1036">
        <f ca="1">D9+D10</f>
        <v>28056.880000000005</v>
      </c>
      <c r="E19" s="254">
        <f>'数据-取费表'!B31</f>
        <v>200</v>
      </c>
      <c r="F19" s="274"/>
      <c r="G19" s="2552" t="s">
        <v>3087</v>
      </c>
    </row>
    <row r="20" spans="1:7" s="257" customFormat="1" ht="13.5" customHeight="1">
      <c r="A20" s="298" t="s">
        <v>2363</v>
      </c>
      <c r="B20" s="253" t="s">
        <v>2364</v>
      </c>
      <c r="C20" s="275">
        <f ca="1">ROUND((C5+C19)*F20,0)</f>
        <v>1175</v>
      </c>
      <c r="D20" s="275"/>
      <c r="E20" s="275"/>
      <c r="F20" s="276">
        <f>'数据-取费表'!B37</f>
        <v>0.03</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4">
        <f ca="1">ROUND(SUM(C23:C25),0)</f>
        <v>3865</v>
      </c>
      <c r="D22" s="278">
        <f ca="1">C26</f>
        <v>1.4E-3</v>
      </c>
      <c r="E22" s="279" t="s">
        <v>2368</v>
      </c>
      <c r="F22" s="280">
        <f ca="1">'数据-取费表'!B40</f>
        <v>4.7500000000000001E-2</v>
      </c>
      <c r="G22" s="277" t="str">
        <f>IF('数据-取费表'!B22&lt;=1,"单利计息","复利计息")</f>
        <v>复利计息</v>
      </c>
    </row>
    <row r="23" spans="1:7" s="257" customFormat="1" ht="13.5" customHeight="1">
      <c r="A23" s="951" t="s">
        <v>2372</v>
      </c>
      <c r="B23" s="258" t="s">
        <v>2373</v>
      </c>
      <c r="C23" s="1355">
        <f ca="1">ROUND(IF('数据-取费表'!B22&lt;=1,C5*F22*'数据-取费表'!B23,C5*(POWER((1+F22),'数据-取费表'!B23)-1)),0)</f>
        <v>3809</v>
      </c>
      <c r="D23" s="281"/>
      <c r="E23" s="281"/>
      <c r="F23" s="282"/>
      <c r="G23" s="283" t="s">
        <v>2374</v>
      </c>
    </row>
    <row r="24" spans="1:7" s="257" customFormat="1" ht="13.5" customHeight="1">
      <c r="A24" s="951" t="s">
        <v>2375</v>
      </c>
      <c r="B24" s="258" t="s">
        <v>2376</v>
      </c>
      <c r="C24" s="1355">
        <f ca="1">ROUND(IF('数据-取费表'!B22&lt;=1,C19*F22*('数据-取费表'!B19/2+'数据-取费表'!B21),C19*(POWER((1+F22),('数据-取费表'!B19/2+'数据-取费表'!B21))-1)),0)</f>
        <v>0</v>
      </c>
      <c r="D24" s="281"/>
      <c r="E24" s="281"/>
      <c r="F24" s="282"/>
      <c r="G24" s="283" t="s">
        <v>2377</v>
      </c>
    </row>
    <row r="25" spans="1:7" s="257" customFormat="1" ht="24">
      <c r="A25" s="951" t="s">
        <v>2378</v>
      </c>
      <c r="B25" s="258" t="s">
        <v>2379</v>
      </c>
      <c r="C25" s="1355">
        <f ca="1">ROUND(IF('数据-取费表'!B22&lt;=1,C20*F22*'数据-取费表'!B23/2,C20*(POWER((1+F22),'数据-取费表'!B23/2)-1)),0)</f>
        <v>56</v>
      </c>
      <c r="D25" s="281"/>
      <c r="E25" s="284"/>
      <c r="F25" s="282"/>
      <c r="G25" s="285" t="s">
        <v>2380</v>
      </c>
    </row>
    <row r="26" spans="1:7" s="257" customFormat="1">
      <c r="A26" s="951"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12102</v>
      </c>
      <c r="D27" s="278">
        <f ca="1">C29</f>
        <v>8.9999999999999993E-3</v>
      </c>
      <c r="E27" s="279" t="s">
        <v>2384</v>
      </c>
      <c r="F27" s="289">
        <f ca="1">IF(B1="",'数据-取费表'!Q16,INDIRECT("'数据-取费表'!q"&amp;$G$1))</f>
        <v>0.3</v>
      </c>
      <c r="G27" s="290" t="s">
        <v>2385</v>
      </c>
    </row>
    <row r="28" spans="1:7" s="257" customFormat="1" ht="13.5" customHeight="1">
      <c r="A28" s="951" t="s">
        <v>791</v>
      </c>
      <c r="B28" s="291" t="s">
        <v>2386</v>
      </c>
      <c r="C28" s="292">
        <f ca="1">ROUND((C5+C19+C20)*F27*'数据-取费表'!B21/'数据-取费表'!B20,0)</f>
        <v>12102</v>
      </c>
      <c r="D28" s="278"/>
      <c r="E28" s="279"/>
      <c r="F28" s="289"/>
      <c r="G28" s="290"/>
    </row>
    <row r="29" spans="1:7" s="257" customFormat="1" ht="13.5" customHeight="1">
      <c r="A29" s="951" t="s">
        <v>792</v>
      </c>
      <c r="B29" s="291" t="s">
        <v>2387</v>
      </c>
      <c r="C29" s="281">
        <f ca="1">ROUND(C21*F27*'数据-取费表'!B21/'数据-取费表'!B20,4)</f>
        <v>8.9999999999999993E-3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62068</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10823</v>
      </c>
      <c r="D33" s="275"/>
      <c r="E33" s="255"/>
      <c r="F33" s="284"/>
      <c r="G33" s="277"/>
    </row>
    <row r="34" spans="1:7" s="301" customFormat="1" ht="13.5" customHeight="1">
      <c r="A34" s="951" t="s">
        <v>791</v>
      </c>
      <c r="B34" s="258" t="s">
        <v>2395</v>
      </c>
      <c r="C34" s="263">
        <f ca="1">IF(B1="",IF(F34=100%,'数据-取费表'!M16,'数据-取费表'!O16),IF(F34=100%,INDIRECT("'数据-取费表'!m"&amp;$G$1)+INDIRECT("'数据-取费表'!t"&amp;$G$1),INDIRECT("'数据-取费表'!o"&amp;$G$1)+INDIRECT("'数据-取费表'!aq"&amp;$G$1)))</f>
        <v>9820</v>
      </c>
      <c r="D34" s="260"/>
      <c r="E34" s="263"/>
      <c r="F34" s="300">
        <f ca="1">IF('数据-取费表'!B24=0,1,IF(B1="",'数据-取费表'!N16,INDIRECT("'数据-取费表'!n"&amp;$G$1)))</f>
        <v>1</v>
      </c>
      <c r="G34" s="262" t="s">
        <v>2396</v>
      </c>
    </row>
    <row r="35" spans="1:7" ht="13.5" customHeight="1">
      <c r="A35" s="951" t="s">
        <v>796</v>
      </c>
      <c r="B35" s="258" t="s">
        <v>2397</v>
      </c>
      <c r="C35" s="263">
        <f ca="1">ROUND(C34*F35,0)</f>
        <v>295</v>
      </c>
      <c r="D35" s="263"/>
      <c r="E35" s="263"/>
      <c r="F35" s="302">
        <f>'数据-取费表'!B33</f>
        <v>0.03</v>
      </c>
      <c r="G35" s="262" t="s">
        <v>2398</v>
      </c>
    </row>
    <row r="36" spans="1:7" ht="24">
      <c r="A36" s="951"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2400</v>
      </c>
    </row>
    <row r="37" spans="1:7" s="301" customFormat="1" ht="13.5" customHeight="1">
      <c r="A37" s="951" t="s">
        <v>798</v>
      </c>
      <c r="B37" s="258" t="s">
        <v>2401</v>
      </c>
      <c r="C37" s="292">
        <f ca="1">ROUND(E37*D37*F34/10000,0)</f>
        <v>561</v>
      </c>
      <c r="D37" s="260">
        <f ca="1">D19</f>
        <v>28056.880000000005</v>
      </c>
      <c r="E37" s="292">
        <f>'数据-取费表'!B35</f>
        <v>200</v>
      </c>
      <c r="F37" s="302"/>
      <c r="G37" s="304" t="s">
        <v>2402</v>
      </c>
    </row>
    <row r="38" spans="1:7" ht="13.5" customHeight="1">
      <c r="A38" s="951" t="s">
        <v>799</v>
      </c>
      <c r="B38" s="258" t="s">
        <v>2403</v>
      </c>
      <c r="C38" s="263">
        <f ca="1">ROUND(C34*F38,0)</f>
        <v>147</v>
      </c>
      <c r="D38" s="263"/>
      <c r="E38" s="263"/>
      <c r="F38" s="302">
        <f>'数据-取费表'!B36</f>
        <v>1.4999999999999999E-2</v>
      </c>
      <c r="G38" s="262" t="s">
        <v>2398</v>
      </c>
    </row>
    <row r="39" spans="1:7" s="257" customFormat="1" ht="13.5" customHeight="1">
      <c r="A39" s="298" t="s">
        <v>2404</v>
      </c>
      <c r="B39" s="253" t="s">
        <v>2405</v>
      </c>
      <c r="C39" s="275">
        <f ca="1">ROUND(C33*F20,0)</f>
        <v>325</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529</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ROUND(IF('数据-取费表'!B22&lt;=1,C33*F22*'数据-取费表'!B21/2,C33*(POWER((1+F22),'数据-取费表'!B21/2)-1)),0)</f>
        <v>514</v>
      </c>
      <c r="D42" s="281"/>
      <c r="E42" s="281"/>
      <c r="F42" s="282"/>
      <c r="G42" s="3197" t="s">
        <v>2414</v>
      </c>
    </row>
    <row r="43" spans="1:7" ht="13.5" customHeight="1">
      <c r="A43" s="951" t="s">
        <v>792</v>
      </c>
      <c r="B43" s="258" t="s">
        <v>2415</v>
      </c>
      <c r="C43" s="281">
        <f ca="1">ROUND(IF('数据-取费表'!B22&lt;=1,C39*F22*'数据-取费表'!B21/2,C39*(POWER((1+F22),'数据-取费表'!B21/2)-1)),0)</f>
        <v>15</v>
      </c>
      <c r="D43" s="281"/>
      <c r="E43" s="281"/>
      <c r="F43" s="282"/>
      <c r="G43" s="3198"/>
    </row>
    <row r="44" spans="1:7" ht="13.5" customHeight="1">
      <c r="A44" s="951" t="s">
        <v>793</v>
      </c>
      <c r="B44" s="258" t="s">
        <v>2416</v>
      </c>
      <c r="C44" s="281">
        <f ca="1">ROUND(IF('数据-取费表'!B22&lt;=1,C40*F22*'数据-取费表'!B21/2,C40*(POWER((1+F22),'数据-取费表'!B21/2)-1)),4)</f>
        <v>1.4E-3</v>
      </c>
      <c r="D44" s="281"/>
      <c r="E44" s="281"/>
      <c r="F44" s="282"/>
      <c r="G44" s="3199"/>
    </row>
    <row r="45" spans="1:7" s="257" customFormat="1" ht="13.5" customHeight="1">
      <c r="A45" s="298" t="s">
        <v>2417</v>
      </c>
      <c r="B45" s="287" t="s">
        <v>2383</v>
      </c>
      <c r="C45" s="288">
        <f ca="1">C46</f>
        <v>3344</v>
      </c>
      <c r="D45" s="278">
        <f ca="1">C47</f>
        <v>8.9999999999999993E-3</v>
      </c>
      <c r="E45" s="279" t="s">
        <v>2409</v>
      </c>
      <c r="F45" s="289"/>
      <c r="G45" s="290" t="s">
        <v>2418</v>
      </c>
    </row>
    <row r="46" spans="1:7" s="257" customFormat="1" ht="13.5" customHeight="1">
      <c r="A46" s="951" t="s">
        <v>791</v>
      </c>
      <c r="B46" s="291" t="s">
        <v>2419</v>
      </c>
      <c r="C46" s="292">
        <f ca="1">ROUND((C33+C39)*F27,0)</f>
        <v>3344</v>
      </c>
      <c r="D46" s="306"/>
      <c r="E46" s="279"/>
      <c r="F46" s="289"/>
      <c r="G46" s="290"/>
    </row>
    <row r="47" spans="1:7" s="257" customFormat="1" ht="13.5" customHeight="1">
      <c r="A47" s="951" t="s">
        <v>792</v>
      </c>
      <c r="B47" s="291" t="s">
        <v>2420</v>
      </c>
      <c r="C47" s="281">
        <f ca="1">ROUND(C40*F27,4)</f>
        <v>8.9999999999999993E-3</v>
      </c>
      <c r="D47" s="306"/>
      <c r="E47" s="279"/>
      <c r="F47" s="289"/>
      <c r="G47" s="290"/>
    </row>
    <row r="48" spans="1:7" s="257" customFormat="1" ht="13.5" customHeight="1">
      <c r="A48" s="298" t="s">
        <v>2382</v>
      </c>
      <c r="B48" s="253" t="s">
        <v>2421</v>
      </c>
      <c r="C48" s="1728">
        <f>ROUND(F30/(1+'数据-取费表'!C42),4)</f>
        <v>5.2400000000000002E-2</v>
      </c>
      <c r="D48" s="279" t="s">
        <v>2409</v>
      </c>
      <c r="E48" s="275"/>
      <c r="F48" s="280"/>
      <c r="G48" s="277" t="s">
        <v>2422</v>
      </c>
    </row>
    <row r="49" spans="1:7" ht="16.5" customHeight="1">
      <c r="A49" s="298" t="s">
        <v>2388</v>
      </c>
      <c r="B49" s="253" t="s">
        <v>2423</v>
      </c>
      <c r="C49" s="275">
        <f ca="1">ROUND((C33+C39+C41+C45)/(1-C40-D41-D45-C48),0)</f>
        <v>16558</v>
      </c>
      <c r="D49" s="275"/>
      <c r="E49" s="275"/>
      <c r="F49" s="307"/>
      <c r="G49" s="277" t="s">
        <v>2424</v>
      </c>
    </row>
    <row r="50" spans="1:7" s="301" customFormat="1" ht="24">
      <c r="A50" s="298" t="s">
        <v>2425</v>
      </c>
      <c r="B50" s="253" t="s">
        <v>2426</v>
      </c>
      <c r="C50" s="275"/>
      <c r="D50" s="275"/>
      <c r="E50" s="275"/>
      <c r="F50" s="307">
        <f>IF('数据-取费表'!B24=0,'数据-取费表'!N16,1)</f>
        <v>0.95</v>
      </c>
      <c r="G50" s="290" t="s">
        <v>2427</v>
      </c>
    </row>
    <row r="51" spans="1:7" ht="16.5" customHeight="1">
      <c r="A51" s="298" t="s">
        <v>2428</v>
      </c>
      <c r="B51" s="253" t="s">
        <v>2429</v>
      </c>
      <c r="C51" s="275">
        <f ca="1">ROUND(C49*F50,0)</f>
        <v>15730</v>
      </c>
      <c r="D51" s="275"/>
      <c r="E51" s="275"/>
      <c r="F51" s="307"/>
      <c r="G51" s="277" t="s">
        <v>2430</v>
      </c>
    </row>
    <row r="52" spans="1:7" s="251" customFormat="1" ht="16.5" thickBot="1">
      <c r="A52" s="308" t="s">
        <v>2431</v>
      </c>
      <c r="B52" s="309"/>
      <c r="C52" s="310">
        <f ca="1">C31+C51</f>
        <v>77798</v>
      </c>
      <c r="D52" s="309"/>
      <c r="E52" s="309"/>
      <c r="F52" s="309"/>
      <c r="G52" s="311"/>
    </row>
    <row r="55" spans="1:7" ht="15">
      <c r="B55" s="313" t="s">
        <v>2432</v>
      </c>
      <c r="C55" s="314"/>
    </row>
    <row r="56" spans="1:7">
      <c r="B56" s="316" t="s">
        <v>1513</v>
      </c>
      <c r="C56" s="318">
        <f ca="1">1-C57</f>
        <v>0.79800000000000004</v>
      </c>
    </row>
    <row r="57" spans="1:7">
      <c r="B57" s="316" t="s">
        <v>1514</v>
      </c>
      <c r="C57" s="317">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7"/>
      <c r="C1" s="2555" t="s">
        <v>2433</v>
      </c>
      <c r="D1" s="241"/>
      <c r="E1" s="241"/>
      <c r="F1" s="241"/>
      <c r="G1" s="1379">
        <f>MATCH(B1,'数据-取费表'!A6:A16,0)+5</f>
        <v>7</v>
      </c>
      <c r="H1" s="1282" t="str">
        <f>IF(ISERROR(FIND("住宅",B1)),"非住宅","住宅")</f>
        <v>非住宅</v>
      </c>
    </row>
    <row r="2" spans="1:8" s="243" customFormat="1" ht="18" customHeight="1">
      <c r="A2" s="244" t="s">
        <v>2332</v>
      </c>
      <c r="B2" s="245">
        <f ca="1">ROUND(IF(D2="——",C52/10000,C52/10000-E2),0)</f>
        <v>17509</v>
      </c>
      <c r="C2" s="242" t="s">
        <v>2333</v>
      </c>
      <c r="D2" s="2549" t="s">
        <v>70</v>
      </c>
      <c r="E2" s="1440" t="e">
        <f ca="1">SUMIF(INDIRECT("'"&amp;G2&amp;"'"&amp;"!A:A"),"承租人权益价值",INDIRECT("'"&amp;G2&amp;"'"&amp;"!c:c"))</f>
        <v>#REF!</v>
      </c>
      <c r="F2" s="2550" t="s">
        <v>2333</v>
      </c>
      <c r="G2" s="2551"/>
    </row>
    <row r="3" spans="1:8" s="243" customFormat="1" ht="18" customHeight="1" thickBot="1">
      <c r="A3" s="246" t="s">
        <v>2334</v>
      </c>
      <c r="B3" s="247">
        <f ca="1">ROUND(B2*10000/(IF(B1="",'数据-汇总表'!E3,INDIRECT("'数据-取费表'!k"&amp;$G$1))),0)</f>
        <v>6241</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5611376</v>
      </c>
      <c r="D5" s="254" t="s">
        <v>2339</v>
      </c>
      <c r="E5" s="255" t="s">
        <v>2340</v>
      </c>
      <c r="F5" s="255" t="s">
        <v>2341</v>
      </c>
      <c r="G5" s="256"/>
    </row>
    <row r="6" spans="1:8" s="257" customFormat="1" ht="13.5" customHeight="1">
      <c r="A6" s="949" t="s">
        <v>2342</v>
      </c>
      <c r="B6" s="258" t="s">
        <v>2343</v>
      </c>
      <c r="C6" s="259"/>
      <c r="D6" s="260"/>
      <c r="E6" s="261"/>
      <c r="F6" s="261"/>
      <c r="G6" s="262"/>
    </row>
    <row r="7" spans="1:8" s="257" customFormat="1" ht="13.5" customHeight="1">
      <c r="A7" s="949" t="s">
        <v>2344</v>
      </c>
      <c r="B7" s="258" t="s">
        <v>2345</v>
      </c>
      <c r="C7" s="263">
        <f>ROUND(C6*F7,0)</f>
        <v>0</v>
      </c>
      <c r="D7" s="263"/>
      <c r="E7" s="261"/>
      <c r="F7" s="264">
        <f>'数据-取费表'!B48+'数据-取费表'!B49</f>
        <v>3.0499999999999999E-2</v>
      </c>
      <c r="G7" s="262"/>
    </row>
    <row r="8" spans="1:8" s="266" customFormat="1">
      <c r="A8" s="949" t="s">
        <v>2346</v>
      </c>
      <c r="B8" s="258" t="s">
        <v>2347</v>
      </c>
      <c r="C8" s="263">
        <f ca="1">IF(G8="已包含在土地购买价格中",0,C9+C10)</f>
        <v>5611376</v>
      </c>
      <c r="D8" s="265"/>
      <c r="E8" s="263"/>
      <c r="F8" s="264"/>
      <c r="G8" s="2552"/>
    </row>
    <row r="9" spans="1:8" s="257" customFormat="1" ht="13.5" customHeight="1">
      <c r="A9" s="950" t="s">
        <v>800</v>
      </c>
      <c r="B9" s="267" t="s">
        <v>2348</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2350</v>
      </c>
      <c r="C10" s="268">
        <f ca="1">ROUND(D10*E10,0)</f>
        <v>5611376</v>
      </c>
      <c r="D10" s="1032">
        <f ca="1">IF(B1="",'数据-汇总表'!E6,IF(INDIRECT("'数据-取费表'!c"&amp;$G$1)="住宅",INDIRECT("'数据-取费表'!s"&amp;$G$1),INDIRECT("'数据-取费表'!k"&amp;$G$1)+INDIRECT("'数据-取费表'!s"&amp;$G$1)))</f>
        <v>28056.880000000005</v>
      </c>
      <c r="E10" s="268">
        <f>'数据-取费表'!B28</f>
        <v>200</v>
      </c>
      <c r="F10" s="264"/>
      <c r="G10" s="269"/>
    </row>
    <row r="11" spans="1:8" s="257" customFormat="1" ht="13.5" hidden="1" customHeight="1">
      <c r="A11" s="270" t="s">
        <v>7</v>
      </c>
      <c r="B11" s="258" t="s">
        <v>2351</v>
      </c>
      <c r="C11" s="254"/>
      <c r="D11" s="1034"/>
      <c r="E11" s="261"/>
      <c r="F11" s="261"/>
      <c r="G11" s="262"/>
    </row>
    <row r="12" spans="1:8" s="257" customFormat="1" ht="13.5" hidden="1" customHeight="1">
      <c r="A12" s="270" t="s">
        <v>8</v>
      </c>
      <c r="B12" s="258" t="s">
        <v>2434</v>
      </c>
      <c r="C12" s="254">
        <v>0</v>
      </c>
      <c r="D12" s="1034"/>
      <c r="E12" s="271"/>
      <c r="F12" s="264">
        <v>3.0499999999999999E-2</v>
      </c>
      <c r="G12" s="262"/>
    </row>
    <row r="13" spans="1:8" s="257" customFormat="1" ht="13.5" hidden="1" customHeight="1">
      <c r="A13" s="270" t="s">
        <v>9</v>
      </c>
      <c r="B13" s="258" t="s">
        <v>2435</v>
      </c>
      <c r="C13" s="254"/>
      <c r="D13" s="1034"/>
      <c r="E13" s="261"/>
      <c r="F13" s="261"/>
      <c r="G13" s="262"/>
    </row>
    <row r="14" spans="1:8" s="257" customFormat="1" ht="13.5" hidden="1" customHeight="1">
      <c r="A14" s="270" t="s">
        <v>10</v>
      </c>
      <c r="B14" s="258" t="s">
        <v>2347</v>
      </c>
      <c r="C14" s="254"/>
      <c r="D14" s="1034"/>
      <c r="E14" s="261"/>
      <c r="F14" s="261"/>
      <c r="G14" s="262" t="s">
        <v>2436</v>
      </c>
    </row>
    <row r="15" spans="1:8" s="257" customFormat="1" ht="13.5" hidden="1" customHeight="1">
      <c r="A15" s="270" t="s">
        <v>11</v>
      </c>
      <c r="B15" s="258" t="s">
        <v>2437</v>
      </c>
      <c r="C15" s="263"/>
      <c r="D15" s="1034"/>
      <c r="E15" s="261"/>
      <c r="F15" s="261"/>
      <c r="G15" s="262" t="s">
        <v>2438</v>
      </c>
    </row>
    <row r="16" spans="1:8" s="257" customFormat="1" ht="13.5" hidden="1" customHeight="1">
      <c r="A16" s="270" t="s">
        <v>12</v>
      </c>
      <c r="B16" s="258" t="s">
        <v>2347</v>
      </c>
      <c r="C16" s="263"/>
      <c r="D16" s="1034"/>
      <c r="E16" s="261"/>
      <c r="F16" s="261"/>
      <c r="G16" s="262"/>
    </row>
    <row r="17" spans="1:7" s="257" customFormat="1" ht="13.5" hidden="1" customHeight="1">
      <c r="A17" s="270" t="s">
        <v>13</v>
      </c>
      <c r="B17" s="258" t="s">
        <v>2439</v>
      </c>
      <c r="C17" s="272"/>
      <c r="D17" s="1035"/>
      <c r="E17" s="272"/>
      <c r="F17" s="272"/>
      <c r="G17" s="262" t="s">
        <v>2438</v>
      </c>
    </row>
    <row r="18" spans="1:7" s="257" customFormat="1" ht="13.5" hidden="1" customHeight="1">
      <c r="A18" s="270" t="s">
        <v>14</v>
      </c>
      <c r="B18" s="258" t="s">
        <v>2440</v>
      </c>
      <c r="C18" s="263">
        <v>0</v>
      </c>
      <c r="D18" s="1034"/>
      <c r="E18" s="261"/>
      <c r="F18" s="264">
        <v>3.0499999999999999E-2</v>
      </c>
      <c r="G18" s="262" t="s">
        <v>2441</v>
      </c>
    </row>
    <row r="19" spans="1:7" s="266" customFormat="1" ht="13.5" customHeight="1">
      <c r="A19" s="298" t="s">
        <v>2442</v>
      </c>
      <c r="B19" s="253" t="s">
        <v>2443</v>
      </c>
      <c r="C19" s="254">
        <f ca="1">IF(G19="已包含在土地取得成本中","0",ROUND(D19*E19,0))</f>
        <v>5611376</v>
      </c>
      <c r="D19" s="1036">
        <f ca="1">D9+D10</f>
        <v>28056.880000000005</v>
      </c>
      <c r="E19" s="254">
        <f>'数据-取费表'!B31</f>
        <v>200</v>
      </c>
      <c r="F19" s="274"/>
      <c r="G19" s="2552"/>
    </row>
    <row r="20" spans="1:7" s="257" customFormat="1" ht="13.5" customHeight="1">
      <c r="A20" s="298" t="s">
        <v>2444</v>
      </c>
      <c r="B20" s="253" t="s">
        <v>2445</v>
      </c>
      <c r="C20" s="275">
        <f ca="1">ROUND((C5+C19)*F20,0)</f>
        <v>336683</v>
      </c>
      <c r="D20" s="275"/>
      <c r="E20" s="275"/>
      <c r="F20" s="276">
        <f>'数据-取费表'!B37</f>
        <v>0.03</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0">
        <f ca="1">ROUND(SUM(C23:C25),0)</f>
        <v>1107474</v>
      </c>
      <c r="D22" s="278">
        <f ca="1">C26</f>
        <v>1.4E-3</v>
      </c>
      <c r="E22" s="279" t="s">
        <v>2449</v>
      </c>
      <c r="F22" s="280">
        <f ca="1">'数据-取费表'!B40</f>
        <v>4.7500000000000001E-2</v>
      </c>
      <c r="G22" s="277" t="str">
        <f>IF('数据-取费表'!B22&lt;=1,"单利计息","复利计息")</f>
        <v>复利计息</v>
      </c>
    </row>
    <row r="23" spans="1:7" s="257" customFormat="1" ht="13.5" customHeight="1">
      <c r="A23" s="951" t="s">
        <v>2342</v>
      </c>
      <c r="B23" s="258" t="s">
        <v>2453</v>
      </c>
      <c r="C23" s="1381">
        <f ca="1">ROUND(IF('数据-取费表'!B22&lt;=1,C5*F22*'数据-取费表'!B22,C5*(POWER((1+F22),'数据-取费表'!B22)-1)),0)</f>
        <v>545741</v>
      </c>
      <c r="D23" s="281"/>
      <c r="E23" s="281"/>
      <c r="F23" s="282"/>
      <c r="G23" s="283" t="s">
        <v>2454</v>
      </c>
    </row>
    <row r="24" spans="1:7" s="257" customFormat="1" ht="13.5" customHeight="1">
      <c r="A24" s="951" t="s">
        <v>2344</v>
      </c>
      <c r="B24" s="258" t="s">
        <v>2455</v>
      </c>
      <c r="C24" s="1381">
        <f ca="1">ROUND(IF('数据-取费表'!B22&lt;=1,C19*F22*('数据-取费表'!B19/2+'数据-取费表'!B20),C19*(POWER((1+F22),('数据-取费表'!B19/2+'数据-取费表'!B20))-1)),0)</f>
        <v>545741</v>
      </c>
      <c r="D24" s="281"/>
      <c r="E24" s="281"/>
      <c r="F24" s="282"/>
      <c r="G24" s="283" t="s">
        <v>2456</v>
      </c>
    </row>
    <row r="25" spans="1:7" s="257" customFormat="1" ht="24">
      <c r="A25" s="951" t="s">
        <v>2346</v>
      </c>
      <c r="B25" s="258" t="s">
        <v>2457</v>
      </c>
      <c r="C25" s="1381">
        <f ca="1">ROUND(IF('数据-取费表'!B22&lt;=1,C20*F22*'数据-取费表'!B22/2,C20*(POWER((1+F22),'数据-取费表'!B22/2)-1)),0)</f>
        <v>15992</v>
      </c>
      <c r="D25" s="281"/>
      <c r="E25" s="284"/>
      <c r="F25" s="282"/>
      <c r="G25" s="285" t="s">
        <v>2458</v>
      </c>
    </row>
    <row r="26" spans="1:7" s="257" customFormat="1">
      <c r="A26" s="951"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3467831</v>
      </c>
      <c r="D27" s="278">
        <f ca="1">C29</f>
        <v>8.9999999999999993E-3</v>
      </c>
      <c r="E27" s="279" t="s">
        <v>2384</v>
      </c>
      <c r="F27" s="289">
        <f ca="1">IF(B1="",'数据-取费表'!Q16,INDIRECT("'数据-取费表'!q"&amp;$G$1))</f>
        <v>0.3</v>
      </c>
      <c r="G27" s="290" t="s">
        <v>2385</v>
      </c>
    </row>
    <row r="28" spans="1:7" s="257" customFormat="1" ht="13.5" customHeight="1">
      <c r="A28" s="951" t="s">
        <v>791</v>
      </c>
      <c r="B28" s="291" t="s">
        <v>2386</v>
      </c>
      <c r="C28" s="292">
        <f ca="1">ROUND((C5+C19+C20)*F27,0)</f>
        <v>3467831</v>
      </c>
      <c r="D28" s="278"/>
      <c r="E28" s="279"/>
      <c r="F28" s="289"/>
      <c r="G28" s="290"/>
    </row>
    <row r="29" spans="1:7" s="257" customFormat="1" ht="13.5" customHeight="1">
      <c r="A29" s="951" t="s">
        <v>792</v>
      </c>
      <c r="B29" s="291" t="s">
        <v>2387</v>
      </c>
      <c r="C29" s="281">
        <f ca="1">ROUND(C21*F27,4)</f>
        <v>8.9999999999999993E-3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17785207</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108229414</v>
      </c>
      <c r="D33" s="275"/>
      <c r="E33" s="255"/>
      <c r="F33" s="284"/>
      <c r="G33" s="277"/>
    </row>
    <row r="34" spans="1:7" s="301" customFormat="1" ht="13.5" customHeight="1">
      <c r="A34" s="951" t="s">
        <v>791</v>
      </c>
      <c r="B34" s="258" t="s">
        <v>2395</v>
      </c>
      <c r="C34" s="263">
        <f ca="1">ROUND(IF(B1="",SUMPRODUCT('数据-取费表'!K6:K14,'数据-取费表'!L6:L14),INDIRECT("'数据-取费表'!l"&amp;$G$1)*INDIRECT("'数据-取费表'!k"&amp;$G$1)+'数据-取费表'!L14*INDIRECT("'数据-取费表'!S"&amp;$G$1)),0)</f>
        <v>98199080</v>
      </c>
      <c r="D34" s="260"/>
      <c r="E34" s="263"/>
      <c r="F34" s="300"/>
      <c r="G34" s="262"/>
    </row>
    <row r="35" spans="1:7" ht="13.5" customHeight="1">
      <c r="A35" s="951" t="s">
        <v>796</v>
      </c>
      <c r="B35" s="258" t="s">
        <v>2397</v>
      </c>
      <c r="C35" s="263">
        <f ca="1">ROUND(C34*F35,0)</f>
        <v>2945972</v>
      </c>
      <c r="D35" s="263"/>
      <c r="E35" s="263"/>
      <c r="F35" s="302">
        <f>'数据-取费表'!B33</f>
        <v>0.03</v>
      </c>
      <c r="G35" s="262" t="s">
        <v>2398</v>
      </c>
    </row>
    <row r="36" spans="1:7" ht="24">
      <c r="A36" s="951" t="s">
        <v>797</v>
      </c>
      <c r="B36" s="258" t="s">
        <v>2399</v>
      </c>
      <c r="C36" s="263">
        <f ca="1">ROUND(IF(B1="",SUM('数据-取费表'!AP6:AP13)*F36,IF(INDIRECT("'数据-取费表'!c"&amp;$G$1)="住宅",INDIRECT("'数据-取费表'!k"&amp;$G$1)*INDIRECT("'数据-取费表'!l"&amp;$G$1)*F36,0)),0)</f>
        <v>0</v>
      </c>
      <c r="D36" s="263"/>
      <c r="E36" s="263"/>
      <c r="F36" s="302">
        <f>'数据-取费表'!B34</f>
        <v>0.03</v>
      </c>
      <c r="G36" s="303" t="s">
        <v>2400</v>
      </c>
    </row>
    <row r="37" spans="1:7" s="301" customFormat="1" ht="13.5" customHeight="1">
      <c r="A37" s="951" t="s">
        <v>798</v>
      </c>
      <c r="B37" s="258" t="s">
        <v>2401</v>
      </c>
      <c r="C37" s="292">
        <f ca="1">ROUND(E37*D37,0)</f>
        <v>5611376</v>
      </c>
      <c r="D37" s="260">
        <f ca="1">D19</f>
        <v>28056.880000000005</v>
      </c>
      <c r="E37" s="292">
        <f>'数据-取费表'!B35</f>
        <v>200</v>
      </c>
      <c r="F37" s="302"/>
      <c r="G37" s="304"/>
    </row>
    <row r="38" spans="1:7" ht="13.5" customHeight="1">
      <c r="A38" s="951" t="s">
        <v>799</v>
      </c>
      <c r="B38" s="258" t="s">
        <v>2403</v>
      </c>
      <c r="C38" s="263">
        <f ca="1">ROUND(C34*F38,0)</f>
        <v>1472986</v>
      </c>
      <c r="D38" s="263"/>
      <c r="E38" s="263"/>
      <c r="F38" s="302">
        <f>'数据-取费表'!B36</f>
        <v>1.4999999999999999E-2</v>
      </c>
      <c r="G38" s="262" t="s">
        <v>2398</v>
      </c>
    </row>
    <row r="39" spans="1:7" s="257" customFormat="1" ht="13.5" customHeight="1">
      <c r="A39" s="298" t="s">
        <v>2404</v>
      </c>
      <c r="B39" s="253" t="s">
        <v>2405</v>
      </c>
      <c r="C39" s="275">
        <f ca="1">ROUND(C33*F20,0)</f>
        <v>3246882</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5295124</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ROUND(IF('数据-取费表'!B22&lt;=1,C33*F22*'数据-取费表'!B20/2,C33*(POWER((1+F22),'数据-取费表'!B20/2)-1)),0)</f>
        <v>5140897</v>
      </c>
      <c r="D42" s="281"/>
      <c r="E42" s="281"/>
      <c r="F42" s="282"/>
      <c r="G42" s="3197" t="s">
        <v>2461</v>
      </c>
    </row>
    <row r="43" spans="1:7" ht="13.5" customHeight="1">
      <c r="A43" s="951" t="s">
        <v>792</v>
      </c>
      <c r="B43" s="258" t="s">
        <v>2415</v>
      </c>
      <c r="C43" s="281">
        <f ca="1">ROUND(IF('数据-取费表'!B22&lt;=1,C39*F22*'数据-取费表'!B20/2,C39*(POWER((1+F22),'数据-取费表'!B20/2)-1)),0)</f>
        <v>154227</v>
      </c>
      <c r="D43" s="281"/>
      <c r="E43" s="281"/>
      <c r="F43" s="282"/>
      <c r="G43" s="3198"/>
    </row>
    <row r="44" spans="1:7" ht="13.5" customHeight="1">
      <c r="A44" s="951" t="s">
        <v>793</v>
      </c>
      <c r="B44" s="258" t="s">
        <v>2416</v>
      </c>
      <c r="C44" s="281">
        <f ca="1">ROUND(IF('数据-取费表'!B22&lt;=1,C40*F22*'数据-取费表'!B20/2,C40*(POWER((1+F22),'数据-取费表'!B20/2)-1)),4)</f>
        <v>1.4E-3</v>
      </c>
      <c r="D44" s="281"/>
      <c r="E44" s="281"/>
      <c r="F44" s="282"/>
      <c r="G44" s="3199"/>
    </row>
    <row r="45" spans="1:7" s="257" customFormat="1" ht="13.5" customHeight="1">
      <c r="A45" s="298" t="s">
        <v>2417</v>
      </c>
      <c r="B45" s="287" t="s">
        <v>2383</v>
      </c>
      <c r="C45" s="288">
        <f ca="1">C46</f>
        <v>33442889</v>
      </c>
      <c r="D45" s="278">
        <f ca="1">C47</f>
        <v>8.9999999999999993E-3</v>
      </c>
      <c r="E45" s="279" t="s">
        <v>2409</v>
      </c>
      <c r="F45" s="289"/>
      <c r="G45" s="290" t="s">
        <v>2418</v>
      </c>
    </row>
    <row r="46" spans="1:7" s="257" customFormat="1" ht="13.5" customHeight="1">
      <c r="A46" s="951" t="s">
        <v>791</v>
      </c>
      <c r="B46" s="291" t="s">
        <v>2419</v>
      </c>
      <c r="C46" s="292">
        <f ca="1">ROUND((C33+C39)*F27,0)</f>
        <v>33442889</v>
      </c>
      <c r="D46" s="306"/>
      <c r="E46" s="279"/>
      <c r="F46" s="289"/>
      <c r="G46" s="290"/>
    </row>
    <row r="47" spans="1:7" s="257" customFormat="1" ht="13.5" customHeight="1">
      <c r="A47" s="951" t="s">
        <v>792</v>
      </c>
      <c r="B47" s="291" t="s">
        <v>2420</v>
      </c>
      <c r="C47" s="281">
        <f ca="1">ROUND(C40*F27,4)</f>
        <v>8.9999999999999993E-3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165580147</v>
      </c>
      <c r="D49" s="275"/>
      <c r="E49" s="275"/>
      <c r="F49" s="307"/>
      <c r="G49" s="277" t="s">
        <v>2424</v>
      </c>
    </row>
    <row r="50" spans="1:7" s="301" customFormat="1">
      <c r="A50" s="298" t="s">
        <v>2425</v>
      </c>
      <c r="B50" s="253" t="s">
        <v>2426</v>
      </c>
      <c r="C50" s="275"/>
      <c r="D50" s="275"/>
      <c r="E50" s="275"/>
      <c r="F50" s="307">
        <f>IF('数据-取费表'!B24=0,'数据-取费表'!N16,1)</f>
        <v>0.95</v>
      </c>
      <c r="G50" s="290"/>
    </row>
    <row r="51" spans="1:7" ht="16.5" customHeight="1">
      <c r="A51" s="298" t="s">
        <v>2428</v>
      </c>
      <c r="B51" s="253" t="s">
        <v>2463</v>
      </c>
      <c r="C51" s="275">
        <f ca="1">ROUND(C49*F50,0)</f>
        <v>157301140</v>
      </c>
      <c r="D51" s="275"/>
      <c r="E51" s="275"/>
      <c r="F51" s="307"/>
      <c r="G51" s="277" t="s">
        <v>2430</v>
      </c>
    </row>
    <row r="52" spans="1:7" s="251" customFormat="1" ht="16.5" thickBot="1">
      <c r="A52" s="308" t="s">
        <v>2431</v>
      </c>
      <c r="B52" s="309"/>
      <c r="C52" s="310">
        <f ca="1">C31+C51</f>
        <v>175086347</v>
      </c>
      <c r="D52" s="309"/>
      <c r="E52" s="309"/>
      <c r="F52" s="309"/>
      <c r="G52" s="311"/>
    </row>
    <row r="55" spans="1:7" ht="15">
      <c r="B55" s="313" t="s">
        <v>2432</v>
      </c>
      <c r="C55" s="314"/>
    </row>
    <row r="56" spans="1:7">
      <c r="B56" s="316" t="s">
        <v>1513</v>
      </c>
      <c r="C56" s="318">
        <f ca="1">1-C57</f>
        <v>0.10199999999999998</v>
      </c>
    </row>
    <row r="57" spans="1:7">
      <c r="B57" s="316" t="s">
        <v>1514</v>
      </c>
      <c r="C57" s="317">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51" sqref="E5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39" t="s">
        <v>2809</v>
      </c>
      <c r="B1" s="240"/>
      <c r="C1" s="244" t="s">
        <v>2810</v>
      </c>
      <c r="D1" s="387">
        <f>SUM(D29:D30,D33:D39)</f>
        <v>28056.880000000001</v>
      </c>
      <c r="E1" s="2719"/>
      <c r="F1" s="2719"/>
      <c r="G1" s="2719"/>
      <c r="H1" s="2719"/>
      <c r="I1" s="2719"/>
      <c r="J1" s="2719"/>
      <c r="K1" s="1370"/>
      <c r="L1" s="2720" t="s">
        <v>2811</v>
      </c>
      <c r="M1" s="1080">
        <f>SUMPRODUCT((区片价!B5:B9=I2)*(区片价!C3:F3=E2)*(区片价!C5:F9))</f>
        <v>0</v>
      </c>
      <c r="N1" s="1083">
        <f>SUMPRODUCT((因素修正幅度!B5:B9=I2)*(因素修正幅度!C3:F3=E2)*(因素修正幅度!C5:F9))</f>
        <v>0</v>
      </c>
      <c r="O1" s="2721"/>
      <c r="P1" s="2721"/>
      <c r="Q1" s="1370"/>
      <c r="R1" s="1602" t="s">
        <v>2812</v>
      </c>
      <c r="S1" s="1602" t="s">
        <v>2813</v>
      </c>
      <c r="T1" s="1602" t="s">
        <v>2814</v>
      </c>
      <c r="U1" s="1602" t="s">
        <v>2815</v>
      </c>
      <c r="V1" s="1602" t="s">
        <v>2816</v>
      </c>
      <c r="W1" s="1606"/>
      <c r="X1" s="1606"/>
      <c r="Y1" s="1606"/>
      <c r="Z1" s="1606"/>
      <c r="AA1" s="1606"/>
      <c r="AB1" s="1606"/>
      <c r="AC1" s="1607"/>
      <c r="AD1" s="1608"/>
      <c r="AE1" s="1608"/>
      <c r="AF1" s="1608"/>
      <c r="AG1" s="1608"/>
      <c r="AH1" s="1608"/>
      <c r="AI1" s="1608"/>
      <c r="AJ1" s="1609"/>
    </row>
    <row r="2" spans="1:36" ht="15.75">
      <c r="A2" s="244" t="s">
        <v>2817</v>
      </c>
      <c r="B2" s="247">
        <f ca="1">C26</f>
        <v>37462</v>
      </c>
      <c r="C2" s="2723" t="s">
        <v>2818</v>
      </c>
      <c r="D2" s="2724" t="s">
        <v>2819</v>
      </c>
      <c r="E2" s="2725" t="s">
        <v>1377</v>
      </c>
      <c r="F2" s="2724" t="s">
        <v>2820</v>
      </c>
      <c r="G2" s="2726" t="str">
        <f>IF(E2="商业",项目基本情况!B37,IF(E2="办公",项目基本情况!C37,IF(E2="住宅",项目基本情况!D37,项目基本情况!E37)))</f>
        <v>六级</v>
      </c>
      <c r="H2" s="2724" t="s">
        <v>2821</v>
      </c>
      <c r="I2" s="2726" t="str">
        <f>IF(E2="商业",项目基本情况!B38,IF(E2="办公",项目基本情况!C38,IF(E2="住宅",项目基本情况!D38,项目基本情况!E38)))</f>
        <v>Ⅵ-亦1</v>
      </c>
      <c r="J2" s="2727"/>
      <c r="K2" s="1370"/>
      <c r="L2" s="2728" t="s">
        <v>2822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2.5518999999999998</v>
      </c>
      <c r="T2" s="1602">
        <f ca="1">ROUND($C$5*$C$18*$C$19*$C$20*S2*$C$24,0)</f>
        <v>35538</v>
      </c>
      <c r="U2" s="1603"/>
      <c r="V2" s="1602">
        <f ca="1">ROUND(T2*U2/10000,0)</f>
        <v>0</v>
      </c>
      <c r="W2" s="1606"/>
      <c r="X2" s="1606"/>
      <c r="Y2" s="1606"/>
      <c r="Z2" s="1606"/>
      <c r="AA2" s="1606"/>
      <c r="AB2" s="1606"/>
      <c r="AC2" s="1607"/>
      <c r="AD2" s="1608"/>
      <c r="AE2" s="1608"/>
      <c r="AF2" s="1608"/>
      <c r="AG2" s="1608"/>
      <c r="AH2" s="1608"/>
      <c r="AI2" s="1608"/>
      <c r="AJ2" s="1609"/>
    </row>
    <row r="3" spans="1:36" ht="25.5">
      <c r="A3" s="246" t="s">
        <v>2823</v>
      </c>
      <c r="B3" s="247">
        <f ca="1">ROUND(B2*10000/D1,0)</f>
        <v>13352</v>
      </c>
      <c r="C3" s="2723" t="s">
        <v>2824</v>
      </c>
      <c r="D3" s="2724" t="s">
        <v>2825</v>
      </c>
      <c r="E3" s="2729" t="s">
        <v>3076</v>
      </c>
      <c r="F3" s="2730" t="s">
        <v>3077</v>
      </c>
      <c r="G3" s="913">
        <f>IF(F3="宗地容积率",'数据-汇总表'!I4,IF(F3="估价对象容积率",'数据-汇总表'!I6,'数据-汇总表'!I7))</f>
        <v>0.73</v>
      </c>
      <c r="H3" s="197" t="s">
        <v>2826</v>
      </c>
      <c r="I3" s="944">
        <v>1</v>
      </c>
      <c r="J3" s="2727" t="s">
        <v>2827</v>
      </c>
      <c r="K3" s="1370"/>
      <c r="L3" s="2728" t="s">
        <v>2828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1.8318000000000001</v>
      </c>
      <c r="T3" s="1602">
        <f t="shared" ref="T3:T16" ca="1" si="0">ROUND($C$5*$C$18*$C$19*$C$20*S3*$C$24,0)</f>
        <v>25510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14"/>
      <c r="B4" s="3215"/>
      <c r="C4" s="3215"/>
      <c r="D4" s="3216"/>
      <c r="E4" s="3216"/>
      <c r="F4" s="3216"/>
      <c r="G4" s="3216"/>
      <c r="H4" s="3216"/>
      <c r="I4" s="3216"/>
      <c r="J4" s="3217"/>
      <c r="K4" s="1370"/>
      <c r="L4" s="2728" t="s">
        <v>2829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1.4778</v>
      </c>
      <c r="T4" s="1602">
        <f t="shared" ca="1" si="0"/>
        <v>20580</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2830</v>
      </c>
      <c r="C5" s="914">
        <f>ROUND(IF(E2="商业",IF(F16="增加",C6*C7+C16,C6*C7-C16),IF(E2="住宅",IF(F16="增加",C6*C12+C16,C6*C12-C16),IF(F16="增加",C6+C16,C6-C16))),0)</f>
        <v>9820</v>
      </c>
      <c r="D5" s="1787">
        <f>ROUND(IF(E2="商业",IF(F16="增加",C6+C16,C6-C16)),0)</f>
        <v>9820</v>
      </c>
      <c r="E5" s="2733"/>
      <c r="F5" s="2733"/>
      <c r="G5" s="2734"/>
      <c r="H5" s="2734"/>
      <c r="I5" s="2734"/>
      <c r="J5" s="2735"/>
      <c r="K5" s="2736"/>
      <c r="L5" s="2728" t="s">
        <v>2831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1.1858</v>
      </c>
      <c r="T5" s="1602">
        <f t="shared" ca="1" si="0"/>
        <v>16514</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2832</v>
      </c>
      <c r="B6" s="2742" t="s">
        <v>2833</v>
      </c>
      <c r="C6" s="915">
        <f>SUMIF(L1:L12,G2,M1:M12)</f>
        <v>9820</v>
      </c>
      <c r="D6" s="2743" t="s">
        <v>2834</v>
      </c>
      <c r="E6" s="2744"/>
      <c r="F6" s="2744"/>
      <c r="G6" s="2745"/>
      <c r="H6" s="2745"/>
      <c r="I6" s="2745"/>
      <c r="J6" s="2746"/>
      <c r="K6" s="1842"/>
      <c r="L6" s="2728" t="s">
        <v>2835</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1.0097</v>
      </c>
      <c r="T6" s="1602">
        <f t="shared" ca="1" si="0"/>
        <v>14061</v>
      </c>
      <c r="U6" s="1603"/>
      <c r="V6" s="1602">
        <f t="shared" ca="1" si="1"/>
        <v>0</v>
      </c>
      <c r="W6" s="1606"/>
      <c r="X6" s="1606"/>
      <c r="Y6" s="1606"/>
      <c r="Z6" s="1606"/>
      <c r="AA6" s="1606"/>
      <c r="AB6" s="1606"/>
      <c r="AC6" s="2737"/>
      <c r="AD6" s="2738"/>
      <c r="AE6" s="2738"/>
      <c r="AF6" s="2738"/>
      <c r="AG6" s="2738"/>
      <c r="AH6" s="2738"/>
      <c r="AI6" s="2738"/>
      <c r="AJ6" s="2739"/>
    </row>
    <row r="7" spans="1:36" ht="24">
      <c r="A7" s="3200" t="str">
        <f>IF(E2="商业",IF(C8="不临58条商业街","",2),"")</f>
        <v/>
      </c>
      <c r="B7" s="2747" t="s">
        <v>2836</v>
      </c>
      <c r="C7" s="916">
        <f>IF(C8="不临58条商业街",1,ROUND(1+(1.6*E8+1.2*E9+0.8*E10+0.4*E11)*C9,4))</f>
        <v>1</v>
      </c>
      <c r="D7" s="2748" t="s">
        <v>2837</v>
      </c>
      <c r="E7" s="945"/>
      <c r="F7" s="2749"/>
      <c r="G7" s="2750"/>
      <c r="H7" s="2750"/>
      <c r="I7" s="2750"/>
      <c r="J7" s="2751"/>
      <c r="K7" s="1842"/>
      <c r="L7" s="2728" t="s">
        <v>2838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0.88790000000000002</v>
      </c>
      <c r="T7" s="1602">
        <f t="shared" ca="1" si="0"/>
        <v>12365</v>
      </c>
      <c r="U7" s="1603"/>
      <c r="V7" s="1602">
        <f t="shared" ca="1" si="1"/>
        <v>0</v>
      </c>
      <c r="W7" s="1816" t="s">
        <v>2839</v>
      </c>
      <c r="X7" s="1604" t="str">
        <f>G2</f>
        <v>六级</v>
      </c>
      <c r="Y7" s="1604" t="s">
        <v>2840</v>
      </c>
      <c r="Z7" s="1605">
        <f>G3</f>
        <v>0.73</v>
      </c>
      <c r="AA7" s="1606"/>
      <c r="AB7" s="1606"/>
      <c r="AC7" s="1607"/>
      <c r="AD7" s="1608"/>
      <c r="AE7" s="1608"/>
      <c r="AF7" s="1608"/>
      <c r="AG7" s="1608"/>
      <c r="AH7" s="1608"/>
      <c r="AI7" s="1608"/>
      <c r="AJ7" s="1609"/>
    </row>
    <row r="8" spans="1:36" ht="25.5">
      <c r="A8" s="3201"/>
      <c r="B8" s="197" t="s">
        <v>2841</v>
      </c>
      <c r="C8" s="2752" t="s">
        <v>3078</v>
      </c>
      <c r="D8" s="917" t="s">
        <v>139</v>
      </c>
      <c r="E8" s="918" t="e">
        <f>ROUND(C11/E7,4)</f>
        <v>#DIV/0!</v>
      </c>
      <c r="F8" s="2753" t="s">
        <v>2842</v>
      </c>
      <c r="G8" s="2754"/>
      <c r="H8" s="2754"/>
      <c r="I8" s="2754"/>
      <c r="J8" s="2755"/>
      <c r="K8" s="1370"/>
      <c r="L8" s="2728" t="s">
        <v>2843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11" t="s">
        <v>2844</v>
      </c>
      <c r="X8" s="3212"/>
      <c r="Y8" s="1610" t="s">
        <v>2845</v>
      </c>
      <c r="Z8" s="1610" t="s">
        <v>2846</v>
      </c>
      <c r="AA8" s="1610" t="s">
        <v>2847</v>
      </c>
      <c r="AB8" s="1610" t="s">
        <v>2848</v>
      </c>
      <c r="AC8" s="1610" t="s">
        <v>2849</v>
      </c>
      <c r="AD8" s="1610" t="s">
        <v>2850</v>
      </c>
      <c r="AE8" s="1610" t="s">
        <v>2851</v>
      </c>
      <c r="AF8" s="1610" t="s">
        <v>2852</v>
      </c>
      <c r="AG8" s="1610" t="s">
        <v>2853</v>
      </c>
      <c r="AH8" s="1610" t="s">
        <v>2854</v>
      </c>
      <c r="AI8" s="1610" t="s">
        <v>2855</v>
      </c>
      <c r="AJ8" s="1610" t="s">
        <v>2856</v>
      </c>
    </row>
    <row r="9" spans="1:36" ht="15">
      <c r="A9" s="3201"/>
      <c r="B9" s="197" t="s">
        <v>2857</v>
      </c>
      <c r="C9" s="919">
        <f>SUMIF(修正!C59:C119,C8,修正!E59:E119)</f>
        <v>0</v>
      </c>
      <c r="D9" s="199" t="s">
        <v>140</v>
      </c>
      <c r="E9" s="199" t="e">
        <f>ROUND(C11/E7,4)</f>
        <v>#DIV/0!</v>
      </c>
      <c r="F9" s="2753" t="s">
        <v>2858</v>
      </c>
      <c r="G9" s="2754"/>
      <c r="H9" s="2754"/>
      <c r="I9" s="2754"/>
      <c r="J9" s="2755"/>
      <c r="K9" s="1370"/>
      <c r="L9" s="2728" t="s">
        <v>2859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3" t="s">
        <v>2860</v>
      </c>
      <c r="X9" s="1611" t="s">
        <v>2861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1"/>
      <c r="B10" s="197" t="s">
        <v>2862</v>
      </c>
      <c r="C10" s="199">
        <f>SUMIF(修正!C59:C119,C8,修正!F59:F119)</f>
        <v>0</v>
      </c>
      <c r="D10" s="199" t="s">
        <v>141</v>
      </c>
      <c r="E10" s="199" t="e">
        <f>ROUND(C11/E7,4)</f>
        <v>#DIV/0!</v>
      </c>
      <c r="F10" s="2753" t="s">
        <v>2863</v>
      </c>
      <c r="G10" s="2754"/>
      <c r="H10" s="2754"/>
      <c r="I10" s="2754"/>
      <c r="J10" s="2755"/>
      <c r="K10" s="1370"/>
      <c r="L10" s="2728" t="s">
        <v>2864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1"/>
      <c r="B11" s="2756" t="s">
        <v>2865</v>
      </c>
      <c r="C11" s="920">
        <f>C10/4</f>
        <v>0</v>
      </c>
      <c r="D11" s="920" t="s">
        <v>142</v>
      </c>
      <c r="E11" s="920" t="e">
        <f>ROUND(C11/E7,4)</f>
        <v>#DIV/0!</v>
      </c>
      <c r="F11" s="2757" t="s">
        <v>2866</v>
      </c>
      <c r="G11" s="2758"/>
      <c r="H11" s="2758"/>
      <c r="I11" s="2758"/>
      <c r="J11" s="2759"/>
      <c r="K11" s="1370"/>
      <c r="L11" s="2728" t="s">
        <v>2867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3" t="s">
        <v>2868</v>
      </c>
      <c r="X11" s="1614" t="s">
        <v>2869</v>
      </c>
      <c r="Y11" s="1615">
        <f>$G$3</f>
        <v>0.73</v>
      </c>
      <c r="Z11" s="1615">
        <f t="shared" ref="Z11:AJ11" si="3">$G$3</f>
        <v>0.73</v>
      </c>
      <c r="AA11" s="1615">
        <f t="shared" si="3"/>
        <v>0.73</v>
      </c>
      <c r="AB11" s="1615">
        <f t="shared" si="3"/>
        <v>0.73</v>
      </c>
      <c r="AC11" s="1615">
        <f t="shared" si="3"/>
        <v>0.73</v>
      </c>
      <c r="AD11" s="1615">
        <f t="shared" si="3"/>
        <v>0.73</v>
      </c>
      <c r="AE11" s="1615">
        <f t="shared" si="3"/>
        <v>0.73</v>
      </c>
      <c r="AF11" s="1615">
        <f t="shared" si="3"/>
        <v>0.73</v>
      </c>
      <c r="AG11" s="1615">
        <f t="shared" si="3"/>
        <v>0.73</v>
      </c>
      <c r="AH11" s="1615">
        <f t="shared" si="3"/>
        <v>0.73</v>
      </c>
      <c r="AI11" s="1615">
        <f t="shared" si="3"/>
        <v>0.73</v>
      </c>
      <c r="AJ11" s="1615">
        <f t="shared" si="3"/>
        <v>0.73</v>
      </c>
    </row>
    <row r="12" spans="1:36" ht="25.5" thickBot="1">
      <c r="A12" s="3200" t="s">
        <v>2870</v>
      </c>
      <c r="B12" s="2760" t="s">
        <v>2871</v>
      </c>
      <c r="C12" s="916">
        <f>ROUND(C15*D15*E15*F15*G15*H15*I15*J15,4)</f>
        <v>1</v>
      </c>
      <c r="D12" s="2761" t="s">
        <v>2872</v>
      </c>
      <c r="E12" s="2762"/>
      <c r="F12" s="2762"/>
      <c r="G12" s="2763"/>
      <c r="H12" s="2763"/>
      <c r="I12" s="2763"/>
      <c r="J12" s="2764"/>
      <c r="K12" s="1370"/>
      <c r="L12" s="2765" t="s">
        <v>2873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3"/>
      <c r="X12" s="1616" t="s">
        <v>2874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18"/>
      <c r="B13" s="2766" t="s">
        <v>2875</v>
      </c>
      <c r="C13" s="2767" t="s">
        <v>2876</v>
      </c>
      <c r="D13" s="1808" t="s">
        <v>2877</v>
      </c>
      <c r="E13" s="1808" t="s">
        <v>2878</v>
      </c>
      <c r="F13" s="29" t="s">
        <v>2879</v>
      </c>
      <c r="G13" s="2768" t="s">
        <v>2880</v>
      </c>
      <c r="H13" s="2768" t="s">
        <v>2880</v>
      </c>
      <c r="I13" s="2768" t="s">
        <v>2880</v>
      </c>
      <c r="J13" s="2769" t="s">
        <v>2880</v>
      </c>
      <c r="K13" s="1370"/>
      <c r="L13" s="1370"/>
      <c r="M13" s="1370"/>
      <c r="N13" s="1370"/>
      <c r="O13" s="1370"/>
      <c r="P13" s="1370"/>
      <c r="Q13" s="1370"/>
      <c r="R13" s="1602">
        <v>12</v>
      </c>
      <c r="S13" s="1603"/>
      <c r="T13" s="1602">
        <f t="shared" ca="1" si="0"/>
        <v>0</v>
      </c>
      <c r="U13" s="1603"/>
      <c r="V13" s="1602">
        <f t="shared" ca="1" si="1"/>
        <v>0</v>
      </c>
      <c r="W13" s="3213"/>
      <c r="X13" s="1616"/>
      <c r="Y13" s="1613">
        <f>(-0.163*(Y12^2)-0.59*Y12+7617)*(10^(-4))/Y11</f>
        <v>1.0434246575342467</v>
      </c>
      <c r="Z13" s="1613">
        <f t="shared" ref="Z13:AJ13" si="5">(-0.163*(Z12^2)-0.59*Z12+7617)*(10^(-4))/Z11</f>
        <v>1.0434246575342467</v>
      </c>
      <c r="AA13" s="1613">
        <f t="shared" si="5"/>
        <v>1.0434246575342467</v>
      </c>
      <c r="AB13" s="1613">
        <f t="shared" si="5"/>
        <v>1.0434246575342467</v>
      </c>
      <c r="AC13" s="1613">
        <f t="shared" si="5"/>
        <v>1.0434246575342467</v>
      </c>
      <c r="AD13" s="1613">
        <f t="shared" si="5"/>
        <v>1.0434246575342467</v>
      </c>
      <c r="AE13" s="1613">
        <f t="shared" si="5"/>
        <v>1.0434246575342467</v>
      </c>
      <c r="AF13" s="1613">
        <f t="shared" si="5"/>
        <v>1.0434246575342467</v>
      </c>
      <c r="AG13" s="1613">
        <f t="shared" si="5"/>
        <v>1.0434246575342467</v>
      </c>
      <c r="AH13" s="1613">
        <f t="shared" si="5"/>
        <v>1.0434246575342467</v>
      </c>
      <c r="AI13" s="1613">
        <f t="shared" si="5"/>
        <v>1.0434246575342467</v>
      </c>
      <c r="AJ13" s="1613">
        <f t="shared" si="5"/>
        <v>1.0434246575342467</v>
      </c>
    </row>
    <row r="14" spans="1:36" ht="15">
      <c r="A14" s="3218"/>
      <c r="B14" s="2770"/>
      <c r="C14" s="2771"/>
      <c r="D14" s="2772"/>
      <c r="E14" s="2772"/>
      <c r="F14" s="2773"/>
      <c r="G14" s="2774" t="s">
        <v>2881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19"/>
      <c r="B15" s="2778" t="s">
        <v>2882</v>
      </c>
      <c r="C15" s="228">
        <f>IF(C14="有",1.1,1)</f>
        <v>1</v>
      </c>
      <c r="D15" s="228">
        <f>IF(D14="有",1.1,1)</f>
        <v>1</v>
      </c>
      <c r="E15" s="228">
        <f>IF(E14="有",1.1,1)</f>
        <v>1</v>
      </c>
      <c r="F15" s="228">
        <f>IF(F14="500米范围内",1.2,IF(F14="500-1000米",1.1,1))</f>
        <v>1</v>
      </c>
      <c r="G15" s="946">
        <v>1</v>
      </c>
      <c r="H15" s="946">
        <v>1</v>
      </c>
      <c r="I15" s="946">
        <v>1</v>
      </c>
      <c r="J15" s="947">
        <v>1</v>
      </c>
      <c r="K15" s="1370"/>
      <c r="L15" s="2779" t="s">
        <v>2819</v>
      </c>
      <c r="M15" s="917" t="s">
        <v>2883</v>
      </c>
      <c r="N15" s="917" t="s">
        <v>2884</v>
      </c>
      <c r="O15" s="917" t="s">
        <v>2885</v>
      </c>
      <c r="P15" s="2780" t="s">
        <v>2886</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00" t="s">
        <v>2887</v>
      </c>
      <c r="B16" s="2747" t="s">
        <v>2888</v>
      </c>
      <c r="C16" s="1801">
        <f>ROUND(SUM(G17:J17)/C17,0)</f>
        <v>0</v>
      </c>
      <c r="D16" s="2781" t="s">
        <v>2889</v>
      </c>
      <c r="E16" s="2782" t="s">
        <v>3079</v>
      </c>
      <c r="F16" s="2783" t="s">
        <v>3080</v>
      </c>
      <c r="G16" s="2784"/>
      <c r="H16" s="2784"/>
      <c r="I16" s="2784"/>
      <c r="J16" s="2785"/>
      <c r="K16" s="1370"/>
      <c r="L16" s="2786" t="s">
        <v>2890</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01"/>
      <c r="B17" s="2787" t="s">
        <v>2891</v>
      </c>
      <c r="C17" s="921">
        <f>SUMPRODUCT((修正!A2:A5=E2)*(修正!B1:M1=G2)*(修正!B2:M5))</f>
        <v>2.5</v>
      </c>
      <c r="D17" s="2788" t="s">
        <v>2892</v>
      </c>
      <c r="E17" s="920" t="str">
        <f>IF(OR(G2="八级",G2="九级",G2="十级",G2="十一级",G2="十二级"),"五通一平","七通一平")</f>
        <v>七通一平</v>
      </c>
      <c r="F17" s="921" t="s">
        <v>2893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2894</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2895</v>
      </c>
      <c r="C18" s="923">
        <f>SUMIF(修正!C18:C39,E3,修正!E18:E39)</f>
        <v>1.1000000000000001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2896</v>
      </c>
      <c r="C19" s="924">
        <f>ROUND(IF(H19="按公示增长率计算",SUMPRODUCT((地价!A3:A22=YEAR(G19)&amp;"-"&amp;ROUNDUP(MONTH(G19)/3,0))*(地价!X2:AB2=E2)*(地价!X3:AB22)),IF(H19="地价指数",M20/M19,(1+I19)^O19)),4)</f>
        <v>1.2685</v>
      </c>
      <c r="D19" s="2799" t="s">
        <v>2897</v>
      </c>
      <c r="E19" s="925">
        <v>41640</v>
      </c>
      <c r="F19" s="2799" t="s">
        <v>2898</v>
      </c>
      <c r="G19" s="926">
        <f>'数据-取费表'!B2</f>
        <v>43208</v>
      </c>
      <c r="H19" s="2800" t="s">
        <v>3081</v>
      </c>
      <c r="I19" s="927" t="str">
        <f>IF(H19="季度增幅（自定义）",SUMIF(N21:N24,E2,O21:O24),"")</f>
        <v/>
      </c>
      <c r="J19" s="2797"/>
      <c r="K19" s="1377"/>
      <c r="L19" s="2801" t="s">
        <v>2899</v>
      </c>
      <c r="M19" s="1734">
        <f>ROUND(SUMIF(地价!B2:F2,E2,地价!B22:F22),0)</f>
        <v>258</v>
      </c>
      <c r="N19" s="2802" t="s">
        <v>2900</v>
      </c>
      <c r="O19" s="928">
        <f>ROUNDDOWN(DATEDIF(E19,G19,"M")/3,0)</f>
        <v>17</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2901</v>
      </c>
      <c r="C20" s="929">
        <f ca="1">ROUND(POWER(1+G20,J20-I20)*(POWER(1+G20,I20)-1)/(POWER(1+G20,J20)-1),4)</f>
        <v>0.91810000000000003</v>
      </c>
      <c r="D20" s="2808" t="s">
        <v>2902</v>
      </c>
      <c r="E20" s="1768">
        <f ca="1">存贷款利率!D4/100</f>
        <v>4.3499999999999997E-2</v>
      </c>
      <c r="F20" s="2808" t="s">
        <v>2894</v>
      </c>
      <c r="G20" s="934">
        <f ca="1">SUMIF(M15:P15,E2,M17:P17)</f>
        <v>5.3999999999999999E-2</v>
      </c>
      <c r="H20" s="2808" t="s">
        <v>2903</v>
      </c>
      <c r="I20" s="935">
        <f>SUMIF('数据-取费表'!C6:C15,E2,'数据-取费表'!F6:F15)/COUNTIF('数据-取费表'!C6:C15,E2)</f>
        <v>31.19</v>
      </c>
      <c r="J20" s="936">
        <f>IF(E2="住宅",70,IF(E2="商业",40,50))</f>
        <v>40</v>
      </c>
      <c r="K20" s="1377"/>
      <c r="L20" s="2809" t="s">
        <v>2904</v>
      </c>
      <c r="M20" s="1735">
        <f>ROUND(SUMPRODUCT((地价!A4:A22=YEAR(G19)&amp;"-"&amp;ROUNDUP(MONTH(G19)/3,0))*(地价!B2:F2=E2)*(地价!B4:F22)),0)</f>
        <v>326</v>
      </c>
      <c r="N20" s="2810" t="s">
        <v>2905</v>
      </c>
      <c r="O20" s="2811" t="s">
        <v>2906</v>
      </c>
      <c r="P20" s="2812" t="s">
        <v>2907</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3082</v>
      </c>
      <c r="C21" s="937">
        <f>IF(B21="容积率修正",IF(G3&lt;=10,D22,J22),C23)</f>
        <v>1.9612000000000001</v>
      </c>
      <c r="D21" s="2815"/>
      <c r="E21" s="2815"/>
      <c r="F21" s="2815"/>
      <c r="G21" s="2815"/>
      <c r="H21" s="2815"/>
      <c r="I21" s="2815"/>
      <c r="J21" s="2816"/>
      <c r="K21" s="1377"/>
      <c r="N21" s="2817" t="s">
        <v>2908</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40" customFormat="1" ht="14.25">
      <c r="A22" s="2666" t="s">
        <v>2909</v>
      </c>
      <c r="B22" s="2818" t="s">
        <v>2910</v>
      </c>
      <c r="C22" s="1810" t="s">
        <v>2911</v>
      </c>
      <c r="D22" s="1810">
        <f>IF(E22=G22,F22,IF(G3&lt;=10,ROUND(F22+(H22-F22)*(G3-E22)/(G22-E22),4),"——"))</f>
        <v>1.9612000000000001</v>
      </c>
      <c r="E22" s="913">
        <f>ROUNDDOWN(G3,1)</f>
        <v>0.7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2.0375999999999999</v>
      </c>
      <c r="G22" s="913">
        <f>ROUNDUP(G3,1)</f>
        <v>0.79999999999999993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1.7828999999999999</v>
      </c>
      <c r="I22" s="1810" t="s">
        <v>155</v>
      </c>
      <c r="J22" s="938" t="str">
        <f>IF(G3&gt;10,D113,"——")</f>
        <v>——</v>
      </c>
      <c r="K22" s="1377"/>
      <c r="N22" s="2817" t="s">
        <v>2912</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6" t="s">
        <v>2913</v>
      </c>
      <c r="B23" s="2819" t="s">
        <v>2914</v>
      </c>
      <c r="C23" s="1013">
        <f>ROUND(IF(G3&gt;1,IF(I3&lt;7,SUMPRODUCT((B93:B98=I3)*(C92:N92=G2)*(C93:N98)),SUMIF(C92:N92,G2,C100:N100)),IF(I3&lt;7,SUMPRODUCT((B102:B107=I3)*(C92:N92=G2)*(C102:N107)),SUMIF(C92:N92,G2,C109:N109))),4)</f>
        <v>2.5518999999999998</v>
      </c>
      <c r="D23" s="2775"/>
      <c r="E23" s="2775"/>
      <c r="F23" s="2820"/>
      <c r="G23" s="2821"/>
      <c r="H23" s="2822"/>
      <c r="I23" s="2823"/>
      <c r="J23" s="2824"/>
      <c r="K23" s="1370"/>
      <c r="N23" s="2817" t="s">
        <v>2915</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2916</v>
      </c>
      <c r="C24" s="924">
        <f>SUMIF(A45:A88,E2,B45:B88)</f>
        <v>1.107</v>
      </c>
      <c r="D24" s="2795"/>
      <c r="E24" s="2825"/>
      <c r="F24" s="2825"/>
      <c r="G24" s="2825"/>
      <c r="H24" s="2825"/>
      <c r="I24" s="2825"/>
      <c r="J24" s="2826"/>
      <c r="K24" s="1377"/>
      <c r="N24" s="2827" t="s">
        <v>2917</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2918</v>
      </c>
      <c r="C25" s="930"/>
      <c r="D25" s="2750"/>
      <c r="E25" s="2750"/>
      <c r="F25" s="2829"/>
      <c r="G25" s="2750"/>
      <c r="H25" s="2750"/>
      <c r="I25" s="2750"/>
      <c r="J25" s="2751"/>
      <c r="K25" s="1370"/>
      <c r="N25" s="2830" t="s">
        <v>2919</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31"/>
      <c r="B26" s="2818" t="s">
        <v>2920</v>
      </c>
      <c r="C26" s="205">
        <f ca="1">E29+SUM(E33:E39)</f>
        <v>37462</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2921</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2922</v>
      </c>
      <c r="C28" s="2842" t="s">
        <v>2923</v>
      </c>
      <c r="D28" s="2842" t="s">
        <v>2924</v>
      </c>
      <c r="E28" s="2843" t="s">
        <v>2925</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2926</v>
      </c>
      <c r="C29" s="205">
        <f ca="1">ROUND(C5*C18*C19*C20*C21*C24,0)</f>
        <v>27312</v>
      </c>
      <c r="D29" s="2847">
        <f>'数据-汇总表'!F19</f>
        <v>9285.3700000000008</v>
      </c>
      <c r="E29" s="942">
        <f ca="1">ROUND(C29*D29/10000,0)</f>
        <v>25360</v>
      </c>
      <c r="F29" s="2848" t="s">
        <v>2927</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2928</v>
      </c>
      <c r="C30" s="228">
        <f ca="1">ROUND(IF(E2="工业",C29*M39,C29*M38),0)</f>
        <v>6828</v>
      </c>
      <c r="D30" s="2853"/>
      <c r="E30" s="942">
        <f ca="1">ROUND(C30*D30/10000,0)</f>
        <v>0</v>
      </c>
      <c r="F30" s="2854" t="s">
        <v>2929</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2930</v>
      </c>
      <c r="C31" s="2859" t="s">
        <v>2931</v>
      </c>
      <c r="D31" s="2763"/>
      <c r="E31" s="2859"/>
      <c r="F31" s="2859"/>
      <c r="G31" s="2761" t="s">
        <v>2932</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0" t="s">
        <v>2923</v>
      </c>
      <c r="D32" s="497" t="s">
        <v>2924</v>
      </c>
      <c r="E32" s="497" t="s">
        <v>2925</v>
      </c>
      <c r="F32" s="387" t="s">
        <v>2933</v>
      </c>
      <c r="G32" s="2862" t="s">
        <v>2923</v>
      </c>
      <c r="H32" s="2862" t="s">
        <v>2924</v>
      </c>
      <c r="I32" s="2862" t="s">
        <v>2925</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08" t="s">
        <v>2934</v>
      </c>
      <c r="B33" s="2863" t="s">
        <v>2935</v>
      </c>
      <c r="C33" s="205">
        <f ca="1">ROUND(D5*C19*C20*C24*F33,0)</f>
        <v>8862</v>
      </c>
      <c r="D33" s="2847">
        <v>6835.68</v>
      </c>
      <c r="E33" s="199">
        <f ca="1">ROUND(C33*D33/10000,0)</f>
        <v>6058</v>
      </c>
      <c r="F33" s="199">
        <f>SUMIF(修正!A45:A56,G2,修正!B45:B56)</f>
        <v>0.7</v>
      </c>
      <c r="G33" s="199">
        <f t="shared" ref="G33:G39" ca="1" si="6">ROUND(IF(E2="工业",C33*$M$39,C33*$M$38),0)</f>
        <v>2216</v>
      </c>
      <c r="H33" s="199">
        <f>D33</f>
        <v>6835.68</v>
      </c>
      <c r="I33" s="199">
        <f ca="1">ROUND(G33*H33/10000,0)</f>
        <v>1515</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09"/>
      <c r="B34" s="2767" t="s">
        <v>2936</v>
      </c>
      <c r="C34" s="205">
        <f ca="1">ROUND(D5*C19*C20*C24*F34,0)</f>
        <v>5064</v>
      </c>
      <c r="D34" s="2847">
        <v>11935.83</v>
      </c>
      <c r="E34" s="199">
        <f t="shared" ref="E34:E39" ca="1" si="7">ROUND(C34*D34/10000,0)</f>
        <v>6044</v>
      </c>
      <c r="F34" s="199">
        <f>SUMIF(修正!A45:A56,G2,修正!C45:C56)</f>
        <v>0.4</v>
      </c>
      <c r="G34" s="199">
        <f t="shared" ca="1" si="6"/>
        <v>1266</v>
      </c>
      <c r="H34" s="199">
        <f t="shared" ref="H34:H39" si="8">D34</f>
        <v>11935.83</v>
      </c>
      <c r="I34" s="199">
        <f t="shared" ref="I34:I39" ca="1" si="9">ROUND(G34*H34/10000,0)</f>
        <v>1511</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09"/>
      <c r="B35" s="2767" t="s">
        <v>2937</v>
      </c>
      <c r="C35" s="205">
        <f ca="1">ROUND(D5*C19*C20*C24*F35,0)</f>
        <v>3545</v>
      </c>
      <c r="D35" s="2847"/>
      <c r="E35" s="199">
        <f t="shared" ca="1" si="7"/>
        <v>0</v>
      </c>
      <c r="F35" s="199">
        <f>SUMIF(修正!A45:A56,G2,修正!D45:D56)</f>
        <v>0.28000000000000003</v>
      </c>
      <c r="G35" s="199">
        <f t="shared" ca="1" si="6"/>
        <v>886</v>
      </c>
      <c r="H35" s="199">
        <f t="shared" si="8"/>
        <v>0</v>
      </c>
      <c r="I35" s="199">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210"/>
      <c r="B36" s="2767" t="s">
        <v>2938</v>
      </c>
      <c r="C36" s="205">
        <f ca="1">ROUND(D5*C19*C20*C24*F36,0)</f>
        <v>3165</v>
      </c>
      <c r="D36" s="2847"/>
      <c r="E36" s="199">
        <f t="shared" ca="1" si="7"/>
        <v>0</v>
      </c>
      <c r="F36" s="199">
        <f>SUMIF(修正!A45:A56,G2,修正!E45:E56)</f>
        <v>0.25</v>
      </c>
      <c r="G36" s="199">
        <f t="shared" ca="1" si="6"/>
        <v>791</v>
      </c>
      <c r="H36" s="199">
        <f t="shared" si="8"/>
        <v>0</v>
      </c>
      <c r="I36" s="199">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2939</v>
      </c>
      <c r="C37" s="199">
        <f ca="1">ROUND(C5*C19*C20*C24*F37,0)</f>
        <v>3165</v>
      </c>
      <c r="D37" s="2847"/>
      <c r="E37" s="199">
        <f t="shared" ca="1" si="7"/>
        <v>0</v>
      </c>
      <c r="F37" s="205">
        <f>SUMIF(修正!A45:A56,G2,修正!F45:F56)</f>
        <v>0.25</v>
      </c>
      <c r="G37" s="199">
        <f t="shared" ca="1" si="6"/>
        <v>791</v>
      </c>
      <c r="H37" s="199">
        <f t="shared" si="8"/>
        <v>0</v>
      </c>
      <c r="I37" s="199">
        <f t="shared" ca="1" si="9"/>
        <v>0</v>
      </c>
      <c r="J37" s="2864"/>
      <c r="K37" s="1370"/>
      <c r="L37" s="2866" t="s">
        <v>2940</v>
      </c>
      <c r="M37" s="2867"/>
      <c r="N37" s="1370"/>
      <c r="O37" s="1370"/>
      <c r="P37" s="1370"/>
      <c r="Q37" s="1370"/>
      <c r="R37" s="1370"/>
      <c r="S37" s="1370"/>
      <c r="T37" s="1370"/>
      <c r="U37" s="1370"/>
      <c r="V37" s="1370"/>
      <c r="W37" s="1370"/>
      <c r="X37" s="1370"/>
      <c r="Y37" s="1370"/>
      <c r="Z37" s="1371"/>
    </row>
    <row r="38" spans="1:37">
      <c r="A38" s="2865"/>
      <c r="B38" s="2767" t="s">
        <v>2941</v>
      </c>
      <c r="C38" s="199">
        <f ca="1">ROUND(C5*C19*C20*C24*F38,0)</f>
        <v>3165</v>
      </c>
      <c r="D38" s="2847"/>
      <c r="E38" s="199">
        <f t="shared" ca="1" si="7"/>
        <v>0</v>
      </c>
      <c r="F38" s="205">
        <f>SUMIF(修正!A45:A56,G2,修正!G45:G56)</f>
        <v>0.25</v>
      </c>
      <c r="G38" s="199">
        <f t="shared" ca="1" si="6"/>
        <v>791</v>
      </c>
      <c r="H38" s="199">
        <f t="shared" si="8"/>
        <v>0</v>
      </c>
      <c r="I38" s="199">
        <f t="shared" ca="1" si="9"/>
        <v>0</v>
      </c>
      <c r="J38" s="2864"/>
      <c r="K38" s="1370"/>
      <c r="L38" s="1887" t="s">
        <v>2942</v>
      </c>
      <c r="M38" s="2868">
        <v>0.25</v>
      </c>
      <c r="N38" s="1370"/>
      <c r="O38" s="1370"/>
      <c r="P38" s="1370"/>
      <c r="Q38" s="1370"/>
      <c r="R38" s="1370"/>
      <c r="S38" s="1370"/>
      <c r="T38" s="1370"/>
      <c r="U38" s="1370"/>
      <c r="V38" s="1370"/>
      <c r="W38" s="1370"/>
      <c r="X38" s="1370"/>
      <c r="Y38" s="1370"/>
      <c r="Z38" s="1371"/>
    </row>
    <row r="39" spans="1:37" ht="13.5" thickBot="1">
      <c r="A39" s="2851"/>
      <c r="B39" s="2869" t="s">
        <v>2943</v>
      </c>
      <c r="C39" s="228">
        <f ca="1">ROUND(C5*C19*C20*C24*F39,0)</f>
        <v>2532</v>
      </c>
      <c r="D39" s="2853"/>
      <c r="E39" s="228">
        <f t="shared" ca="1" si="7"/>
        <v>0</v>
      </c>
      <c r="F39" s="932">
        <f>SUMIF(修正!A45:A56,G2,修正!H45:H56)</f>
        <v>0.2</v>
      </c>
      <c r="G39" s="228" t="e">
        <f t="shared" si="6"/>
        <v>#DIV/0!</v>
      </c>
      <c r="H39" s="228">
        <f t="shared" si="8"/>
        <v>0</v>
      </c>
      <c r="I39" s="228" t="e">
        <f t="shared" si="9"/>
        <v>#DIV/0!</v>
      </c>
      <c r="J39" s="2870"/>
      <c r="K39" s="1370"/>
      <c r="L39" s="2871" t="s">
        <v>2886</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2944</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2945</v>
      </c>
      <c r="B46" s="2877">
        <f>1+E48</f>
        <v>1.107</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2946</v>
      </c>
      <c r="B47" s="1809" t="s">
        <v>2947</v>
      </c>
      <c r="C47" s="1809" t="s">
        <v>2948</v>
      </c>
      <c r="D47" s="1809" t="s">
        <v>2949</v>
      </c>
      <c r="E47" s="816" t="s">
        <v>2950</v>
      </c>
      <c r="F47" s="2881" t="s">
        <v>2951</v>
      </c>
      <c r="G47" s="1809" t="s">
        <v>754</v>
      </c>
      <c r="H47" s="2882" t="s">
        <v>2952</v>
      </c>
      <c r="I47" s="1809" t="s">
        <v>2953</v>
      </c>
      <c r="J47" s="602" t="s">
        <v>2602</v>
      </c>
      <c r="K47" s="602" t="s">
        <v>2603</v>
      </c>
      <c r="L47" s="602" t="s">
        <v>2604</v>
      </c>
      <c r="M47" s="602" t="s">
        <v>2605</v>
      </c>
      <c r="N47" s="602" t="s">
        <v>2606</v>
      </c>
      <c r="AA47" s="1371"/>
      <c r="AB47" s="1371"/>
      <c r="AC47" s="1371"/>
      <c r="AD47" s="1371"/>
      <c r="AE47" s="1371"/>
      <c r="AF47" s="1371"/>
      <c r="AG47" s="1371"/>
      <c r="AH47" s="1371"/>
      <c r="AI47" s="1371"/>
      <c r="AJ47" s="1371"/>
      <c r="AK47" s="1371"/>
    </row>
    <row r="48" spans="1:37" s="1370" customFormat="1" ht="38.25">
      <c r="A48" s="2880" t="s">
        <v>2954</v>
      </c>
      <c r="B48" s="2883" t="str">
        <f>估价对象房地状况!C4</f>
        <v>估价对象位于XX商圈，周边商业氛围成熟，人流量大，商业繁华度好</v>
      </c>
      <c r="C48" s="2772" t="s">
        <v>3083</v>
      </c>
      <c r="D48" s="1286">
        <f t="shared" ref="D48:D56" si="10">SUMIF($J$47:$N$47,C48,J48:N48)</f>
        <v>4.1399999999999999E-2</v>
      </c>
      <c r="E48" s="818">
        <f>ROUND(SUM(D48:D56),4)</f>
        <v>0.107</v>
      </c>
      <c r="F48" s="2503">
        <f>IF(E2="商业",SUMIF(L1:L12,G2,N1:N12),"——")</f>
        <v>0.126</v>
      </c>
      <c r="G48" s="1284">
        <v>2.07E-2</v>
      </c>
      <c r="H48" s="1288">
        <f t="shared" ref="H48:H56" si="11">IFERROR(ROUNDDOWN($F$48*I48/2,4),"——")</f>
        <v>2.07E-2</v>
      </c>
      <c r="I48" s="817">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80" t="s">
        <v>2955</v>
      </c>
      <c r="B49" s="2884" t="str">
        <f>估价对象房地状况!C18</f>
        <v>估价对象周边道路状况、公共交通通达情况、停车便捷程度，综合评价交通便捷度较好</v>
      </c>
      <c r="C49" s="2772" t="s">
        <v>3083</v>
      </c>
      <c r="D49" s="1286">
        <f t="shared" si="10"/>
        <v>3.1399999999999997E-2</v>
      </c>
      <c r="E49" s="819"/>
      <c r="F49" s="2503"/>
      <c r="G49" s="1284">
        <v>1.5699999999999999E-2</v>
      </c>
      <c r="H49" s="1288">
        <f t="shared" si="11"/>
        <v>1.5699999999999999E-2</v>
      </c>
      <c r="I49" s="817">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80" t="s">
        <v>2956</v>
      </c>
      <c r="B50" s="2884">
        <f>估价对象房地状况!C19</f>
        <v>0</v>
      </c>
      <c r="C50" s="2772" t="s">
        <v>3084</v>
      </c>
      <c r="D50" s="1286">
        <f t="shared" si="10"/>
        <v>3.0999999999999999E-3</v>
      </c>
      <c r="E50" s="819"/>
      <c r="F50" s="2503"/>
      <c r="G50" s="1284">
        <v>3.0999999999999999E-3</v>
      </c>
      <c r="H50" s="1288">
        <f t="shared" si="11"/>
        <v>3.0999999999999999E-3</v>
      </c>
      <c r="I50" s="817">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80" t="s">
        <v>2957</v>
      </c>
      <c r="B51" s="2885" t="s">
        <v>2958</v>
      </c>
      <c r="C51" s="2772" t="s">
        <v>3084</v>
      </c>
      <c r="D51" s="1286">
        <f t="shared" si="10"/>
        <v>3.0999999999999999E-3</v>
      </c>
      <c r="E51" s="819"/>
      <c r="F51" s="2503"/>
      <c r="G51" s="1284">
        <v>3.0999999999999999E-3</v>
      </c>
      <c r="H51" s="1288">
        <f t="shared" si="11"/>
        <v>3.0999999999999999E-3</v>
      </c>
      <c r="I51" s="817">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80" t="s">
        <v>2959</v>
      </c>
      <c r="B52" s="2884">
        <f>估价对象房地状况!C24</f>
        <v>0</v>
      </c>
      <c r="C52" s="2772" t="s">
        <v>3147</v>
      </c>
      <c r="D52" s="1286">
        <f t="shared" si="10"/>
        <v>0</v>
      </c>
      <c r="E52" s="819"/>
      <c r="F52" s="2503"/>
      <c r="G52" s="1284">
        <v>5.0000000000000001E-3</v>
      </c>
      <c r="H52" s="1288">
        <f t="shared" si="11"/>
        <v>5.0000000000000001E-3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80" t="s">
        <v>2960</v>
      </c>
      <c r="B53" s="2886" t="s">
        <v>2961</v>
      </c>
      <c r="C53" s="2772" t="s">
        <v>3084</v>
      </c>
      <c r="D53" s="1286">
        <f t="shared" si="10"/>
        <v>1.8E-3</v>
      </c>
      <c r="E53" s="819"/>
      <c r="F53" s="2503"/>
      <c r="G53" s="1284">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7" t="s">
        <v>2962</v>
      </c>
      <c r="B54" s="1725" t="str">
        <f>估价对象房地状况!C21</f>
        <v>估价对象所在区域公共配套设施齐备情况</v>
      </c>
      <c r="C54" s="2772" t="s">
        <v>3083</v>
      </c>
      <c r="D54" s="1286">
        <f t="shared" si="10"/>
        <v>6.1999999999999998E-3</v>
      </c>
      <c r="E54" s="819"/>
      <c r="F54" s="2503"/>
      <c r="G54" s="1284">
        <v>3.0999999999999999E-3</v>
      </c>
      <c r="H54" s="1288">
        <f t="shared" si="11"/>
        <v>3.0999999999999999E-3</v>
      </c>
      <c r="I54" s="817">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7" t="s">
        <v>2963</v>
      </c>
      <c r="B55" s="2884" t="str">
        <f>估价对象房地状况!C22</f>
        <v>估价对象所在区域基础设施水平</v>
      </c>
      <c r="C55" s="2772" t="s">
        <v>3083</v>
      </c>
      <c r="D55" s="1286">
        <f t="shared" si="10"/>
        <v>1.26E-2</v>
      </c>
      <c r="E55" s="819"/>
      <c r="F55" s="2503"/>
      <c r="G55" s="1284">
        <v>6.3E-3</v>
      </c>
      <c r="H55" s="1288">
        <f t="shared" si="11"/>
        <v>6.3E-3</v>
      </c>
      <c r="I55" s="817">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8" t="s">
        <v>2964</v>
      </c>
      <c r="B56" s="2889" t="str">
        <f>估价对象房地状况!C20</f>
        <v>区域自然环境：；人文环境；综合评价环境状况一般</v>
      </c>
      <c r="C56" s="2772" t="s">
        <v>3083</v>
      </c>
      <c r="D56" s="1286">
        <f t="shared" si="10"/>
        <v>7.4000000000000003E-3</v>
      </c>
      <c r="E56" s="822"/>
      <c r="F56" s="2503"/>
      <c r="G56" s="1284">
        <v>3.7000000000000002E-3</v>
      </c>
      <c r="H56" s="1288">
        <f t="shared" si="11"/>
        <v>3.7000000000000002E-3</v>
      </c>
      <c r="I56" s="821">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76" t="s">
        <v>2965</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2946</v>
      </c>
      <c r="B58" s="1809"/>
      <c r="C58" s="1809" t="s">
        <v>2948</v>
      </c>
      <c r="D58" s="1809" t="s">
        <v>2949</v>
      </c>
      <c r="E58" s="816" t="s">
        <v>2950</v>
      </c>
      <c r="F58" s="2881" t="s">
        <v>2966</v>
      </c>
      <c r="G58" s="1809" t="s">
        <v>754</v>
      </c>
      <c r="H58" s="2882" t="s">
        <v>2952</v>
      </c>
      <c r="I58" s="1809" t="s">
        <v>2953</v>
      </c>
      <c r="J58" s="602" t="s">
        <v>2602</v>
      </c>
      <c r="K58" s="602" t="s">
        <v>2603</v>
      </c>
      <c r="L58" s="602" t="s">
        <v>2604</v>
      </c>
      <c r="M58" s="602" t="s">
        <v>2605</v>
      </c>
      <c r="N58" s="602" t="s">
        <v>2606</v>
      </c>
      <c r="AA58" s="1371"/>
      <c r="AB58" s="1371"/>
      <c r="AC58" s="1371"/>
      <c r="AD58" s="1371"/>
      <c r="AE58" s="1371"/>
      <c r="AF58" s="1371"/>
      <c r="AG58" s="1371"/>
      <c r="AH58" s="1371"/>
      <c r="AI58" s="1371"/>
      <c r="AJ58" s="1371"/>
      <c r="AK58" s="1371"/>
    </row>
    <row r="59" spans="1:37" s="1370" customFormat="1" ht="38.25">
      <c r="A59" s="2880" t="s">
        <v>2967</v>
      </c>
      <c r="B59" s="2883" t="str">
        <f>估价对象房地状况!C17</f>
        <v>估价对象位于XX商圈，周边办公楼项目较多，入驻率高，办公集聚程度较好</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2955</v>
      </c>
      <c r="B60" s="2884" t="str">
        <f>估价对象房地状况!C18</f>
        <v>估价对象周边道路状况、公共交通通达情况、停车便捷程度，综合评价交通便捷度较好</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2956</v>
      </c>
      <c r="B61" s="2884">
        <f>估价对象房地状况!C19</f>
        <v>0</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2957</v>
      </c>
      <c r="B62" s="2885" t="s">
        <v>2958</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2959</v>
      </c>
      <c r="B63" s="2884">
        <f>估价对象房地状况!C24</f>
        <v>0</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2960</v>
      </c>
      <c r="B64" s="2886" t="s">
        <v>2961</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2962</v>
      </c>
      <c r="B65" s="1725" t="str">
        <f>估价对象房地状况!C21</f>
        <v>估价对象所在区域公共配套设施齐备情况</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2963</v>
      </c>
      <c r="B66" s="1725" t="str">
        <f>估价对象房地状况!C22</f>
        <v>估价对象所在区域基础设施水平</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2964</v>
      </c>
      <c r="B67" s="2890" t="str">
        <f>估价对象房地状况!C20</f>
        <v>区域自然环境：；人文环境；综合评价环境状况一般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2968</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2946</v>
      </c>
      <c r="B69" s="1809"/>
      <c r="C69" s="1809" t="s">
        <v>2948</v>
      </c>
      <c r="D69" s="1809" t="s">
        <v>2949</v>
      </c>
      <c r="E69" s="816" t="s">
        <v>2950</v>
      </c>
      <c r="F69" s="2881" t="s">
        <v>2966</v>
      </c>
      <c r="G69" s="1809" t="s">
        <v>754</v>
      </c>
      <c r="H69" s="2882" t="s">
        <v>2952</v>
      </c>
      <c r="I69" s="1809" t="s">
        <v>2953</v>
      </c>
      <c r="J69" s="602" t="s">
        <v>2602</v>
      </c>
      <c r="K69" s="602" t="s">
        <v>2603</v>
      </c>
      <c r="L69" s="602" t="s">
        <v>2604</v>
      </c>
      <c r="M69" s="602" t="s">
        <v>2605</v>
      </c>
      <c r="N69" s="602" t="s">
        <v>2606</v>
      </c>
      <c r="AA69" s="1371"/>
      <c r="AB69" s="1371"/>
      <c r="AC69" s="1371"/>
      <c r="AD69" s="1371"/>
      <c r="AE69" s="1371"/>
      <c r="AF69" s="1371"/>
      <c r="AG69" s="1371"/>
      <c r="AH69" s="1371"/>
      <c r="AI69" s="1371"/>
      <c r="AJ69" s="1371"/>
      <c r="AK69" s="1371"/>
    </row>
    <row r="70" spans="1:37" s="1370" customFormat="1" ht="51">
      <c r="A70" s="2880" t="s">
        <v>2969</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2955</v>
      </c>
      <c r="B71" s="2884" t="str">
        <f>估价对象房地状况!C18</f>
        <v>估价对象周边道路状况、公共交通通达情况、停车便捷程度，综合评价交通便捷度较好</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2956</v>
      </c>
      <c r="B72" s="2884">
        <f>估价对象房地状况!C19</f>
        <v>0</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2970</v>
      </c>
      <c r="B73" s="2884">
        <f>估价对象房地状况!C24</f>
        <v>0</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2962</v>
      </c>
      <c r="B74" s="1725" t="str">
        <f>估价对象房地状况!C21</f>
        <v>估价对象所在区域公共配套设施齐备情况</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2963</v>
      </c>
      <c r="B75" s="1725" t="str">
        <f>估价对象房地状况!C22</f>
        <v>估价对象所在区域基础设施水平</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2960</v>
      </c>
      <c r="B76" s="2886" t="s">
        <v>2961</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2964</v>
      </c>
      <c r="B77" s="2883" t="str">
        <f>估价对象房地状况!C20</f>
        <v>区域自然环境：；人文环境；综合评价环境状况一般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2971</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2972</v>
      </c>
      <c r="B79" s="2877">
        <f>1+E81</f>
        <v>1</v>
      </c>
      <c r="C79" s="811"/>
      <c r="D79" s="811"/>
      <c r="E79" s="812"/>
      <c r="F79" s="2879"/>
      <c r="G79" s="6"/>
      <c r="H79" s="6"/>
      <c r="I79" s="6"/>
      <c r="J79" s="7"/>
      <c r="K79" s="7"/>
      <c r="L79" s="7"/>
      <c r="M79" s="7"/>
      <c r="N79" s="7"/>
      <c r="Z79" s="2722"/>
      <c r="AA79" s="2798"/>
      <c r="AG79" s="1372"/>
      <c r="AK79" s="2798"/>
    </row>
    <row r="80" spans="1:37" ht="24.75">
      <c r="A80" s="2880" t="s">
        <v>2946</v>
      </c>
      <c r="B80" s="1809"/>
      <c r="C80" s="1809" t="s">
        <v>2948</v>
      </c>
      <c r="D80" s="1809" t="s">
        <v>2949</v>
      </c>
      <c r="E80" s="816" t="s">
        <v>2950</v>
      </c>
      <c r="F80" s="2881" t="s">
        <v>2966</v>
      </c>
      <c r="G80" s="1809" t="s">
        <v>754</v>
      </c>
      <c r="H80" s="2882" t="s">
        <v>2952</v>
      </c>
      <c r="I80" s="1809" t="s">
        <v>2953</v>
      </c>
      <c r="J80" s="602" t="s">
        <v>2602</v>
      </c>
      <c r="K80" s="602" t="s">
        <v>2603</v>
      </c>
      <c r="L80" s="602" t="s">
        <v>2604</v>
      </c>
      <c r="M80" s="602" t="s">
        <v>2605</v>
      </c>
      <c r="N80" s="602" t="s">
        <v>2606</v>
      </c>
      <c r="Z80" s="2722"/>
      <c r="AA80" s="2798"/>
      <c r="AG80" s="1372"/>
      <c r="AK80" s="2798"/>
    </row>
    <row r="81" spans="1:37" ht="38.25">
      <c r="A81" s="2880" t="s">
        <v>2973</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2955</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2956</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2970</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2962</v>
      </c>
      <c r="B85" s="1725"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2963</v>
      </c>
      <c r="B86" s="1725"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2960</v>
      </c>
      <c r="B87" s="2886" t="s">
        <v>2974</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2975</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02" t="s">
        <v>2976</v>
      </c>
      <c r="B90" s="3202"/>
      <c r="C90" s="3202"/>
      <c r="D90" s="3202"/>
      <c r="E90" s="3202"/>
      <c r="F90" s="3202"/>
      <c r="G90" s="3202"/>
      <c r="H90" s="3202"/>
      <c r="I90" s="3202"/>
      <c r="J90" s="3202"/>
      <c r="K90" s="2894"/>
      <c r="L90" s="2894"/>
      <c r="M90" s="2894"/>
      <c r="N90" s="2894"/>
    </row>
    <row r="91" spans="1:37">
      <c r="A91" s="3204" t="s">
        <v>2977</v>
      </c>
      <c r="B91" s="3204" t="s">
        <v>2978</v>
      </c>
      <c r="C91" s="2848" t="s">
        <v>2979</v>
      </c>
      <c r="D91" s="2849"/>
      <c r="E91" s="2849"/>
      <c r="F91" s="2849"/>
      <c r="G91" s="2849"/>
      <c r="H91" s="2849"/>
      <c r="I91" s="2849"/>
      <c r="J91" s="2895"/>
      <c r="K91" s="2896"/>
      <c r="L91" s="2896"/>
      <c r="M91" s="2896"/>
      <c r="N91" s="2896"/>
    </row>
    <row r="92" spans="1:37">
      <c r="A92" s="3204"/>
      <c r="B92" s="3204"/>
      <c r="C92" s="942" t="s">
        <v>2845</v>
      </c>
      <c r="D92" s="942" t="s">
        <v>2846</v>
      </c>
      <c r="E92" s="942" t="s">
        <v>2847</v>
      </c>
      <c r="F92" s="942" t="s">
        <v>2848</v>
      </c>
      <c r="G92" s="942" t="s">
        <v>2849</v>
      </c>
      <c r="H92" s="942" t="s">
        <v>2850</v>
      </c>
      <c r="I92" s="942" t="s">
        <v>2851</v>
      </c>
      <c r="J92" s="942" t="s">
        <v>2852</v>
      </c>
      <c r="K92" s="942" t="s">
        <v>2853</v>
      </c>
      <c r="L92" s="942" t="s">
        <v>2854</v>
      </c>
      <c r="M92" s="942" t="s">
        <v>2855</v>
      </c>
      <c r="N92" s="942" t="s">
        <v>2856</v>
      </c>
    </row>
    <row r="93" spans="1:37">
      <c r="A93" s="3205" t="s">
        <v>2980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0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0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0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0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0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06"/>
      <c r="B99" s="2897" t="s">
        <v>2861</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207"/>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05" t="s">
        <v>2981</v>
      </c>
      <c r="B101" s="2901" t="s">
        <v>2982</v>
      </c>
      <c r="C101" s="2902">
        <f>$G$3</f>
        <v>0.73</v>
      </c>
      <c r="D101" s="2902">
        <f t="shared" ref="D101:N101" si="31">$G$3</f>
        <v>0.73</v>
      </c>
      <c r="E101" s="2902">
        <f t="shared" si="31"/>
        <v>0.73</v>
      </c>
      <c r="F101" s="2902">
        <f t="shared" si="31"/>
        <v>0.73</v>
      </c>
      <c r="G101" s="2902">
        <f t="shared" si="31"/>
        <v>0.73</v>
      </c>
      <c r="H101" s="2902">
        <f t="shared" si="31"/>
        <v>0.73</v>
      </c>
      <c r="I101" s="2902">
        <f t="shared" si="31"/>
        <v>0.73</v>
      </c>
      <c r="J101" s="2902">
        <f t="shared" si="31"/>
        <v>0.73</v>
      </c>
      <c r="K101" s="2902">
        <f t="shared" si="31"/>
        <v>0.73</v>
      </c>
      <c r="L101" s="2902">
        <f t="shared" si="31"/>
        <v>0.73</v>
      </c>
      <c r="M101" s="2902">
        <f t="shared" si="31"/>
        <v>0.73</v>
      </c>
      <c r="N101" s="2902">
        <f t="shared" si="31"/>
        <v>0.73</v>
      </c>
    </row>
    <row r="102" spans="1:14">
      <c r="A102" s="3206"/>
      <c r="B102" s="2897">
        <v>1</v>
      </c>
      <c r="C102" s="2898">
        <f>1.9362/C101</f>
        <v>2.6523287671232878</v>
      </c>
      <c r="D102" s="2898">
        <f>1.9362/D101</f>
        <v>2.6523287671232878</v>
      </c>
      <c r="E102" s="2898">
        <f>1.8629/E101</f>
        <v>2.5519178082191782</v>
      </c>
      <c r="F102" s="2898">
        <f>1.8629/F101</f>
        <v>2.5519178082191782</v>
      </c>
      <c r="G102" s="2898">
        <f>1.8629/G101</f>
        <v>2.5519178082191782</v>
      </c>
      <c r="H102" s="2898">
        <f>1.8629/H101</f>
        <v>2.5519178082191782</v>
      </c>
      <c r="I102" s="2898">
        <f>1.8629/I101</f>
        <v>2.5519178082191782</v>
      </c>
      <c r="J102" s="2898">
        <f>1.942/J101</f>
        <v>2.6602739726027398</v>
      </c>
      <c r="K102" s="2898">
        <f>1.942/K101</f>
        <v>2.6602739726027398</v>
      </c>
      <c r="L102" s="2898">
        <f>1.942/L101</f>
        <v>2.6602739726027398</v>
      </c>
      <c r="M102" s="2898">
        <f>1.942/M101</f>
        <v>2.6602739726027398</v>
      </c>
      <c r="N102" s="2898">
        <f>1.942/N101</f>
        <v>2.6602739726027398</v>
      </c>
    </row>
    <row r="103" spans="1:14">
      <c r="A103" s="3206"/>
      <c r="B103" s="2897">
        <v>2</v>
      </c>
      <c r="C103" s="2898">
        <f>1.4198/C101</f>
        <v>1.9449315068493152</v>
      </c>
      <c r="D103" s="2898">
        <f>1.4198/D101</f>
        <v>1.9449315068493152</v>
      </c>
      <c r="E103" s="2898">
        <f>1.3372/E101</f>
        <v>1.8317808219178082</v>
      </c>
      <c r="F103" s="2898">
        <f>1.3372/F101</f>
        <v>1.8317808219178082</v>
      </c>
      <c r="G103" s="2898">
        <f>1.3372/G101</f>
        <v>1.8317808219178082</v>
      </c>
      <c r="H103" s="2898">
        <f>1.3372/H101</f>
        <v>1.8317808219178082</v>
      </c>
      <c r="I103" s="2898">
        <f>1.3372/I101</f>
        <v>1.8317808219178082</v>
      </c>
      <c r="J103" s="2898">
        <f>1.2799/J101</f>
        <v>1.7532876712328769</v>
      </c>
      <c r="K103" s="2898">
        <f>1.2799/K101</f>
        <v>1.7532876712328769</v>
      </c>
      <c r="L103" s="2898">
        <f>1.2799/L101</f>
        <v>1.7532876712328769</v>
      </c>
      <c r="M103" s="2898">
        <f>1.2799/M101</f>
        <v>1.7532876712328769</v>
      </c>
      <c r="N103" s="2898">
        <f>1.2799/N101</f>
        <v>1.7532876712328769</v>
      </c>
    </row>
    <row r="104" spans="1:14">
      <c r="A104" s="3206"/>
      <c r="B104" s="2897">
        <v>3</v>
      </c>
      <c r="C104" s="2898">
        <f>1.1594/C101</f>
        <v>1.5882191780821917</v>
      </c>
      <c r="D104" s="2898">
        <f>1.1594/D101</f>
        <v>1.5882191780821917</v>
      </c>
      <c r="E104" s="2898">
        <f>1.0788/E101</f>
        <v>1.4778082191780821</v>
      </c>
      <c r="F104" s="2898">
        <f>1.0788/F101</f>
        <v>1.4778082191780821</v>
      </c>
      <c r="G104" s="2898">
        <f>1.0788/G101</f>
        <v>1.4778082191780821</v>
      </c>
      <c r="H104" s="2898">
        <f>1.0788/H101</f>
        <v>1.4778082191780821</v>
      </c>
      <c r="I104" s="2898">
        <f>1.0788/I101</f>
        <v>1.4778082191780821</v>
      </c>
      <c r="J104" s="2898">
        <f>1.0072/J101</f>
        <v>1.3797260273972605</v>
      </c>
      <c r="K104" s="2898">
        <f>1.0072/K101</f>
        <v>1.3797260273972605</v>
      </c>
      <c r="L104" s="2898">
        <f>1.0072/L101</f>
        <v>1.3797260273972605</v>
      </c>
      <c r="M104" s="2898">
        <f>1.0072/M101</f>
        <v>1.3797260273972605</v>
      </c>
      <c r="N104" s="2898">
        <f>1.0072/N101</f>
        <v>1.3797260273972605</v>
      </c>
    </row>
    <row r="105" spans="1:14">
      <c r="A105" s="3206"/>
      <c r="B105" s="2897">
        <v>4</v>
      </c>
      <c r="C105" s="2898">
        <f>0.9622/C101</f>
        <v>1.3180821917808221</v>
      </c>
      <c r="D105" s="2898">
        <f>0.9622/D101</f>
        <v>1.3180821917808221</v>
      </c>
      <c r="E105" s="2898">
        <f>0.8656/E101</f>
        <v>1.1857534246575343</v>
      </c>
      <c r="F105" s="2898">
        <f>0.8656/F101</f>
        <v>1.1857534246575343</v>
      </c>
      <c r="G105" s="2898">
        <f>0.8656/G101</f>
        <v>1.1857534246575343</v>
      </c>
      <c r="H105" s="2898">
        <f>0.8656/H101</f>
        <v>1.1857534246575343</v>
      </c>
      <c r="I105" s="2898">
        <f>0.8656/I101</f>
        <v>1.1857534246575343</v>
      </c>
      <c r="J105" s="2898">
        <f>0.7525/J101</f>
        <v>1.0308219178082192</v>
      </c>
      <c r="K105" s="2898">
        <f>0.7525/K101</f>
        <v>1.0308219178082192</v>
      </c>
      <c r="L105" s="2898">
        <f>0.7525/L101</f>
        <v>1.0308219178082192</v>
      </c>
      <c r="M105" s="2898">
        <f>0.7525/M101</f>
        <v>1.0308219178082192</v>
      </c>
      <c r="N105" s="2898">
        <f>0.7525/N101</f>
        <v>1.0308219178082192</v>
      </c>
    </row>
    <row r="106" spans="1:14">
      <c r="A106" s="3206"/>
      <c r="B106" s="2897">
        <v>5</v>
      </c>
      <c r="C106" s="2898">
        <f>0.8417/C101</f>
        <v>1.1530136986301369</v>
      </c>
      <c r="D106" s="2898">
        <f>0.8417/D101</f>
        <v>1.1530136986301369</v>
      </c>
      <c r="E106" s="2898">
        <f>0.7371/E101</f>
        <v>1.0097260273972604</v>
      </c>
      <c r="F106" s="2898">
        <f>0.7371/F101</f>
        <v>1.0097260273972604</v>
      </c>
      <c r="G106" s="2898">
        <f>0.7371/G101</f>
        <v>1.0097260273972604</v>
      </c>
      <c r="H106" s="2898">
        <f>0.7371/H101</f>
        <v>1.0097260273972604</v>
      </c>
      <c r="I106" s="2898">
        <f>0.7371/I101</f>
        <v>1.0097260273972604</v>
      </c>
      <c r="J106" s="2898">
        <f>0.5659/J101</f>
        <v>0.77520547945205476</v>
      </c>
      <c r="K106" s="2898">
        <f>0.5659/K101</f>
        <v>0.77520547945205476</v>
      </c>
      <c r="L106" s="2898">
        <f>0.5659/L101</f>
        <v>0.77520547945205476</v>
      </c>
      <c r="M106" s="2898">
        <f>0.5659/M101</f>
        <v>0.77520547945205476</v>
      </c>
      <c r="N106" s="2898">
        <f>0.5659/N101</f>
        <v>0.77520547945205476</v>
      </c>
    </row>
    <row r="107" spans="1:14">
      <c r="A107" s="3206"/>
      <c r="B107" s="2897">
        <v>6</v>
      </c>
      <c r="C107" s="2898">
        <f>0.7608/C101</f>
        <v>1.0421917808219179</v>
      </c>
      <c r="D107" s="2898">
        <f>0.7608/D101</f>
        <v>1.0421917808219179</v>
      </c>
      <c r="E107" s="2898">
        <f>0.6482/E101</f>
        <v>0.8879452054794521</v>
      </c>
      <c r="F107" s="2898">
        <f>0.6482/F101</f>
        <v>0.8879452054794521</v>
      </c>
      <c r="G107" s="2898">
        <f>0.6482/G101</f>
        <v>0.8879452054794521</v>
      </c>
      <c r="H107" s="2898">
        <f>0.6482/H101</f>
        <v>0.8879452054794521</v>
      </c>
      <c r="I107" s="2898">
        <f>0.6482/I101</f>
        <v>0.8879452054794521</v>
      </c>
      <c r="J107" s="2898">
        <f>0.4525/J101</f>
        <v>0.61986301369863017</v>
      </c>
      <c r="K107" s="2898">
        <f>0.4525/K101</f>
        <v>0.61986301369863017</v>
      </c>
      <c r="L107" s="2898">
        <f>0.4525/L101</f>
        <v>0.61986301369863017</v>
      </c>
      <c r="M107" s="2898">
        <f>0.4525/M101</f>
        <v>0.61986301369863017</v>
      </c>
      <c r="N107" s="2898">
        <f>0.4525/N101</f>
        <v>0.61986301369863017</v>
      </c>
    </row>
    <row r="108" spans="1:14">
      <c r="A108" s="3206"/>
      <c r="B108" s="3075" t="s">
        <v>2983</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207"/>
      <c r="B109" s="3076"/>
      <c r="C109" s="2900">
        <f>(-0.163*(C108^2)-0.59*C108+7617)*(10^(-4))/C101</f>
        <v>1.0433215068493151</v>
      </c>
      <c r="D109" s="2900">
        <f>(-0.163*(D108^2)-0.59*D108+7617)*(10^(-4))/D101</f>
        <v>1.0433215068493151</v>
      </c>
      <c r="E109" s="2900">
        <f>(-0.161*(E108^2)-7.509*E108+6533)*(10^(-4))/E101</f>
        <v>0.89388082191780827</v>
      </c>
      <c r="F109" s="2900">
        <f>(-0.161*(F108^2)-7.509*F108+6533)*(10^(-4))/F101</f>
        <v>0.89388082191780827</v>
      </c>
      <c r="G109" s="2900">
        <f>(-0.161*(G108^2)-7.509*G108+6533)*(10^(-4))/G101</f>
        <v>0.89388082191780827</v>
      </c>
      <c r="H109" s="2900">
        <f>(-0.161*(H108^2)-7.509*H108+6533)*(10^(-4))/H101</f>
        <v>0.89388082191780827</v>
      </c>
      <c r="I109" s="2900">
        <f>(-0.161*(I108^2)-7.509*I108+6533)*(10^(-4))/I101</f>
        <v>0.89388082191780827</v>
      </c>
      <c r="J109" s="2900">
        <f>(-0.214*(J108^2)-21.991*J108+4665)*(10^(-4))/J101</f>
        <v>0.63599931506849317</v>
      </c>
      <c r="K109" s="2900">
        <f>(-0.214*(K108^2)-21.991*K108+4665)*(10^(-4))/K101</f>
        <v>0.63599931506849317</v>
      </c>
      <c r="L109" s="2900">
        <f>(-0.214*(L108^2)-21.991*L108+4665)*(10^(-4))/L101</f>
        <v>0.63599931506849317</v>
      </c>
      <c r="M109" s="2900">
        <f>(-0.214*(M108^2)-21.991*M108+4665)*(10^(-4))/M101</f>
        <v>0.63599931506849317</v>
      </c>
      <c r="N109" s="2900">
        <f>(-0.214*(N108^2)-21.991*N108+4665)*(10^(-4))/N101</f>
        <v>0.63599931506849317</v>
      </c>
    </row>
    <row r="110" spans="1:14">
      <c r="A110" s="3203" t="s">
        <v>2984</v>
      </c>
      <c r="B110" s="3203"/>
      <c r="C110" s="3203"/>
      <c r="D110" s="3203"/>
      <c r="E110" s="3203"/>
      <c r="F110" s="3203"/>
      <c r="G110" s="3203"/>
      <c r="H110" s="3203"/>
      <c r="I110" s="3203"/>
      <c r="J110" s="3203"/>
      <c r="K110" s="2903"/>
      <c r="L110" s="2903"/>
      <c r="M110" s="2903"/>
      <c r="N110" s="2903"/>
    </row>
    <row r="112" spans="1:14" ht="13.5" thickBot="1"/>
    <row r="113" spans="1:13" ht="25.5" thickBot="1">
      <c r="A113" s="900" t="s">
        <v>2985</v>
      </c>
      <c r="B113" s="1287">
        <f>G3</f>
        <v>0.73</v>
      </c>
      <c r="C113" s="901" t="s">
        <v>2986</v>
      </c>
      <c r="D113" s="902">
        <f>SUMPRODUCT((A115:A118=F113)*(B114:M114=H113)*B115:M118)</f>
        <v>0.82509999999999994</v>
      </c>
      <c r="E113" s="2726" t="s">
        <v>2819</v>
      </c>
      <c r="F113" s="2905" t="str">
        <f>E2</f>
        <v>商业</v>
      </c>
      <c r="G113" s="2726" t="s">
        <v>2820</v>
      </c>
      <c r="H113" s="2905" t="str">
        <f>G2</f>
        <v>六级</v>
      </c>
      <c r="I113" s="2726"/>
      <c r="J113" s="2906"/>
      <c r="K113" s="2906"/>
      <c r="L113" s="2906"/>
      <c r="M113" s="2906"/>
    </row>
    <row r="114" spans="1:13">
      <c r="A114" s="905"/>
      <c r="B114" s="2907" t="s">
        <v>2987</v>
      </c>
      <c r="C114" s="2907" t="s">
        <v>2988</v>
      </c>
      <c r="D114" s="2907" t="s">
        <v>2989</v>
      </c>
      <c r="E114" s="2908" t="s">
        <v>2990</v>
      </c>
      <c r="F114" s="2908" t="s">
        <v>2991</v>
      </c>
      <c r="G114" s="2908" t="s">
        <v>2992</v>
      </c>
      <c r="H114" s="2909" t="s">
        <v>2993</v>
      </c>
      <c r="I114" s="2909" t="s">
        <v>2994</v>
      </c>
      <c r="J114" s="2910" t="s">
        <v>2995</v>
      </c>
      <c r="K114" s="2910" t="s">
        <v>2996</v>
      </c>
      <c r="L114" s="2910" t="s">
        <v>2997</v>
      </c>
      <c r="M114" s="2911" t="s">
        <v>2998</v>
      </c>
    </row>
    <row r="115" spans="1:13">
      <c r="A115" s="906" t="s">
        <v>2883</v>
      </c>
      <c r="B115" s="907">
        <f>ROUND(0.9335-0.0094*B113,4)</f>
        <v>0.92659999999999998</v>
      </c>
      <c r="C115" s="907">
        <f>B115</f>
        <v>0.92659999999999998</v>
      </c>
      <c r="D115" s="907">
        <f>ROUND(0.8331-0.0109*B113,4)</f>
        <v>0.82509999999999994</v>
      </c>
      <c r="E115" s="907">
        <f>D115</f>
        <v>0.82509999999999994</v>
      </c>
      <c r="F115" s="907">
        <f>E115</f>
        <v>0.82509999999999994</v>
      </c>
      <c r="G115" s="907">
        <f>F115</f>
        <v>0.82509999999999994</v>
      </c>
      <c r="H115" s="907">
        <f>G115</f>
        <v>0.82509999999999994</v>
      </c>
      <c r="I115" s="907">
        <f>ROUND(0.689-0.0155*B113,4)</f>
        <v>0.67769999999999997</v>
      </c>
      <c r="J115" s="907">
        <f t="shared" ref="J115:M118" si="33">I115</f>
        <v>0.67769999999999997</v>
      </c>
      <c r="K115" s="907">
        <f t="shared" si="33"/>
        <v>0.67769999999999997</v>
      </c>
      <c r="L115" s="907">
        <f t="shared" si="33"/>
        <v>0.67769999999999997</v>
      </c>
      <c r="M115" s="908">
        <f t="shared" si="33"/>
        <v>0.67769999999999997</v>
      </c>
    </row>
    <row r="116" spans="1:13">
      <c r="A116" s="906" t="s">
        <v>2884</v>
      </c>
      <c r="B116" s="907">
        <f>ROUND(0.949-0.012*B113,4)</f>
        <v>0.94020000000000004</v>
      </c>
      <c r="C116" s="907">
        <f>B116</f>
        <v>0.94020000000000004</v>
      </c>
      <c r="D116" s="907">
        <f>ROUND(0.8567-0.013*B113,4)</f>
        <v>0.84719999999999995</v>
      </c>
      <c r="E116" s="907">
        <f t="shared" ref="E116:H117" si="34">D116</f>
        <v>0.84719999999999995</v>
      </c>
      <c r="F116" s="907">
        <f t="shared" si="34"/>
        <v>0.84719999999999995</v>
      </c>
      <c r="G116" s="907">
        <f t="shared" si="34"/>
        <v>0.84719999999999995</v>
      </c>
      <c r="H116" s="907">
        <f t="shared" si="34"/>
        <v>0.84719999999999995</v>
      </c>
      <c r="I116" s="907">
        <f>ROUND(0.7694-0.014*B113,4)</f>
        <v>0.75919999999999999</v>
      </c>
      <c r="J116" s="907">
        <f t="shared" si="33"/>
        <v>0.75919999999999999</v>
      </c>
      <c r="K116" s="907">
        <f t="shared" si="33"/>
        <v>0.75919999999999999</v>
      </c>
      <c r="L116" s="907">
        <f t="shared" si="33"/>
        <v>0.75919999999999999</v>
      </c>
      <c r="M116" s="908">
        <f t="shared" si="33"/>
        <v>0.75919999999999999</v>
      </c>
    </row>
    <row r="117" spans="1:13">
      <c r="A117" s="906" t="s">
        <v>2885</v>
      </c>
      <c r="B117" s="907">
        <f>ROUND(0.8808-0.006*B113,4)</f>
        <v>0.87639999999999996</v>
      </c>
      <c r="C117" s="907">
        <f>B117</f>
        <v>0.87639999999999996</v>
      </c>
      <c r="D117" s="907">
        <f>ROUND(0.8748-0.008*B113,4)</f>
        <v>0.86899999999999999</v>
      </c>
      <c r="E117" s="907">
        <f t="shared" si="34"/>
        <v>0.86899999999999999</v>
      </c>
      <c r="F117" s="907">
        <f t="shared" si="34"/>
        <v>0.86899999999999999</v>
      </c>
      <c r="G117" s="907">
        <f t="shared" si="34"/>
        <v>0.86899999999999999</v>
      </c>
      <c r="H117" s="907">
        <f t="shared" si="34"/>
        <v>0.86899999999999999</v>
      </c>
      <c r="I117" s="907">
        <f>ROUND(0.7412-0.0095*B113,4)</f>
        <v>0.73429999999999995</v>
      </c>
      <c r="J117" s="907">
        <f t="shared" si="33"/>
        <v>0.73429999999999995</v>
      </c>
      <c r="K117" s="907">
        <f t="shared" si="33"/>
        <v>0.73429999999999995</v>
      </c>
      <c r="L117" s="907">
        <f t="shared" si="33"/>
        <v>0.73429999999999995</v>
      </c>
      <c r="M117" s="908">
        <f t="shared" si="33"/>
        <v>0.73429999999999995</v>
      </c>
    </row>
    <row r="118" spans="1:13" ht="13.5" thickBot="1">
      <c r="A118" s="711" t="s">
        <v>2886</v>
      </c>
      <c r="B118" s="909">
        <f>ROUND(0.7275-0.01*B113,4)</f>
        <v>0.72019999999999995</v>
      </c>
      <c r="C118" s="909">
        <f>B118</f>
        <v>0.72019999999999995</v>
      </c>
      <c r="D118" s="909">
        <f>ROUND(0.7043-0.012*B113,4)</f>
        <v>0.69550000000000001</v>
      </c>
      <c r="E118" s="909">
        <f>D118</f>
        <v>0.69550000000000001</v>
      </c>
      <c r="F118" s="909">
        <f>E118</f>
        <v>0.69550000000000001</v>
      </c>
      <c r="G118" s="909">
        <f>ROUND(0.6299-0.0122*B113,4)</f>
        <v>0.621</v>
      </c>
      <c r="H118" s="909">
        <f>G118</f>
        <v>0.621</v>
      </c>
      <c r="I118" s="909">
        <f>ROUND(0.5667-0.0136*B113,4)</f>
        <v>0.55679999999999996</v>
      </c>
      <c r="J118" s="909">
        <f t="shared" si="33"/>
        <v>0.55679999999999996</v>
      </c>
      <c r="K118" s="909">
        <f t="shared" si="33"/>
        <v>0.55679999999999996</v>
      </c>
      <c r="L118" s="909">
        <f t="shared" si="33"/>
        <v>0.55679999999999996</v>
      </c>
      <c r="M118" s="910">
        <f t="shared" si="33"/>
        <v>0.55679999999999996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2464</v>
      </c>
      <c r="B1" s="1581"/>
      <c r="C1" s="1582"/>
      <c r="D1" s="1580"/>
      <c r="E1" s="319"/>
      <c r="F1" s="319"/>
      <c r="G1" s="1581"/>
      <c r="H1" s="319"/>
      <c r="I1" s="319"/>
      <c r="J1" s="319"/>
      <c r="K1" s="319">
        <f>MATCH(C1,'数据-取费表'!A6:A16,0)+5</f>
        <v>7</v>
      </c>
    </row>
    <row r="2" spans="1:33" ht="18" customHeight="1">
      <c r="A2" s="244" t="s">
        <v>2332</v>
      </c>
      <c r="B2" s="247">
        <f ca="1">C32</f>
        <v>-730</v>
      </c>
      <c r="C2" s="319" t="s">
        <v>2465</v>
      </c>
      <c r="D2" s="319"/>
      <c r="E2" s="319"/>
      <c r="F2" s="319"/>
      <c r="G2" s="319"/>
      <c r="H2" s="319"/>
      <c r="I2" s="319"/>
      <c r="J2" s="319"/>
      <c r="K2" s="319"/>
    </row>
    <row r="3" spans="1:33" ht="18" customHeight="1" thickBot="1">
      <c r="A3" s="246" t="s">
        <v>2334</v>
      </c>
      <c r="B3" s="247">
        <f ca="1">ROUND(B2*10000/IF(C1="",'数据-汇总表'!E3,INDIRECT("'数据-取费表'!K"&amp;$K$1)),0)</f>
        <v>-260</v>
      </c>
      <c r="C3" s="319" t="s">
        <v>2466</v>
      </c>
      <c r="D3" s="319"/>
      <c r="E3" s="319"/>
      <c r="F3" s="319"/>
      <c r="G3" s="319"/>
      <c r="H3" s="319"/>
      <c r="I3" s="319"/>
      <c r="J3" s="319"/>
      <c r="K3" s="319"/>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56" t="s">
        <v>2470</v>
      </c>
      <c r="D5" s="2556" t="s">
        <v>2471</v>
      </c>
      <c r="E5" s="2556" t="s">
        <v>2472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2476</v>
      </c>
      <c r="B8" s="176"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2486</v>
      </c>
      <c r="C12" s="23">
        <f ca="1">ROUND(C11*F12,0)</f>
        <v>0</v>
      </c>
      <c r="D12" s="973"/>
      <c r="E12" s="374"/>
      <c r="F12" s="976">
        <f>'数据-取费表'!B33</f>
        <v>0.03</v>
      </c>
      <c r="G12" s="8" t="s">
        <v>2487</v>
      </c>
      <c r="H12" s="968"/>
      <c r="I12" s="968"/>
      <c r="J12" s="968"/>
      <c r="K12" s="969"/>
    </row>
    <row r="13" spans="1:33" s="975" customFormat="1" ht="13.5" customHeight="1">
      <c r="A13" s="971" t="s">
        <v>1336</v>
      </c>
      <c r="B13" s="972" t="s">
        <v>2488</v>
      </c>
      <c r="C13" s="23">
        <f ca="1">ROUND(IF(C1="",SUMIF('数据-取费表'!C:C,"住宅",'数据-取费表'!P:P)*F13,IF(INDIRECT("'数据-取费表'!c"&amp;$K$1)="住宅",INDIRECT("'数据-取费表'!P"&amp;$K$1)*F13,0)),0)</f>
        <v>0</v>
      </c>
      <c r="D13" s="1033"/>
      <c r="E13" s="374"/>
      <c r="F13" s="976">
        <f>'数据-取费表'!B34</f>
        <v>0.03</v>
      </c>
      <c r="G13" s="8" t="s">
        <v>2489</v>
      </c>
      <c r="H13" s="968"/>
      <c r="I13" s="968"/>
      <c r="J13" s="968"/>
      <c r="K13" s="969"/>
    </row>
    <row r="14" spans="1:33" s="977" customFormat="1" ht="13.5" customHeight="1">
      <c r="A14" s="971" t="s">
        <v>1337</v>
      </c>
      <c r="B14" s="972" t="s">
        <v>2490</v>
      </c>
      <c r="C14" s="23">
        <f ca="1">ROUND(D14*E14*F11/10000,0)</f>
        <v>0</v>
      </c>
      <c r="D14" s="1033">
        <f ca="1">IF(C1="",'数据-汇总表'!E3,INDIRECT("'数据-取费表'!K"&amp;$K$1)+INDIRECT("'数据-取费表'!S"&amp;$K$1))</f>
        <v>28056.880000000005</v>
      </c>
      <c r="E14" s="23">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9"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3">
        <f ca="1">ROUND(D17*E17/10000,0)</f>
        <v>0</v>
      </c>
      <c r="D17" s="1033">
        <f ca="1">D14</f>
        <v>28056.880000000005</v>
      </c>
      <c r="E17" s="23">
        <f>'数据-取费表'!B32</f>
        <v>0</v>
      </c>
      <c r="F17" s="978"/>
      <c r="G17" s="139" t="s">
        <v>2496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3">
        <f ca="1">C19+C20-IF(C1="",'数据-取费表'!B29,IF(G18="已全部缴纳",C19+C20,H18))</f>
        <v>561</v>
      </c>
      <c r="D18" s="1033"/>
      <c r="E18" s="23"/>
      <c r="F18" s="976"/>
      <c r="G18" s="2558"/>
      <c r="H18" s="1577"/>
      <c r="I18" s="2559" t="s">
        <v>2498</v>
      </c>
      <c r="J18" s="979"/>
      <c r="K18" s="980"/>
    </row>
    <row r="19" spans="1:33" s="975" customFormat="1" ht="13.5" customHeight="1">
      <c r="A19" s="971" t="s">
        <v>805</v>
      </c>
      <c r="B19" s="972" t="s">
        <v>2499</v>
      </c>
      <c r="C19" s="23">
        <f ca="1">ROUND(D19*E19/10000,0)</f>
        <v>0</v>
      </c>
      <c r="D19" s="1033">
        <f ca="1">IF(C1="",'数据-汇总表'!E5,IF(INDIRECT("'数据-取费表'!c"&amp;$K$1)="住宅",INDIRECT("'数据-取费表'!k"&amp;$K$1),0))</f>
        <v>0</v>
      </c>
      <c r="E19" s="23">
        <f>'数据-取费表'!B27</f>
        <v>160</v>
      </c>
      <c r="F19" s="976"/>
      <c r="G19" s="14"/>
      <c r="H19" s="1579"/>
      <c r="I19" s="981"/>
      <c r="J19" s="981"/>
      <c r="K19" s="982"/>
    </row>
    <row r="20" spans="1:33" s="975" customFormat="1" ht="13.5" customHeight="1">
      <c r="A20" s="971" t="s">
        <v>806</v>
      </c>
      <c r="B20" s="972" t="s">
        <v>2500</v>
      </c>
      <c r="C20" s="23">
        <f ca="1">ROUND(D20*E20/10000,0)</f>
        <v>561</v>
      </c>
      <c r="D20" s="1033">
        <f ca="1">IF(C1="",'数据-汇总表'!E6,IF(INDIRECT("'数据-取费表'!c"&amp;$K$1)="住宅",INDIRECT("'数据-取费表'!s"&amp;$K$1),INDIRECT("'数据-取费表'!k"&amp;$K$1)+INDIRECT("'数据-取费表'!s"&amp;$K$1)))</f>
        <v>28056.880000000005</v>
      </c>
      <c r="E20" s="23">
        <f>'数据-取费表'!B28</f>
        <v>200</v>
      </c>
      <c r="F20" s="976"/>
      <c r="G20" s="14"/>
      <c r="H20" s="981"/>
      <c r="I20" s="981"/>
      <c r="J20" s="981"/>
      <c r="K20" s="982"/>
    </row>
    <row r="21" spans="1:33" s="975" customFormat="1" ht="13.5" customHeight="1">
      <c r="A21" s="961" t="s">
        <v>802</v>
      </c>
      <c r="B21" s="985" t="s">
        <v>2501</v>
      </c>
      <c r="C21" s="986">
        <f ca="1">C16+C17+C18</f>
        <v>561</v>
      </c>
      <c r="D21" s="987"/>
      <c r="E21" s="324"/>
      <c r="F21" s="324"/>
      <c r="G21" s="139" t="s">
        <v>2502</v>
      </c>
      <c r="H21" s="979"/>
      <c r="I21" s="979"/>
      <c r="J21" s="979"/>
      <c r="K21" s="980"/>
    </row>
    <row r="22" spans="1:33" s="975" customFormat="1" ht="13.5" customHeight="1">
      <c r="A22" s="961" t="s">
        <v>2474</v>
      </c>
      <c r="B22" s="985" t="s">
        <v>2503</v>
      </c>
      <c r="C22" s="986">
        <f ca="1">ROUND(C21*F22,0)</f>
        <v>17</v>
      </c>
      <c r="D22" s="324"/>
      <c r="E22" s="324"/>
      <c r="F22" s="988">
        <f>'数据-取费表'!B37</f>
        <v>0.03</v>
      </c>
      <c r="G22" s="8" t="s">
        <v>2504</v>
      </c>
      <c r="H22" s="968"/>
      <c r="I22" s="968"/>
      <c r="J22" s="968"/>
      <c r="K22" s="969"/>
    </row>
    <row r="23" spans="1:33" s="975" customFormat="1" ht="13.5" customHeight="1">
      <c r="A23" s="961" t="s">
        <v>2476</v>
      </c>
      <c r="B23" s="985" t="s">
        <v>2505</v>
      </c>
      <c r="C23" s="986">
        <f ca="1">ROUND(C4*F23*F11,0)</f>
        <v>0</v>
      </c>
      <c r="D23" s="324"/>
      <c r="E23" s="324"/>
      <c r="F23" s="988">
        <f>'数据-取费表'!B38</f>
        <v>0.03</v>
      </c>
      <c r="G23" s="8" t="s">
        <v>2506</v>
      </c>
      <c r="H23" s="968"/>
      <c r="I23" s="968"/>
      <c r="J23" s="968"/>
      <c r="K23" s="969"/>
    </row>
    <row r="24" spans="1:33" s="975" customFormat="1" ht="13.5" customHeight="1">
      <c r="A24" s="961" t="s">
        <v>2507</v>
      </c>
      <c r="B24" s="985" t="s">
        <v>2508</v>
      </c>
      <c r="C24" s="323">
        <f>ROUND(F24/(1+'数据-取费表'!C42),4)</f>
        <v>2.9000000000000001E-2</v>
      </c>
      <c r="D24" s="324" t="s">
        <v>15</v>
      </c>
      <c r="E24" s="324"/>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79"/>
      <c r="I27" s="979"/>
      <c r="J27" s="979"/>
      <c r="K27" s="980"/>
    </row>
    <row r="28" spans="1:33" s="332" customFormat="1" ht="13.5" customHeight="1">
      <c r="A28" s="961" t="s">
        <v>2514</v>
      </c>
      <c r="B28" s="2561" t="s">
        <v>2515</v>
      </c>
      <c r="C28" s="330">
        <f ca="1">C30</f>
        <v>173</v>
      </c>
      <c r="D28" s="323">
        <f ca="1">C29</f>
        <v>0</v>
      </c>
      <c r="E28" s="325" t="s">
        <v>15</v>
      </c>
      <c r="F28" s="331">
        <f ca="1">IF(C1="",'数据-取费表'!Q16,INDIRECT("'数据-取费表'!q"&amp;$K$1))</f>
        <v>0.3</v>
      </c>
      <c r="G28" s="989"/>
      <c r="H28" s="990"/>
      <c r="I28" s="990"/>
      <c r="J28" s="990"/>
      <c r="K28" s="991"/>
    </row>
    <row r="29" spans="1:33" s="334" customFormat="1" ht="13.5" customHeight="1">
      <c r="A29" s="971" t="s">
        <v>803</v>
      </c>
      <c r="B29" s="994" t="s">
        <v>2516</v>
      </c>
      <c r="C29" s="327">
        <f ca="1">ROUND((1+C24)*F28*'数据-取费表'!B24/'数据-取费表'!B20,4)</f>
        <v>0</v>
      </c>
      <c r="D29" s="327"/>
      <c r="E29" s="328"/>
      <c r="F29" s="333"/>
      <c r="G29" s="139" t="s">
        <v>2517</v>
      </c>
      <c r="H29" s="979"/>
      <c r="I29" s="979"/>
      <c r="J29" s="979"/>
      <c r="K29" s="980"/>
    </row>
    <row r="30" spans="1:33" s="334" customFormat="1" ht="13.5" customHeight="1">
      <c r="A30" s="971" t="s">
        <v>804</v>
      </c>
      <c r="B30" s="994" t="s">
        <v>2518</v>
      </c>
      <c r="C30" s="335">
        <f ca="1">ROUND((C21+C22+C23)*F28,0)</f>
        <v>173</v>
      </c>
      <c r="D30" s="327"/>
      <c r="E30" s="328"/>
      <c r="F30" s="333"/>
      <c r="G30" s="139"/>
      <c r="H30" s="979"/>
      <c r="I30" s="979"/>
      <c r="J30" s="979"/>
      <c r="K30" s="980"/>
    </row>
    <row r="31" spans="1:33" s="975" customFormat="1" ht="13.5" customHeight="1" thickBot="1">
      <c r="A31" s="2562" t="s">
        <v>2519</v>
      </c>
      <c r="B31" s="1005" t="s">
        <v>2520</v>
      </c>
      <c r="C31" s="1006">
        <f>ROUND(C4*F31/(1+'数据-取费表'!C42),0)</f>
        <v>0</v>
      </c>
      <c r="D31" s="1007"/>
      <c r="E31" s="1008"/>
      <c r="F31" s="1009">
        <f>'数据-取费表'!B41</f>
        <v>5.5000000000000007E-2</v>
      </c>
      <c r="G31" s="1010" t="s">
        <v>2521</v>
      </c>
      <c r="H31" s="1011"/>
      <c r="I31" s="1011"/>
      <c r="J31" s="1011"/>
      <c r="K31" s="1012"/>
    </row>
    <row r="32" spans="1:33" s="970" customFormat="1" ht="13.5" customHeight="1" thickBot="1">
      <c r="A32" s="1000" t="s">
        <v>2522</v>
      </c>
      <c r="B32" s="1001"/>
      <c r="C32" s="1002">
        <f ca="1">ROUND((C4-C21-C22-C23-C25-C28-C31)/(1+C24+D25+D28),0)</f>
        <v>-730</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c r="D1" s="1820"/>
      <c r="E1" s="1821" t="s">
        <v>1387</v>
      </c>
      <c r="F1" s="1283" t="b">
        <f>J53</f>
        <v>0</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1"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2">
        <f ca="1">C6+C10+C12</f>
        <v>0</v>
      </c>
      <c r="D5" s="1822" t="s">
        <v>1601</v>
      </c>
      <c r="E5" s="1293"/>
      <c r="F5" s="1294"/>
      <c r="G5" s="1851"/>
      <c r="H5" s="343">
        <v>1</v>
      </c>
      <c r="I5" s="344" t="s">
        <v>1600</v>
      </c>
      <c r="J5" s="1292">
        <f ca="1">J6+J10+J12</f>
        <v>0</v>
      </c>
      <c r="K5" s="1822" t="s">
        <v>1601</v>
      </c>
      <c r="L5" s="1293"/>
      <c r="M5" s="1294"/>
    </row>
    <row r="6" spans="1:37" ht="18" customHeight="1">
      <c r="A6" s="1291" t="s">
        <v>1035</v>
      </c>
      <c r="B6" s="3222" t="s">
        <v>1403</v>
      </c>
      <c r="C6" s="1296">
        <f ca="1">ROUND(F6*F8*F7*(1-F9),0)</f>
        <v>0</v>
      </c>
      <c r="D6" s="163" t="s">
        <v>3031</v>
      </c>
      <c r="E6" s="346" t="s">
        <v>1405</v>
      </c>
      <c r="F6" s="347">
        <f ca="1">INDIRECT("'数据-取费表'!u"&amp;$G$1)</f>
        <v>0</v>
      </c>
      <c r="G6" s="1851"/>
      <c r="H6" s="1291" t="s">
        <v>1035</v>
      </c>
      <c r="I6" s="3222" t="s">
        <v>1403</v>
      </c>
      <c r="J6" s="345">
        <f ca="1">ROUND(M6*M8*M7*(1-M9),0)</f>
        <v>0</v>
      </c>
      <c r="K6" s="1834" t="s">
        <v>3032</v>
      </c>
      <c r="L6" s="346" t="s">
        <v>1405</v>
      </c>
      <c r="M6" s="347">
        <f ca="1">INDIRECT("'数据-取费表'!z"&amp;$G$1)</f>
        <v>0</v>
      </c>
    </row>
    <row r="7" spans="1:37" ht="18" customHeight="1">
      <c r="A7" s="1295"/>
      <c r="B7" s="3223"/>
      <c r="C7" s="1297"/>
      <c r="D7" s="351"/>
      <c r="E7" s="1298" t="s">
        <v>1406</v>
      </c>
      <c r="F7" s="347">
        <f ca="1">IF(INDIRECT("'数据-取费表'!ah"&amp;$G$1)="",INDIRECT("'数据-取费表'!k"&amp;$G$1),INDIRECT("'数据-取费表'!ah"&amp;$G$1))</f>
        <v>0</v>
      </c>
      <c r="G7" s="1851"/>
      <c r="H7" s="348"/>
      <c r="I7" s="3223"/>
      <c r="J7" s="350"/>
      <c r="K7" s="351"/>
      <c r="L7" s="346" t="s">
        <v>1406</v>
      </c>
      <c r="M7" s="347">
        <f ca="1">F7</f>
        <v>0</v>
      </c>
    </row>
    <row r="8" spans="1:37" ht="18" customHeight="1">
      <c r="A8" s="348"/>
      <c r="B8" s="3223"/>
      <c r="C8" s="350"/>
      <c r="D8" s="351"/>
      <c r="E8" s="346" t="s">
        <v>1407</v>
      </c>
      <c r="F8" s="347">
        <f ca="1">INDIRECT("'数据-取费表'!ai"&amp;$G$1)</f>
        <v>0</v>
      </c>
      <c r="G8" s="1851"/>
      <c r="H8" s="348"/>
      <c r="I8" s="3223"/>
      <c r="J8" s="350"/>
      <c r="K8" s="351"/>
      <c r="L8" s="346" t="s">
        <v>1407</v>
      </c>
      <c r="M8" s="347">
        <f ca="1">INDIRECT("'数据-取费表'!ai"&amp;$G$1)</f>
        <v>0</v>
      </c>
    </row>
    <row r="9" spans="1:37" ht="18" customHeight="1">
      <c r="A9" s="348"/>
      <c r="B9" s="3224"/>
      <c r="C9" s="350"/>
      <c r="D9" s="351"/>
      <c r="E9" s="346" t="s">
        <v>1408</v>
      </c>
      <c r="F9" s="356">
        <f ca="1">INDIRECT("'数据-取费表'!w"&amp;$G$1)</f>
        <v>0</v>
      </c>
      <c r="G9" s="1851"/>
      <c r="H9" s="348"/>
      <c r="I9" s="3224"/>
      <c r="J9" s="350"/>
      <c r="K9" s="351"/>
      <c r="L9" s="357" t="s">
        <v>1408</v>
      </c>
      <c r="M9" s="358">
        <f ca="1">INDIRECT("'数据-取费表'!ab"&amp;$G$1)</f>
        <v>0</v>
      </c>
    </row>
    <row r="10" spans="1:37" ht="18" customHeight="1">
      <c r="A10" s="1291" t="s">
        <v>1039</v>
      </c>
      <c r="B10" s="1823" t="s">
        <v>1409</v>
      </c>
      <c r="C10" s="360">
        <f ca="1">ROUND(IF(F10="押一",C6/12*F11,IF(F10="押二",C6/12*2*F11,IF(F10="押三",C6/12*3*F11,C11*F11))),0)</f>
        <v>0</v>
      </c>
      <c r="D10" s="1824" t="s">
        <v>3042</v>
      </c>
      <c r="E10" s="357" t="s">
        <v>1410</v>
      </c>
      <c r="F10" s="1366"/>
      <c r="G10" s="1851"/>
      <c r="H10" s="1291" t="s">
        <v>1039</v>
      </c>
      <c r="I10" s="1823" t="s">
        <v>1409</v>
      </c>
      <c r="J10" s="345">
        <f ca="1">ROUND(IF(M10="押一",J6/12*M11,IF(M10="押二",J6/12*2*M11,IF(M10="押三",J6/12*3*M11,J11*M11))),0)</f>
        <v>0</v>
      </c>
      <c r="K10" s="1835" t="s">
        <v>3044</v>
      </c>
      <c r="L10" s="357" t="s">
        <v>1410</v>
      </c>
      <c r="M10" s="1366"/>
    </row>
    <row r="11" spans="1:37" ht="18" customHeight="1">
      <c r="A11" s="352"/>
      <c r="B11" s="1825" t="s">
        <v>1602</v>
      </c>
      <c r="C11" s="1178"/>
      <c r="D11" s="351"/>
      <c r="E11" s="357" t="s">
        <v>1412</v>
      </c>
      <c r="F11" s="358">
        <f ca="1">'数据-取费表'!B39</f>
        <v>1.4999999999999999E-2</v>
      </c>
      <c r="G11" s="1851"/>
      <c r="H11" s="1299"/>
      <c r="I11" s="1825" t="s">
        <v>1603</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6" t="s">
        <v>1417</v>
      </c>
      <c r="C14" s="362">
        <f ca="1">ROUND(INDIRECT("'数据-取费表'!l"&amp;$G$1)*F43+'数据-取费表'!L14*INDIRECT("'数据-取费表'!S"&amp;$G$1),0)</f>
        <v>0</v>
      </c>
      <c r="D14" s="1800" t="s">
        <v>1418</v>
      </c>
      <c r="E14" s="1794"/>
      <c r="F14" s="363"/>
      <c r="G14" s="1851"/>
      <c r="H14" s="1201" t="s">
        <v>1035</v>
      </c>
      <c r="I14" s="346" t="s">
        <v>1419</v>
      </c>
      <c r="J14" s="23">
        <f ca="1">C29</f>
        <v>0</v>
      </c>
      <c r="K14" s="14"/>
      <c r="L14" s="979"/>
      <c r="M14" s="980"/>
    </row>
    <row r="15" spans="1:37" s="1858" customFormat="1" ht="18" customHeight="1" thickBot="1">
      <c r="A15" s="1201" t="s">
        <v>1036</v>
      </c>
      <c r="B15" s="346" t="s">
        <v>1420</v>
      </c>
      <c r="C15" s="23">
        <f ca="1">ROUND(C14*F15,0)</f>
        <v>0</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51"/>
      <c r="H16" s="1329" t="s">
        <v>1030</v>
      </c>
      <c r="I16" s="1330" t="s">
        <v>1424</v>
      </c>
      <c r="J16" s="354">
        <f ca="1">ROUND(J17+J22+J23+J24,0)</f>
        <v>0</v>
      </c>
      <c r="K16" s="1337" t="s">
        <v>1425</v>
      </c>
      <c r="L16" s="1338"/>
      <c r="M16" s="1294"/>
    </row>
    <row r="17" spans="1:37" s="1858" customFormat="1" ht="18" customHeight="1">
      <c r="A17" s="1201" t="s">
        <v>1390</v>
      </c>
      <c r="B17" s="346" t="s">
        <v>1426</v>
      </c>
      <c r="C17" s="23">
        <f ca="1">ROUND(F17*(F43+INDIRECT("'数据-取费表'!S"&amp;$G$1)),0)</f>
        <v>0</v>
      </c>
      <c r="D17" s="346" t="s">
        <v>1427</v>
      </c>
      <c r="E17" s="346" t="s">
        <v>1428</v>
      </c>
      <c r="F17" s="25">
        <f>'数据-取费表'!B35</f>
        <v>200</v>
      </c>
      <c r="G17" s="1854"/>
      <c r="H17" s="1201" t="s">
        <v>1035</v>
      </c>
      <c r="I17" s="346" t="s">
        <v>1429</v>
      </c>
      <c r="J17" s="23">
        <f ca="1">ROUND(IF(项目基本情况!B11="自然人",J5*M17,J18+J19+J20),0)</f>
        <v>0</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0</v>
      </c>
      <c r="D18" s="346" t="s">
        <v>1421</v>
      </c>
      <c r="E18" s="346" t="s">
        <v>1422</v>
      </c>
      <c r="F18" s="366">
        <f>'数据-取费表'!B36</f>
        <v>1.4999999999999999E-2</v>
      </c>
      <c r="G18" s="1854"/>
      <c r="H18" s="1201" t="s">
        <v>1034</v>
      </c>
      <c r="I18" s="346" t="s">
        <v>1433</v>
      </c>
      <c r="J18" s="23">
        <f ca="1">ROUND(J5*M18/(1+'数据-取费表'!C42),0)</f>
        <v>0</v>
      </c>
      <c r="K18" s="1798" t="s">
        <v>1434</v>
      </c>
      <c r="L18" s="346" t="s">
        <v>1422</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0</v>
      </c>
      <c r="D19" s="139" t="s">
        <v>1436</v>
      </c>
      <c r="E19" s="1818"/>
      <c r="F19" s="25"/>
      <c r="G19" s="1851"/>
      <c r="H19" s="1201" t="s">
        <v>1036</v>
      </c>
      <c r="I19" s="346" t="s">
        <v>1437</v>
      </c>
      <c r="J19" s="23">
        <f ca="1">IF(K19="按租金收入计税",ROUND(J5*M19,0),ROUND(C29*M19*0.7,0))</f>
        <v>0</v>
      </c>
      <c r="K19" s="1828" t="s">
        <v>1438</v>
      </c>
      <c r="L19" s="346" t="s">
        <v>1422</v>
      </c>
      <c r="M19" s="366">
        <f>IF(K19="按租金收入计税",'数据-取费表'!B51,'数据-取费表'!B50)</f>
        <v>1.2E-2</v>
      </c>
    </row>
    <row r="20" spans="1:37" s="1858" customFormat="1" ht="18" customHeight="1">
      <c r="A20" s="1201" t="s">
        <v>1039</v>
      </c>
      <c r="B20" s="346" t="s">
        <v>1439</v>
      </c>
      <c r="C20" s="23">
        <f ca="1">ROUND(C19*F20,0)</f>
        <v>0</v>
      </c>
      <c r="D20" s="368" t="s">
        <v>1440</v>
      </c>
      <c r="E20" s="346" t="s">
        <v>1422</v>
      </c>
      <c r="F20" s="366">
        <f>'数据-取费表'!B37</f>
        <v>0.03</v>
      </c>
      <c r="G20" s="1854"/>
      <c r="H20" s="1201" t="s">
        <v>1389</v>
      </c>
      <c r="I20" s="163" t="s">
        <v>1441</v>
      </c>
      <c r="J20" s="24">
        <f ca="1">ROUND(M20*M21,0)</f>
        <v>0</v>
      </c>
      <c r="K20" s="369" t="s">
        <v>1442</v>
      </c>
      <c r="L20" s="346" t="s">
        <v>1443</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v>
      </c>
      <c r="D21" s="368" t="s">
        <v>1445</v>
      </c>
      <c r="E21" s="346" t="s">
        <v>1446</v>
      </c>
      <c r="F21" s="366">
        <f>'数据-取费表'!B38</f>
        <v>0.03</v>
      </c>
      <c r="G21" s="1854"/>
      <c r="H21" s="371"/>
      <c r="I21" s="355"/>
      <c r="J21" s="28"/>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ROUND(J14*M22,0)</f>
        <v>0</v>
      </c>
      <c r="K22" s="1798" t="s">
        <v>1450</v>
      </c>
      <c r="L22" s="346" t="s">
        <v>1422</v>
      </c>
      <c r="M22" s="373">
        <f ca="1">INDIRECT("'数据-取费表'!Ak"&amp;$G$1)</f>
        <v>0</v>
      </c>
    </row>
    <row r="23" spans="1:37" s="1858"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ROUND(J13*M23,0)</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6" t="s">
        <v>1461</v>
      </c>
      <c r="C25" s="23"/>
      <c r="D25" s="139" t="s">
        <v>1462</v>
      </c>
      <c r="E25" s="1818"/>
      <c r="F25" s="25"/>
      <c r="G25" s="1851"/>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5.2400000000000002E-2</v>
      </c>
      <c r="D28" s="368" t="s">
        <v>1476</v>
      </c>
      <c r="E28" s="346" t="s">
        <v>1422</v>
      </c>
      <c r="F28" s="366">
        <f>'数据-取费表'!B41</f>
        <v>5.5000000000000007E-2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0</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ROUND(IF(项目基本情况!B11="自然人",C5*F31,C32+C33+C34),0)</f>
        <v>0</v>
      </c>
      <c r="D31" s="1800" t="s">
        <v>1430</v>
      </c>
      <c r="E31" s="1798" t="s">
        <v>1481</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6" t="s">
        <v>1433</v>
      </c>
      <c r="C32" s="23">
        <f ca="1">IF(项目基本情况!B11="自然人","——",ROUND(C5*F32/(1+'数据-取费表'!C42),0))</f>
        <v>0</v>
      </c>
      <c r="D32" s="1798" t="s">
        <v>1434</v>
      </c>
      <c r="E32" s="346" t="s">
        <v>1422</v>
      </c>
      <c r="F32" s="376">
        <f>'数据-取费表'!B41</f>
        <v>5.5000000000000007E-2</v>
      </c>
      <c r="G32" s="1851"/>
      <c r="H32" s="742"/>
      <c r="I32" s="743"/>
      <c r="J32" s="744"/>
      <c r="K32" s="745"/>
      <c r="L32" s="746"/>
      <c r="M32" s="747"/>
    </row>
    <row r="33" spans="1:18" ht="18" customHeight="1">
      <c r="A33" s="1201" t="s">
        <v>1036</v>
      </c>
      <c r="B33" s="346" t="s">
        <v>1437</v>
      </c>
      <c r="C33" s="23">
        <f ca="1">IF(项目基本情况!B11="自然人","——",IF(D33="按租金收入计税",ROUND(C5*F33,0),IF(D33="按房产原值计税",ROUND(C29*F33*0.7,0),INDIRECT("'数据-取费表'!Aj"&amp;$G$1))))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f>
        <v>0</v>
      </c>
      <c r="D34" s="369" t="s">
        <v>1442</v>
      </c>
      <c r="E34" s="346" t="s">
        <v>1443</v>
      </c>
      <c r="F34" s="370">
        <f>'数据-取费表'!B52</f>
        <v>1.5</v>
      </c>
      <c r="G34" s="1851"/>
      <c r="H34" s="742"/>
      <c r="I34" s="1860"/>
      <c r="J34" s="1861"/>
      <c r="K34" s="1863"/>
      <c r="L34" s="1864"/>
      <c r="M34" s="1864"/>
    </row>
    <row r="35" spans="1:18" ht="18" customHeight="1">
      <c r="A35" s="1353"/>
      <c r="B35" s="1351"/>
      <c r="C35" s="28"/>
      <c r="D35" s="372"/>
      <c r="E35" s="346" t="s">
        <v>1447</v>
      </c>
      <c r="F35" s="347">
        <f ca="1">INDIRECT("'数据-取费表'!r"&amp;$G$1)</f>
        <v>0</v>
      </c>
      <c r="G35" s="1851"/>
      <c r="H35" s="742"/>
      <c r="I35" s="1860"/>
      <c r="J35" s="1861"/>
      <c r="K35" s="1862"/>
      <c r="L35" s="1859"/>
      <c r="M35" s="1859"/>
    </row>
    <row r="36" spans="1:18" ht="18" customHeight="1">
      <c r="A36" s="1352" t="s">
        <v>1039</v>
      </c>
      <c r="B36" s="346" t="s">
        <v>1449</v>
      </c>
      <c r="C36" s="23">
        <f ca="1">ROUND(C29*F36,0)</f>
        <v>0</v>
      </c>
      <c r="D36" s="1798" t="s">
        <v>1482</v>
      </c>
      <c r="E36" s="346" t="s">
        <v>1422</v>
      </c>
      <c r="F36" s="373">
        <f ca="1">INDIRECT("'数据-取费表'!Ak"&amp;$G$1)</f>
        <v>0</v>
      </c>
      <c r="G36" s="1851"/>
      <c r="H36" s="1859"/>
      <c r="I36" s="1860"/>
      <c r="J36" s="1861"/>
      <c r="K36" s="748"/>
      <c r="L36" s="1859"/>
      <c r="M36" s="1859"/>
    </row>
    <row r="37" spans="1:18" ht="18" customHeight="1">
      <c r="A37" s="1201" t="s">
        <v>1075</v>
      </c>
      <c r="B37" s="346" t="s">
        <v>1453</v>
      </c>
      <c r="C37" s="23">
        <f ca="1">ROUND(C13*F37,0)</f>
        <v>0</v>
      </c>
      <c r="D37" s="1798" t="s">
        <v>1454</v>
      </c>
      <c r="E37" s="346" t="s">
        <v>1455</v>
      </c>
      <c r="F37" s="375">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4">
        <f ca="1">C5-C30</f>
        <v>0</v>
      </c>
      <c r="D39" s="1345" t="s">
        <v>1484</v>
      </c>
      <c r="E39" s="1346"/>
      <c r="F39" s="1347"/>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1477</v>
      </c>
      <c r="F42" s="356">
        <f ca="1">INDIRECT("'数据-取费表'!v"&amp;$G$1)</f>
        <v>0</v>
      </c>
      <c r="G42" s="1851"/>
      <c r="H42" s="729"/>
      <c r="I42" s="1860"/>
      <c r="J42" s="1861"/>
      <c r="K42" s="748"/>
      <c r="L42" s="729"/>
      <c r="M42" s="729"/>
    </row>
    <row r="43" spans="1:18" ht="18" customHeight="1" thickBot="1">
      <c r="A43" s="379" t="s">
        <v>1033</v>
      </c>
      <c r="B43" s="380" t="s">
        <v>1487</v>
      </c>
      <c r="C43" s="381" t="e">
        <f ca="1">ROUND(C40/F43,0)</f>
        <v>#DIV/0!</v>
      </c>
      <c r="D43" s="382" t="s">
        <v>1488</v>
      </c>
      <c r="E43" s="383" t="s">
        <v>1489</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4"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8" t="s">
        <v>1409</v>
      </c>
      <c r="C53" s="360">
        <f ca="1">ROUND(IF(F53="押一",C49/12*F11,IF(F53="押二",C49/12*2*F11,IF(F53="押三",C49/12*3*F11,C54*F11))),0)</f>
        <v>0</v>
      </c>
      <c r="D53" s="1824" t="s">
        <v>3045</v>
      </c>
      <c r="E53" s="357" t="s">
        <v>1410</v>
      </c>
      <c r="F53" s="1366"/>
      <c r="I53" s="1905" t="s">
        <v>1547</v>
      </c>
      <c r="J53" s="1906" t="b">
        <f>IF(M47="住宅",J51,IF(D1="——",MIN(J51,L48),IF(D1="在建（套用方法）",MIN(J51,L48-'数据-取费表'!B24),IF(D1="土地（套用方法）",MIN(J51,L48-'数据-取费表'!B20)))))</f>
        <v>0</v>
      </c>
      <c r="K53" s="3220" t="s">
        <v>1548</v>
      </c>
      <c r="L53" s="3221"/>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5">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1">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9" t="s">
        <v>1030</v>
      </c>
      <c r="B58" s="1177" t="s">
        <v>1424</v>
      </c>
      <c r="C58" s="360">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6">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70">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5"/>
      <c r="C63" s="28"/>
      <c r="D63" s="1185"/>
      <c r="E63" s="1169"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6">
        <f t="shared" ca="1" si="0"/>
        <v>0</v>
      </c>
      <c r="O66" s="1884" t="s">
        <v>1041</v>
      </c>
      <c r="P66" s="1885" t="s">
        <v>1558</v>
      </c>
      <c r="Q66" s="1886" t="e">
        <f ca="1">L60</f>
        <v>#DIV/0!</v>
      </c>
      <c r="R66" s="1886" t="s">
        <v>1581</v>
      </c>
    </row>
    <row r="67" spans="1:18" s="1842" customFormat="1" ht="16.5" thickBot="1">
      <c r="A67" s="1176" t="s">
        <v>1031</v>
      </c>
      <c r="B67" s="1186" t="s">
        <v>1463</v>
      </c>
      <c r="C67" s="360">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5" t="e">
        <f ca="1">ROUND(C67*(1-((1+F70)/(1+F68))^F69)/(F68-F70),0)</f>
        <v>#DIV/0!</v>
      </c>
      <c r="D68" s="1184" t="s">
        <v>1469</v>
      </c>
      <c r="E68" s="1169" t="s">
        <v>1470</v>
      </c>
      <c r="F68" s="356">
        <f ca="1">F40</f>
        <v>0</v>
      </c>
      <c r="O68" s="1894" t="s">
        <v>1043</v>
      </c>
      <c r="P68" s="1934" t="s">
        <v>1583</v>
      </c>
      <c r="Q68" s="1886">
        <f ca="1">ROUND(Q69-Q70*Q71,0)</f>
        <v>0</v>
      </c>
      <c r="R68" s="1886" t="s">
        <v>1051</v>
      </c>
    </row>
    <row r="69" spans="1:18" s="1842" customFormat="1" ht="13.5" thickBot="1">
      <c r="A69" s="1170"/>
      <c r="B69" s="1171"/>
      <c r="C69" s="350"/>
      <c r="D69" s="1189" t="s">
        <v>1473</v>
      </c>
      <c r="E69" s="1169" t="s">
        <v>1474</v>
      </c>
      <c r="F69" s="378">
        <f ca="1">F41</f>
        <v>0</v>
      </c>
      <c r="O69" s="1894" t="s">
        <v>1048</v>
      </c>
      <c r="P69" s="1934" t="s">
        <v>1584</v>
      </c>
      <c r="Q69" s="1886">
        <f ca="1">C39</f>
        <v>0</v>
      </c>
      <c r="R69" s="1886" t="s">
        <v>1529</v>
      </c>
    </row>
    <row r="70" spans="1:18" s="1842" customFormat="1" ht="13.5" thickBot="1">
      <c r="A70" s="1173"/>
      <c r="B70" s="1174"/>
      <c r="C70" s="354"/>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1" t="e">
        <f ca="1">ROUND(C68/F71,0)</f>
        <v>#DIV/0!</v>
      </c>
      <c r="D71" s="1192" t="s">
        <v>1488</v>
      </c>
      <c r="E71" s="1193" t="s">
        <v>1489</v>
      </c>
      <c r="F71" s="384">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2531</v>
      </c>
      <c r="B1" s="2564"/>
      <c r="C1" s="2564"/>
      <c r="D1" s="2564"/>
      <c r="E1" s="2565"/>
    </row>
    <row r="2" spans="1:6" ht="15.75">
      <c r="A2" s="2566" t="s">
        <v>2332</v>
      </c>
      <c r="B2" s="2567">
        <f ca="1">SUMIF(B6:B13,"&lt;&gt;#ref!",B6:B13)</f>
        <v>62233</v>
      </c>
      <c r="C2" s="2568" t="s">
        <v>2524</v>
      </c>
      <c r="D2" s="2569" t="s">
        <v>2525</v>
      </c>
      <c r="E2" s="2570">
        <f>SUM(E6:E13)</f>
        <v>28056.880000000005</v>
      </c>
    </row>
    <row r="3" spans="1:6" ht="15.75">
      <c r="A3" s="2566" t="s">
        <v>1395</v>
      </c>
      <c r="B3" s="2567">
        <f ca="1">ROUND(B2*10000/E2,0)</f>
        <v>22181</v>
      </c>
      <c r="C3" s="2568" t="s">
        <v>2532</v>
      </c>
      <c r="D3" s="2571"/>
      <c r="E3" s="2572"/>
    </row>
    <row r="4" spans="1:6" ht="15.75">
      <c r="A4" s="2573"/>
      <c r="B4" s="2571"/>
      <c r="C4" s="2571"/>
      <c r="D4" s="2571"/>
      <c r="E4" s="2572"/>
    </row>
    <row r="5" spans="1:6" ht="15">
      <c r="A5" s="2574" t="s">
        <v>2526</v>
      </c>
      <c r="B5" s="3225" t="s">
        <v>2527</v>
      </c>
      <c r="C5" s="3225"/>
      <c r="D5" s="2575"/>
      <c r="E5" s="2576" t="s">
        <v>2528</v>
      </c>
      <c r="F5" s="2577" t="s">
        <v>2529</v>
      </c>
    </row>
    <row r="6" spans="1:6">
      <c r="A6" s="2578" t="str">
        <f>'数据-取费表'!AN6</f>
        <v>收益法</v>
      </c>
      <c r="B6" s="2577">
        <f ca="1">IF(F6="是",'数据-取费表'!AO6,0)</f>
        <v>62233</v>
      </c>
      <c r="C6" s="2568" t="s">
        <v>2524</v>
      </c>
      <c r="D6" s="2571"/>
      <c r="E6" s="2579">
        <f>IF(OR(A6=0,F6="否"),0,'数据-取费表'!K6+'数据-取费表'!S6)</f>
        <v>28056.880000000005</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31" t="s">
        <v>1077</v>
      </c>
      <c r="B2" s="3232" t="s">
        <v>1078</v>
      </c>
      <c r="C2" s="3232"/>
      <c r="D2" s="1301" t="s">
        <v>1079</v>
      </c>
      <c r="E2" s="1301" t="s">
        <v>1080</v>
      </c>
      <c r="F2" s="1301" t="s">
        <v>1081</v>
      </c>
      <c r="G2" s="1301" t="s">
        <v>1082</v>
      </c>
      <c r="H2" s="1301" t="s">
        <v>1083</v>
      </c>
      <c r="I2" s="1302" t="s">
        <v>1084</v>
      </c>
    </row>
    <row r="3" spans="1:9">
      <c r="A3" s="3231"/>
      <c r="B3" s="3232" t="s">
        <v>1085</v>
      </c>
      <c r="C3" s="3232"/>
      <c r="D3" s="1303"/>
      <c r="E3" s="1301"/>
      <c r="F3" s="1304"/>
      <c r="G3" s="1304"/>
      <c r="H3" s="1305"/>
      <c r="I3" s="1306">
        <f>ROUND(D3*E3*F3*G3*H3/10000,0)</f>
        <v>0</v>
      </c>
    </row>
    <row r="4" spans="1:9">
      <c r="A4" s="3231"/>
      <c r="B4" s="3232" t="s">
        <v>1086</v>
      </c>
      <c r="C4" s="3232"/>
      <c r="D4" s="1303"/>
      <c r="E4" s="1301"/>
      <c r="F4" s="1304"/>
      <c r="G4" s="1304"/>
      <c r="H4" s="1305"/>
      <c r="I4" s="1306">
        <f t="shared" ref="I4:I9" si="0">ROUND(D4*E4*F4*G4*H4/10000,0)</f>
        <v>0</v>
      </c>
    </row>
    <row r="5" spans="1:9">
      <c r="A5" s="3231"/>
      <c r="B5" s="3232" t="s">
        <v>1087</v>
      </c>
      <c r="C5" s="3232"/>
      <c r="D5" s="1303"/>
      <c r="E5" s="1301"/>
      <c r="F5" s="1304"/>
      <c r="G5" s="1304"/>
      <c r="H5" s="1305"/>
      <c r="I5" s="1306">
        <f t="shared" si="0"/>
        <v>0</v>
      </c>
    </row>
    <row r="6" spans="1:9">
      <c r="A6" s="3231"/>
      <c r="B6" s="3232" t="s">
        <v>1088</v>
      </c>
      <c r="C6" s="3232"/>
      <c r="D6" s="1303"/>
      <c r="E6" s="1301"/>
      <c r="F6" s="1304"/>
      <c r="G6" s="1304"/>
      <c r="H6" s="1305"/>
      <c r="I6" s="1306">
        <f t="shared" si="0"/>
        <v>0</v>
      </c>
    </row>
    <row r="7" spans="1:9">
      <c r="A7" s="3231"/>
      <c r="B7" s="3232" t="s">
        <v>1089</v>
      </c>
      <c r="C7" s="3232"/>
      <c r="D7" s="1303"/>
      <c r="E7" s="1301"/>
      <c r="F7" s="1304"/>
      <c r="G7" s="1304"/>
      <c r="H7" s="1305"/>
      <c r="I7" s="1306">
        <f t="shared" si="0"/>
        <v>0</v>
      </c>
    </row>
    <row r="8" spans="1:9">
      <c r="A8" s="3231"/>
      <c r="B8" s="3232" t="s">
        <v>1090</v>
      </c>
      <c r="C8" s="3232"/>
      <c r="D8" s="1303"/>
      <c r="E8" s="1301"/>
      <c r="F8" s="1304"/>
      <c r="G8" s="1304"/>
      <c r="H8" s="1305"/>
      <c r="I8" s="1306">
        <f t="shared" si="0"/>
        <v>0</v>
      </c>
    </row>
    <row r="9" spans="1:9">
      <c r="A9" s="3231"/>
      <c r="B9" s="3232" t="s">
        <v>1091</v>
      </c>
      <c r="C9" s="3232"/>
      <c r="D9" s="1303"/>
      <c r="E9" s="1301"/>
      <c r="F9" s="1304"/>
      <c r="G9" s="1304"/>
      <c r="H9" s="1305"/>
      <c r="I9" s="1306">
        <f t="shared" si="0"/>
        <v>0</v>
      </c>
    </row>
    <row r="10" spans="1:9">
      <c r="A10" s="3231"/>
      <c r="B10" s="3233" t="s">
        <v>1092</v>
      </c>
      <c r="C10" s="3233"/>
      <c r="D10" s="1307"/>
      <c r="E10" s="1307" t="e">
        <f>ROUND(D1*10000/D10/H9,0)</f>
        <v>#DIV/0!</v>
      </c>
      <c r="F10" s="1308"/>
      <c r="G10" s="1308"/>
      <c r="H10" s="1309"/>
      <c r="I10" s="1310">
        <f>SUM(I3:I9)</f>
        <v>0</v>
      </c>
    </row>
    <row r="11" spans="1:9" ht="14.25">
      <c r="A11" s="3231" t="s">
        <v>1093</v>
      </c>
      <c r="B11" s="3232" t="s">
        <v>1094</v>
      </c>
      <c r="C11" s="3232"/>
      <c r="D11" s="1303" t="s">
        <v>1095</v>
      </c>
      <c r="E11" s="1303" t="s">
        <v>1096</v>
      </c>
      <c r="F11" s="1304" t="s">
        <v>1097</v>
      </c>
      <c r="G11" s="1304" t="s">
        <v>1083</v>
      </c>
      <c r="H11" s="1311" t="s">
        <v>1098</v>
      </c>
      <c r="I11" s="1302" t="s">
        <v>1084</v>
      </c>
    </row>
    <row r="12" spans="1:9">
      <c r="A12" s="3231"/>
      <c r="B12" s="3232" t="s">
        <v>1099</v>
      </c>
      <c r="C12" s="3232"/>
      <c r="D12" s="1303"/>
      <c r="E12" s="1303"/>
      <c r="F12" s="1304"/>
      <c r="G12" s="1305"/>
      <c r="H12" s="1312"/>
      <c r="I12" s="1302">
        <f>ROUND(D12*E12*F12*G12/10000,0)</f>
        <v>0</v>
      </c>
    </row>
    <row r="13" spans="1:9">
      <c r="A13" s="3231"/>
      <c r="B13" s="3232" t="s">
        <v>1100</v>
      </c>
      <c r="C13" s="3232"/>
      <c r="D13" s="1303"/>
      <c r="E13" s="1303"/>
      <c r="F13" s="1304"/>
      <c r="G13" s="1305"/>
      <c r="H13" s="1312"/>
      <c r="I13" s="1302">
        <f>ROUND(D13*E13*F13*G13/10000,0)</f>
        <v>0</v>
      </c>
    </row>
    <row r="14" spans="1:9">
      <c r="A14" s="3231"/>
      <c r="B14" s="3232" t="s">
        <v>1101</v>
      </c>
      <c r="C14" s="3232"/>
      <c r="D14" s="1303"/>
      <c r="E14" s="1303"/>
      <c r="F14" s="1304"/>
      <c r="G14" s="1305"/>
      <c r="H14" s="1312"/>
      <c r="I14" s="1302">
        <f>ROUND(D14*E14*F14*G14/10000,0)</f>
        <v>0</v>
      </c>
    </row>
    <row r="15" spans="1:9">
      <c r="A15" s="3231"/>
      <c r="B15" s="3233" t="s">
        <v>1092</v>
      </c>
      <c r="C15" s="3233"/>
      <c r="D15" s="1307"/>
      <c r="E15" s="1307">
        <f>SUM(E12:E14)</f>
        <v>0</v>
      </c>
      <c r="F15" s="1308"/>
      <c r="G15" s="1305"/>
      <c r="H15" s="1312"/>
      <c r="I15" s="1313">
        <f>SUM(I12:I14)</f>
        <v>0</v>
      </c>
    </row>
    <row r="16" spans="1:9" ht="24">
      <c r="A16" s="3231" t="s">
        <v>1102</v>
      </c>
      <c r="B16" s="3232" t="s">
        <v>1103</v>
      </c>
      <c r="C16" s="3232"/>
      <c r="D16" s="1303" t="s">
        <v>1079</v>
      </c>
      <c r="E16" s="1314" t="s">
        <v>1104</v>
      </c>
      <c r="F16" s="1304" t="s">
        <v>1105</v>
      </c>
      <c r="G16" s="1305" t="s">
        <v>1083</v>
      </c>
      <c r="H16" s="1311" t="s">
        <v>1098</v>
      </c>
      <c r="I16" s="1302" t="s">
        <v>1084</v>
      </c>
    </row>
    <row r="17" spans="1:9" ht="14.25">
      <c r="A17" s="3231"/>
      <c r="B17" s="3232" t="s">
        <v>1106</v>
      </c>
      <c r="C17" s="3232"/>
      <c r="D17" s="1303"/>
      <c r="E17" s="1303"/>
      <c r="F17" s="1304"/>
      <c r="G17" s="1305"/>
      <c r="H17" s="1315"/>
      <c r="I17" s="1316">
        <f>ROUND(D17*E17*F17*G17/10000,0)</f>
        <v>0</v>
      </c>
    </row>
    <row r="18" spans="1:9" ht="14.25">
      <c r="A18" s="3231"/>
      <c r="B18" s="3232" t="s">
        <v>1107</v>
      </c>
      <c r="C18" s="3232"/>
      <c r="D18" s="1303"/>
      <c r="E18" s="1303"/>
      <c r="F18" s="1304"/>
      <c r="G18" s="1305"/>
      <c r="H18" s="1315"/>
      <c r="I18" s="1316">
        <f>ROUND(D18*E18*F18*G18/10000,0)</f>
        <v>0</v>
      </c>
    </row>
    <row r="19" spans="1:9" ht="14.25">
      <c r="A19" s="3231"/>
      <c r="B19" s="3232" t="s">
        <v>1108</v>
      </c>
      <c r="C19" s="3232"/>
      <c r="D19" s="1303"/>
      <c r="E19" s="1303"/>
      <c r="F19" s="1304"/>
      <c r="G19" s="1305"/>
      <c r="H19" s="1315"/>
      <c r="I19" s="1316">
        <f>ROUND(D19*E19*F19*G19/10000,0)</f>
        <v>0</v>
      </c>
    </row>
    <row r="20" spans="1:9">
      <c r="A20" s="3231"/>
      <c r="B20" s="3233" t="s">
        <v>1092</v>
      </c>
      <c r="C20" s="3233"/>
      <c r="D20" s="1307">
        <f>SUM(D17:D19)</f>
        <v>0</v>
      </c>
      <c r="E20" s="1307"/>
      <c r="F20" s="1308"/>
      <c r="G20" s="1305"/>
      <c r="H20" s="1312"/>
      <c r="I20" s="1313">
        <f>SUM(I17:I19)</f>
        <v>0</v>
      </c>
    </row>
    <row r="21" spans="1:9">
      <c r="A21" s="3231" t="s">
        <v>1109</v>
      </c>
      <c r="B21" s="3235"/>
      <c r="C21" s="3235"/>
      <c r="D21" s="3235"/>
      <c r="E21" s="3235"/>
      <c r="F21" s="3235"/>
      <c r="G21" s="3235"/>
      <c r="H21" s="1765">
        <v>0.1</v>
      </c>
      <c r="I21" s="1310">
        <f>ROUND(I10*H21,0)</f>
        <v>0</v>
      </c>
    </row>
    <row r="22" spans="1:9" ht="14.25">
      <c r="A22" s="3236" t="s">
        <v>1110</v>
      </c>
      <c r="B22" s="3237"/>
      <c r="C22" s="3238"/>
      <c r="D22" s="1317" t="s">
        <v>1111</v>
      </c>
      <c r="E22" s="1317" t="s">
        <v>1112</v>
      </c>
      <c r="F22" s="1318" t="s">
        <v>1113</v>
      </c>
      <c r="G22" s="1318" t="s">
        <v>1114</v>
      </c>
      <c r="H22" s="1311" t="s">
        <v>1115</v>
      </c>
      <c r="I22" s="1302" t="s">
        <v>1116</v>
      </c>
    </row>
    <row r="23" spans="1:9" ht="14.25" thickBot="1">
      <c r="A23" s="3239"/>
      <c r="B23" s="3240"/>
      <c r="C23" s="3241"/>
      <c r="D23" s="1319"/>
      <c r="E23" s="1319"/>
      <c r="F23" s="1319"/>
      <c r="G23" s="1320"/>
      <c r="H23" s="1321"/>
      <c r="I23" s="1322">
        <f>ROUND(E23*D23*F23*(1-G23)/10000,0)</f>
        <v>0</v>
      </c>
    </row>
    <row r="26" spans="1:9">
      <c r="A26" s="1323" t="s">
        <v>1117</v>
      </c>
      <c r="B26" s="1323"/>
      <c r="C26" s="1323"/>
      <c r="D26" s="1323"/>
      <c r="E26" s="3242">
        <f>C27-C30-C31-C32</f>
        <v>0</v>
      </c>
      <c r="F26" s="3242"/>
      <c r="G26" s="3242"/>
      <c r="H26" s="1737" t="s">
        <v>1340</v>
      </c>
    </row>
    <row r="27" spans="1:9">
      <c r="A27" s="1324">
        <v>1</v>
      </c>
      <c r="B27" s="1325" t="s">
        <v>1118</v>
      </c>
      <c r="C27" s="1325">
        <f>C28+C29</f>
        <v>0</v>
      </c>
      <c r="D27" s="1325"/>
      <c r="E27" s="3243"/>
      <c r="F27" s="3243"/>
      <c r="G27" s="3243"/>
    </row>
    <row r="28" spans="1:9">
      <c r="A28" s="1326" t="s">
        <v>1119</v>
      </c>
      <c r="B28" s="1325" t="s">
        <v>1120</v>
      </c>
      <c r="C28" s="1325"/>
      <c r="D28" s="1325"/>
      <c r="E28" s="3243"/>
      <c r="F28" s="3243"/>
      <c r="G28" s="324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4"/>
      <c r="F32" s="3234"/>
      <c r="G32" s="3234"/>
    </row>
    <row r="33" spans="1:7" hidden="1">
      <c r="A33" s="3244" t="s">
        <v>1129</v>
      </c>
      <c r="B33" s="3245"/>
      <c r="C33" s="3245"/>
      <c r="D33" s="3246"/>
      <c r="E33" s="3242"/>
      <c r="F33" s="3242"/>
      <c r="G33" s="3242"/>
    </row>
    <row r="34" spans="1:7" hidden="1">
      <c r="A34" s="1328">
        <v>1</v>
      </c>
      <c r="B34" s="1325" t="s">
        <v>1130</v>
      </c>
      <c r="C34" s="1325"/>
      <c r="D34" s="1325"/>
      <c r="E34" s="3243"/>
      <c r="F34" s="3243"/>
      <c r="G34" s="3243"/>
    </row>
    <row r="35" spans="1:7" hidden="1">
      <c r="A35" s="1328">
        <v>2</v>
      </c>
      <c r="B35" s="1325" t="s">
        <v>1131</v>
      </c>
      <c r="C35" s="1325"/>
      <c r="D35" s="1325"/>
      <c r="E35" s="3243"/>
      <c r="F35" s="3243"/>
      <c r="G35" s="3243"/>
    </row>
    <row r="36" spans="1:7" hidden="1">
      <c r="A36" s="1328">
        <v>3</v>
      </c>
      <c r="B36" s="1325" t="s">
        <v>1132</v>
      </c>
      <c r="C36" s="1325"/>
      <c r="D36" s="1325"/>
      <c r="E36" s="3243"/>
      <c r="F36" s="3243"/>
      <c r="G36" s="3243"/>
    </row>
    <row r="37" spans="1:7" hidden="1">
      <c r="A37" s="1328">
        <v>4</v>
      </c>
      <c r="B37" s="1325" t="s">
        <v>1133</v>
      </c>
      <c r="C37" s="1325"/>
      <c r="D37" s="1325"/>
      <c r="E37" s="3243"/>
      <c r="F37" s="3243"/>
      <c r="G37" s="3243"/>
    </row>
    <row r="38" spans="1:7" hidden="1">
      <c r="A38" s="3244" t="s">
        <v>1134</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北京国锐房地产开发有限公司：</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估价对象为北京市房地产，为所有。根据《国有土地使用证》[]，估价对象（分摊）出让国有建设用地使用权面积为12718.02平方米，建筑面积为28056.88平方米。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估价对象为北京市房地产,属开发建设的商业项目，该项目尚在开发建设中。根据《国有土地使用证》[]，估价对象（分摊）出让国有建设用地使用权面积为12718.02平方米，规划建筑面积为28056.88平方米。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2018年4月18日（评估专业人员实地查勘之日）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4" t="s">
        <v>2534</v>
      </c>
      <c r="C1" s="1634" t="s">
        <v>2535</v>
      </c>
      <c r="D1" s="1621"/>
      <c r="E1" s="2585"/>
      <c r="F1" s="2586" t="s">
        <v>2536</v>
      </c>
      <c r="G1" s="1631" t="s">
        <v>2537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1394</v>
      </c>
      <c r="B2" s="1418" t="e">
        <f ca="1">IF(C2="——",ROUND(C49*D3/10000,0),ROUND(C49*D3/10000,0)-D2)</f>
        <v>#DIV/0!</v>
      </c>
      <c r="C2" s="2588"/>
      <c r="D2" s="1365" t="e">
        <f ca="1">SUMIF(INDIRECT("'"&amp;F2&amp;"'"&amp;"!A:A"),"承租人权益价值",INDIRECT("'"&amp;F2&amp;"'"&amp;"!c:c"))</f>
        <v>#REF!</v>
      </c>
      <c r="E2" s="2589" t="s">
        <v>2538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2539</v>
      </c>
      <c r="D3" s="398">
        <f>IF(D1="",'数据-汇总表'!E3,SUMIF('数据-汇总表'!$C19:$C33,D1,'数据-汇总表'!$E19:$E33))</f>
        <v>28056.880000000005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2540</v>
      </c>
      <c r="B4" s="401"/>
      <c r="C4" s="3166" t="s">
        <v>2541</v>
      </c>
      <c r="D4" s="3167"/>
      <c r="E4" s="3168" t="s">
        <v>2542</v>
      </c>
      <c r="F4" s="3169"/>
      <c r="G4" s="3166" t="s">
        <v>2543</v>
      </c>
      <c r="H4" s="3167"/>
      <c r="I4" s="3166" t="s">
        <v>2544</v>
      </c>
      <c r="J4" s="3167"/>
      <c r="K4" s="2598" t="s">
        <v>2545</v>
      </c>
      <c r="L4" s="1130"/>
      <c r="M4" s="1131"/>
      <c r="N4" s="1131"/>
      <c r="O4" s="1131"/>
      <c r="P4" s="3170" t="s">
        <v>2546</v>
      </c>
      <c r="Q4" s="3171"/>
      <c r="R4" s="3151" t="s">
        <v>2542</v>
      </c>
      <c r="S4" s="3152"/>
      <c r="T4" s="3151" t="s">
        <v>2543</v>
      </c>
      <c r="U4" s="3152"/>
      <c r="V4" s="3148" t="s">
        <v>2544</v>
      </c>
      <c r="W4" s="3148"/>
      <c r="X4" s="1813"/>
      <c r="Y4" s="3151" t="s">
        <v>2546</v>
      </c>
      <c r="Z4" s="3152"/>
      <c r="AA4" s="3145" t="s">
        <v>2542</v>
      </c>
      <c r="AB4" s="3145" t="s">
        <v>2543</v>
      </c>
      <c r="AC4" s="3145" t="s">
        <v>2544</v>
      </c>
    </row>
    <row r="5" spans="1:29" ht="15">
      <c r="A5" s="403"/>
      <c r="B5" s="404"/>
      <c r="C5" s="3157" t="s">
        <v>2547</v>
      </c>
      <c r="D5" s="3158"/>
      <c r="E5" s="3247" t="s">
        <v>2548</v>
      </c>
      <c r="F5" s="3156"/>
      <c r="G5" s="3157" t="s">
        <v>2549</v>
      </c>
      <c r="H5" s="3158"/>
      <c r="I5" s="3157" t="s">
        <v>2550</v>
      </c>
      <c r="J5" s="3158"/>
      <c r="K5" s="2599"/>
      <c r="L5" s="1130"/>
      <c r="M5" s="1131"/>
      <c r="N5" s="1131"/>
      <c r="O5" s="1131"/>
      <c r="P5" s="3172"/>
      <c r="Q5" s="3173"/>
      <c r="R5" s="3153"/>
      <c r="S5" s="3154"/>
      <c r="T5" s="3153"/>
      <c r="U5" s="3154"/>
      <c r="V5" s="3148"/>
      <c r="W5" s="3148"/>
      <c r="X5" s="1813"/>
      <c r="Y5" s="3153"/>
      <c r="Z5" s="3154"/>
      <c r="AA5" s="3146"/>
      <c r="AB5" s="3146"/>
      <c r="AC5" s="3146"/>
    </row>
    <row r="6" spans="1:29" ht="15.75" thickBot="1">
      <c r="A6" s="405"/>
      <c r="B6" s="406"/>
      <c r="C6" s="3159" t="s">
        <v>2551</v>
      </c>
      <c r="D6" s="3160"/>
      <c r="E6" s="3248" t="s">
        <v>2551</v>
      </c>
      <c r="F6" s="3163"/>
      <c r="G6" s="3159" t="s">
        <v>2551</v>
      </c>
      <c r="H6" s="3160"/>
      <c r="I6" s="3159" t="s">
        <v>2551</v>
      </c>
      <c r="J6" s="3160"/>
      <c r="K6" s="2599" t="s">
        <v>2552</v>
      </c>
      <c r="L6" s="1130"/>
      <c r="M6" s="1131"/>
      <c r="N6" s="1131"/>
      <c r="O6" s="1131"/>
      <c r="P6" s="3174"/>
      <c r="Q6" s="3175"/>
      <c r="R6" s="3153"/>
      <c r="S6" s="3154"/>
      <c r="T6" s="3176"/>
      <c r="U6" s="3177"/>
      <c r="V6" s="3148"/>
      <c r="W6" s="3148"/>
      <c r="X6" s="1813"/>
      <c r="Y6" s="3176"/>
      <c r="Z6" s="3177"/>
      <c r="AA6" s="3147"/>
      <c r="AB6" s="3147"/>
      <c r="AC6" s="3147"/>
    </row>
    <row r="7" spans="1:29" s="116" customFormat="1" ht="15.75" thickBot="1">
      <c r="A7" s="407" t="s">
        <v>2553</v>
      </c>
      <c r="B7" s="408"/>
      <c r="C7" s="409">
        <f>'数据-取费表'!B2</f>
        <v>43208</v>
      </c>
      <c r="D7" s="410">
        <v>100</v>
      </c>
      <c r="E7" s="411"/>
      <c r="F7" s="412">
        <f>SUMIF(58:58,YEAR(E7)&amp;"-"&amp;MONTH(E7),59:59)</f>
        <v>0</v>
      </c>
      <c r="G7" s="411"/>
      <c r="H7" s="410">
        <f>SUMIF(58:58,YEAR(G7)&amp;"-"&amp;MONTH(G7),59:59)</f>
        <v>0</v>
      </c>
      <c r="I7" s="411"/>
      <c r="J7" s="410">
        <f>SUMIF(58:58,YEAR(I7)&amp;"-"&amp;MONTH(I7),59:59)</f>
        <v>0</v>
      </c>
      <c r="K7" s="2600"/>
      <c r="L7" s="1132"/>
      <c r="M7" s="1133"/>
      <c r="N7" s="1133"/>
      <c r="O7" s="1133"/>
      <c r="P7" s="3149" t="s">
        <v>2554</v>
      </c>
      <c r="Q7" s="3178"/>
      <c r="R7" s="767" t="s">
        <v>23</v>
      </c>
      <c r="S7" s="768">
        <f t="shared" ref="S7:S15" si="0">F7</f>
        <v>0</v>
      </c>
      <c r="T7" s="767" t="s">
        <v>23</v>
      </c>
      <c r="U7" s="768">
        <f t="shared" ref="U7:U15" si="1">H7</f>
        <v>0</v>
      </c>
      <c r="V7" s="767" t="s">
        <v>23</v>
      </c>
      <c r="W7" s="768">
        <f t="shared" ref="W7:W15" si="2">J7</f>
        <v>0</v>
      </c>
      <c r="X7" s="769"/>
      <c r="Y7" s="3149" t="s">
        <v>2554</v>
      </c>
      <c r="Z7" s="3150"/>
      <c r="AA7" s="770" t="e">
        <f>D7/F7</f>
        <v>#DIV/0!</v>
      </c>
      <c r="AB7" s="770" t="e">
        <f>D7/H7</f>
        <v>#DIV/0!</v>
      </c>
      <c r="AC7" s="770" t="e">
        <f>D7/J7</f>
        <v>#DIV/0!</v>
      </c>
    </row>
    <row r="8" spans="1:29" s="116" customFormat="1" ht="15.75" thickBot="1">
      <c r="A8" s="407" t="s">
        <v>2555</v>
      </c>
      <c r="B8" s="408"/>
      <c r="C8" s="413" t="s">
        <v>2556</v>
      </c>
      <c r="D8" s="410">
        <v>100</v>
      </c>
      <c r="E8" s="2601"/>
      <c r="F8" s="412">
        <f>SUMIF(61:61,E8,62:62)-SUMIF(61:61,C8,62:62)+100</f>
        <v>0</v>
      </c>
      <c r="G8" s="413"/>
      <c r="H8" s="410">
        <f>SUMIF(61:61,G8,62:62)-SUMIF(61:61,C8,62:62)+100</f>
        <v>0</v>
      </c>
      <c r="I8" s="2601"/>
      <c r="J8" s="410">
        <f>SUMIF(61:61,I8,62:62)-SUMIF(61:61,C8,62:62)+100</f>
        <v>0</v>
      </c>
      <c r="K8" s="2600"/>
      <c r="L8" s="1132"/>
      <c r="M8" s="1133"/>
      <c r="N8" s="1133"/>
      <c r="O8" s="1133"/>
      <c r="P8" s="3149" t="s">
        <v>2557</v>
      </c>
      <c r="Q8" s="3150"/>
      <c r="R8" s="767" t="s">
        <v>23</v>
      </c>
      <c r="S8" s="768">
        <f t="shared" si="0"/>
        <v>0</v>
      </c>
      <c r="T8" s="767" t="s">
        <v>23</v>
      </c>
      <c r="U8" s="768">
        <f t="shared" si="1"/>
        <v>0</v>
      </c>
      <c r="V8" s="767" t="s">
        <v>23</v>
      </c>
      <c r="W8" s="768">
        <f t="shared" si="2"/>
        <v>0</v>
      </c>
      <c r="X8" s="769"/>
      <c r="Y8" s="3149" t="s">
        <v>2557</v>
      </c>
      <c r="Z8" s="3150"/>
      <c r="AA8" s="770" t="e">
        <f t="shared" ref="AA8:AA19" si="3">D8/F8</f>
        <v>#DIV/0!</v>
      </c>
      <c r="AB8" s="770" t="e">
        <f t="shared" ref="AB8:AB19" si="4">D8/H8</f>
        <v>#DIV/0!</v>
      </c>
      <c r="AC8" s="770" t="e">
        <f t="shared" ref="AC8:AC19" si="5">D8/J8</f>
        <v>#DIV/0!</v>
      </c>
    </row>
    <row r="9" spans="1:29" s="116" customFormat="1">
      <c r="A9" s="414" t="s">
        <v>2558</v>
      </c>
      <c r="B9" s="70" t="s">
        <v>2559</v>
      </c>
      <c r="C9" s="415"/>
      <c r="D9" s="134">
        <v>100</v>
      </c>
      <c r="E9" s="416"/>
      <c r="F9" s="417">
        <f>SUMIF(63:63,E9,64:64)-SUMIF(63:63,C9,64:64)+100</f>
        <v>100</v>
      </c>
      <c r="G9" s="418"/>
      <c r="H9" s="134">
        <f>SUMIF(63:63,G9,64:64)-SUMIF(63:63,C9,64:64)+100</f>
        <v>100</v>
      </c>
      <c r="I9" s="418"/>
      <c r="J9" s="134">
        <f>SUMIF(63:63,I9,64:64)-SUMIF(63:63,C9,64:64)+100</f>
        <v>100</v>
      </c>
      <c r="K9" s="2600"/>
      <c r="L9" s="1132"/>
      <c r="M9" s="1133"/>
      <c r="N9" s="1133"/>
      <c r="O9" s="1133"/>
      <c r="P9" s="3165" t="s">
        <v>2560</v>
      </c>
      <c r="Q9" s="1795" t="str">
        <f t="shared" ref="Q9:Q15" si="6">B9</f>
        <v>用途</v>
      </c>
      <c r="R9" s="767" t="s">
        <v>17</v>
      </c>
      <c r="S9" s="768">
        <f t="shared" si="0"/>
        <v>100</v>
      </c>
      <c r="T9" s="767" t="s">
        <v>17</v>
      </c>
      <c r="U9" s="768">
        <f t="shared" si="1"/>
        <v>100</v>
      </c>
      <c r="V9" s="767" t="s">
        <v>17</v>
      </c>
      <c r="W9" s="768">
        <f t="shared" si="2"/>
        <v>100</v>
      </c>
      <c r="X9" s="769"/>
      <c r="Y9" s="3021"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165"/>
      <c r="Q10" s="1795"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165"/>
      <c r="Q11" s="1795" t="str">
        <f t="shared" si="6"/>
        <v>容积率</v>
      </c>
      <c r="R11" s="767" t="s">
        <v>21</v>
      </c>
      <c r="S11" s="768" t="e">
        <f t="shared" si="0"/>
        <v>#N/A</v>
      </c>
      <c r="T11" s="767" t="s">
        <v>21</v>
      </c>
      <c r="U11" s="768" t="e">
        <f t="shared" si="1"/>
        <v>#N/A</v>
      </c>
      <c r="V11" s="767" t="s">
        <v>21</v>
      </c>
      <c r="W11" s="768" t="e">
        <f t="shared" si="2"/>
        <v>#N/A</v>
      </c>
      <c r="X11" s="769"/>
      <c r="Y11" s="3021"/>
      <c r="Z11" s="54" t="str">
        <f t="shared" si="7"/>
        <v>容积率</v>
      </c>
      <c r="AA11" s="770" t="e">
        <f t="shared" si="3"/>
        <v>#N/A</v>
      </c>
      <c r="AB11" s="770" t="e">
        <f t="shared" si="4"/>
        <v>#N/A</v>
      </c>
      <c r="AC11" s="770"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2"/>
      <c r="M12" s="1133"/>
      <c r="N12" s="1133"/>
      <c r="O12" s="1133"/>
      <c r="P12" s="3165"/>
      <c r="Q12" s="1795">
        <f t="shared" si="6"/>
        <v>111</v>
      </c>
      <c r="R12" s="767" t="s">
        <v>21</v>
      </c>
      <c r="S12" s="768">
        <f t="shared" si="0"/>
        <v>100</v>
      </c>
      <c r="T12" s="767" t="s">
        <v>21</v>
      </c>
      <c r="U12" s="768">
        <f t="shared" si="1"/>
        <v>100</v>
      </c>
      <c r="V12" s="767" t="s">
        <v>21</v>
      </c>
      <c r="W12" s="768">
        <f t="shared" si="2"/>
        <v>100</v>
      </c>
      <c r="X12" s="769"/>
      <c r="Y12" s="3021"/>
      <c r="Z12" s="54">
        <f t="shared" si="7"/>
        <v>111</v>
      </c>
      <c r="AA12" s="770">
        <f>D12/F12</f>
        <v>1</v>
      </c>
      <c r="AB12" s="770">
        <f>D12/H12</f>
        <v>1</v>
      </c>
      <c r="AC12" s="770">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165"/>
      <c r="Q13" s="1795">
        <f t="shared" si="6"/>
        <v>111</v>
      </c>
      <c r="R13" s="767" t="s">
        <v>21</v>
      </c>
      <c r="S13" s="768">
        <f t="shared" si="0"/>
        <v>100</v>
      </c>
      <c r="T13" s="767" t="s">
        <v>21</v>
      </c>
      <c r="U13" s="768">
        <f t="shared" si="1"/>
        <v>100</v>
      </c>
      <c r="V13" s="767" t="s">
        <v>21</v>
      </c>
      <c r="W13" s="768">
        <f t="shared" si="2"/>
        <v>100</v>
      </c>
      <c r="X13" s="769"/>
      <c r="Y13" s="3021"/>
      <c r="Z13" s="54">
        <f t="shared" si="7"/>
        <v>111</v>
      </c>
      <c r="AA13" s="770">
        <f t="shared" si="3"/>
        <v>1</v>
      </c>
      <c r="AB13" s="770">
        <f t="shared" si="4"/>
        <v>1</v>
      </c>
      <c r="AC13" s="770">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165"/>
      <c r="Q14" s="1795">
        <f t="shared" si="6"/>
        <v>111</v>
      </c>
      <c r="R14" s="767" t="s">
        <v>21</v>
      </c>
      <c r="S14" s="768">
        <f t="shared" si="0"/>
        <v>100</v>
      </c>
      <c r="T14" s="767" t="s">
        <v>21</v>
      </c>
      <c r="U14" s="768">
        <f t="shared" si="1"/>
        <v>100</v>
      </c>
      <c r="V14" s="767" t="s">
        <v>21</v>
      </c>
      <c r="W14" s="768">
        <f t="shared" si="2"/>
        <v>100</v>
      </c>
      <c r="X14" s="769"/>
      <c r="Y14" s="3021"/>
      <c r="Z14" s="54">
        <f t="shared" si="7"/>
        <v>111</v>
      </c>
      <c r="AA14" s="770">
        <f t="shared" si="3"/>
        <v>1</v>
      </c>
      <c r="AB14" s="770">
        <f t="shared" si="4"/>
        <v>1</v>
      </c>
      <c r="AC14" s="770">
        <f t="shared" si="5"/>
        <v>1</v>
      </c>
    </row>
    <row r="15" spans="1:29" ht="99.75">
      <c r="A15" s="439" t="s">
        <v>2564</v>
      </c>
      <c r="B15" s="68" t="s">
        <v>2089</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179" t="s">
        <v>2565</v>
      </c>
      <c r="Q15" s="1810" t="str">
        <f t="shared" si="6"/>
        <v>居住社区成熟度</v>
      </c>
      <c r="R15" s="771" t="s">
        <v>21</v>
      </c>
      <c r="S15" s="772">
        <f t="shared" si="0"/>
        <v>100</v>
      </c>
      <c r="T15" s="771" t="s">
        <v>21</v>
      </c>
      <c r="U15" s="772">
        <f t="shared" si="1"/>
        <v>100</v>
      </c>
      <c r="V15" s="771" t="s">
        <v>21</v>
      </c>
      <c r="W15" s="772">
        <f t="shared" si="2"/>
        <v>100</v>
      </c>
      <c r="X15" s="1813"/>
      <c r="Y15" s="3181" t="s">
        <v>2565</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0"/>
      <c r="M16" s="1131"/>
      <c r="N16" s="1131"/>
      <c r="O16" s="1131"/>
      <c r="P16" s="3180"/>
      <c r="Q16" s="1810"/>
      <c r="R16" s="771"/>
      <c r="S16" s="772"/>
      <c r="T16" s="771"/>
      <c r="U16" s="772"/>
      <c r="V16" s="771"/>
      <c r="W16" s="772"/>
      <c r="X16" s="1813"/>
      <c r="Y16" s="3182"/>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180"/>
      <c r="Q17" s="1810" t="str">
        <f>B17</f>
        <v>交通便捷度</v>
      </c>
      <c r="R17" s="771" t="s">
        <v>21</v>
      </c>
      <c r="S17" s="772">
        <f>F17</f>
        <v>100</v>
      </c>
      <c r="T17" s="771" t="s">
        <v>21</v>
      </c>
      <c r="U17" s="772">
        <f>H17</f>
        <v>100</v>
      </c>
      <c r="V17" s="771" t="s">
        <v>21</v>
      </c>
      <c r="W17" s="772">
        <f>J17</f>
        <v>100</v>
      </c>
      <c r="X17" s="1813"/>
      <c r="Y17" s="3182"/>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0"/>
      <c r="M18" s="1131"/>
      <c r="N18" s="1131"/>
      <c r="O18" s="1131"/>
      <c r="P18" s="3180"/>
      <c r="Q18" s="1810"/>
      <c r="R18" s="771"/>
      <c r="S18" s="772"/>
      <c r="T18" s="771"/>
      <c r="U18" s="772"/>
      <c r="V18" s="771"/>
      <c r="W18" s="772"/>
      <c r="X18" s="1813"/>
      <c r="Y18" s="3182"/>
      <c r="Z18" s="1814"/>
      <c r="AA18" s="1811">
        <v>1</v>
      </c>
      <c r="AB18" s="1811">
        <v>1</v>
      </c>
      <c r="AC18" s="1811">
        <v>1</v>
      </c>
    </row>
    <row r="19" spans="1:29" ht="42.75">
      <c r="A19" s="427"/>
      <c r="B19" s="450" t="s">
        <v>2099</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180"/>
      <c r="Q19" s="1810" t="str">
        <f>B19</f>
        <v>公共配套设施</v>
      </c>
      <c r="R19" s="771" t="s">
        <v>21</v>
      </c>
      <c r="S19" s="772">
        <f>F19</f>
        <v>100</v>
      </c>
      <c r="T19" s="771" t="s">
        <v>21</v>
      </c>
      <c r="U19" s="772">
        <f>H19</f>
        <v>100</v>
      </c>
      <c r="V19" s="771" t="s">
        <v>21</v>
      </c>
      <c r="W19" s="772">
        <f>J19</f>
        <v>100</v>
      </c>
      <c r="X19" s="1813"/>
      <c r="Y19" s="3182"/>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0"/>
      <c r="M20" s="1131"/>
      <c r="N20" s="1131"/>
      <c r="O20" s="1131"/>
      <c r="P20" s="3180"/>
      <c r="Q20" s="1810"/>
      <c r="R20" s="771"/>
      <c r="S20" s="772"/>
      <c r="T20" s="771"/>
      <c r="U20" s="772"/>
      <c r="V20" s="771"/>
      <c r="W20" s="772"/>
      <c r="X20" s="1813"/>
      <c r="Y20" s="3182"/>
      <c r="Z20" s="1814"/>
      <c r="AA20" s="1811">
        <v>1</v>
      </c>
      <c r="AB20" s="1811">
        <v>1</v>
      </c>
      <c r="AC20" s="1811">
        <v>1</v>
      </c>
    </row>
    <row r="21" spans="1:29" ht="28.5">
      <c r="A21" s="427"/>
      <c r="B21" s="1384" t="s">
        <v>2102</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180"/>
      <c r="Q21" s="1810" t="str">
        <f>B21</f>
        <v>基础设施水平</v>
      </c>
      <c r="R21" s="771" t="s">
        <v>17</v>
      </c>
      <c r="S21" s="772">
        <f>F21</f>
        <v>100</v>
      </c>
      <c r="T21" s="771" t="s">
        <v>17</v>
      </c>
      <c r="U21" s="772">
        <f>H21</f>
        <v>100</v>
      </c>
      <c r="V21" s="771" t="s">
        <v>17</v>
      </c>
      <c r="W21" s="772">
        <f>J21</f>
        <v>100</v>
      </c>
      <c r="X21" s="1813"/>
      <c r="Y21" s="3182"/>
      <c r="Z21" s="1814" t="str">
        <f>Q21</f>
        <v>基础设施水平</v>
      </c>
      <c r="AA21" s="1811">
        <f t="shared" ref="AA21" si="8">D21/F21</f>
        <v>1</v>
      </c>
      <c r="AB21" s="1811">
        <f t="shared" ref="AB21" si="9">D21/H21</f>
        <v>1</v>
      </c>
      <c r="AC21" s="1811">
        <f t="shared" ref="AC21" si="10">D21/J21</f>
        <v>1</v>
      </c>
    </row>
    <row r="22" spans="1:29" ht="15">
      <c r="A22" s="427"/>
      <c r="B22" s="1384"/>
      <c r="C22" s="2610"/>
      <c r="D22" s="447"/>
      <c r="E22" s="446"/>
      <c r="F22" s="447"/>
      <c r="G22" s="2613"/>
      <c r="H22" s="447"/>
      <c r="I22" s="446"/>
      <c r="J22" s="447"/>
      <c r="K22" s="2614"/>
      <c r="L22" s="1140"/>
      <c r="M22" s="1131"/>
      <c r="N22" s="1131"/>
      <c r="O22" s="1131"/>
      <c r="P22" s="3180"/>
      <c r="Q22" s="1810"/>
      <c r="R22" s="771"/>
      <c r="S22" s="772"/>
      <c r="T22" s="771"/>
      <c r="U22" s="772"/>
      <c r="V22" s="771"/>
      <c r="W22" s="772"/>
      <c r="X22" s="1813"/>
      <c r="Y22" s="3182"/>
      <c r="Z22" s="1814"/>
      <c r="AA22" s="1811">
        <v>1</v>
      </c>
      <c r="AB22" s="1811">
        <v>1</v>
      </c>
      <c r="AC22" s="1811">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180"/>
      <c r="Q23" s="1810" t="str">
        <f>B23</f>
        <v>自然及人文环境</v>
      </c>
      <c r="R23" s="771" t="s">
        <v>21</v>
      </c>
      <c r="S23" s="772">
        <f>F23</f>
        <v>100</v>
      </c>
      <c r="T23" s="771" t="s">
        <v>21</v>
      </c>
      <c r="U23" s="772">
        <f>H23</f>
        <v>100</v>
      </c>
      <c r="V23" s="771" t="s">
        <v>21</v>
      </c>
      <c r="W23" s="772">
        <f>J23</f>
        <v>100</v>
      </c>
      <c r="X23" s="1813"/>
      <c r="Y23" s="3182"/>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0"/>
      <c r="M24" s="1131"/>
      <c r="N24" s="1131"/>
      <c r="O24" s="1131"/>
      <c r="P24" s="3180"/>
      <c r="Q24" s="1810"/>
      <c r="R24" s="771"/>
      <c r="S24" s="772"/>
      <c r="T24" s="771"/>
      <c r="U24" s="772"/>
      <c r="V24" s="771"/>
      <c r="W24" s="772"/>
      <c r="X24" s="1813"/>
      <c r="Y24" s="3182"/>
      <c r="Z24" s="1814"/>
      <c r="AA24" s="1811">
        <v>1</v>
      </c>
      <c r="AB24" s="1811">
        <v>1</v>
      </c>
      <c r="AC24" s="1811">
        <v>1</v>
      </c>
    </row>
    <row r="25" spans="1:29" ht="15">
      <c r="A25" s="427"/>
      <c r="B25" s="421" t="s">
        <v>2566</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180"/>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82"/>
      <c r="Z25" s="1814" t="str">
        <f>Q25</f>
        <v>楼层-1</v>
      </c>
      <c r="AA25" s="1811">
        <f t="shared" ref="AA25:AA46" si="15">D25/F25</f>
        <v>1</v>
      </c>
      <c r="AB25" s="1811">
        <f t="shared" ref="AB25:AB46" si="16">D25/H25</f>
        <v>1</v>
      </c>
      <c r="AC25" s="1811">
        <f t="shared" ref="AC25:AC46" si="17">D25/J25</f>
        <v>1</v>
      </c>
    </row>
    <row r="26" spans="1:29" ht="15">
      <c r="A26" s="427"/>
      <c r="B26" s="421" t="s">
        <v>2567</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180"/>
      <c r="Q26" s="1810" t="str">
        <f t="shared" si="11"/>
        <v>朝向</v>
      </c>
      <c r="R26" s="771" t="s">
        <v>21</v>
      </c>
      <c r="S26" s="772">
        <f t="shared" si="12"/>
        <v>100</v>
      </c>
      <c r="T26" s="771" t="s">
        <v>21</v>
      </c>
      <c r="U26" s="772">
        <f t="shared" si="13"/>
        <v>100</v>
      </c>
      <c r="V26" s="771" t="s">
        <v>21</v>
      </c>
      <c r="W26" s="772">
        <f t="shared" si="14"/>
        <v>100</v>
      </c>
      <c r="X26" s="1813"/>
      <c r="Y26" s="3182"/>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180"/>
      <c r="Q27" s="1795">
        <f t="shared" si="11"/>
        <v>111</v>
      </c>
      <c r="R27" s="767" t="s">
        <v>21</v>
      </c>
      <c r="S27" s="768">
        <f t="shared" si="12"/>
        <v>100</v>
      </c>
      <c r="T27" s="767" t="s">
        <v>21</v>
      </c>
      <c r="U27" s="768">
        <f t="shared" si="13"/>
        <v>100</v>
      </c>
      <c r="V27" s="767" t="s">
        <v>21</v>
      </c>
      <c r="W27" s="768">
        <f t="shared" si="14"/>
        <v>100</v>
      </c>
      <c r="X27" s="769"/>
      <c r="Y27" s="3182"/>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180"/>
      <c r="Q28" s="1810">
        <f t="shared" si="11"/>
        <v>111</v>
      </c>
      <c r="R28" s="771" t="s">
        <v>21</v>
      </c>
      <c r="S28" s="772">
        <f t="shared" si="12"/>
        <v>100</v>
      </c>
      <c r="T28" s="771" t="s">
        <v>21</v>
      </c>
      <c r="U28" s="772">
        <f t="shared" si="13"/>
        <v>100</v>
      </c>
      <c r="V28" s="771" t="s">
        <v>21</v>
      </c>
      <c r="W28" s="772">
        <f t="shared" si="14"/>
        <v>100</v>
      </c>
      <c r="X28" s="1813"/>
      <c r="Y28" s="3182"/>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180"/>
      <c r="Q29" s="1810">
        <f t="shared" si="11"/>
        <v>111</v>
      </c>
      <c r="R29" s="771" t="s">
        <v>21</v>
      </c>
      <c r="S29" s="772">
        <f t="shared" si="12"/>
        <v>100</v>
      </c>
      <c r="T29" s="771" t="s">
        <v>21</v>
      </c>
      <c r="U29" s="772">
        <f t="shared" si="13"/>
        <v>100</v>
      </c>
      <c r="V29" s="771" t="s">
        <v>21</v>
      </c>
      <c r="W29" s="772">
        <f t="shared" si="14"/>
        <v>100</v>
      </c>
      <c r="X29" s="1813"/>
      <c r="Y29" s="3182"/>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180"/>
      <c r="Q30" s="1810">
        <f t="shared" si="11"/>
        <v>111</v>
      </c>
      <c r="R30" s="771" t="s">
        <v>21</v>
      </c>
      <c r="S30" s="772">
        <f t="shared" si="12"/>
        <v>100</v>
      </c>
      <c r="T30" s="771" t="s">
        <v>21</v>
      </c>
      <c r="U30" s="772">
        <f t="shared" si="13"/>
        <v>100</v>
      </c>
      <c r="V30" s="771" t="s">
        <v>21</v>
      </c>
      <c r="W30" s="772">
        <f t="shared" si="14"/>
        <v>100</v>
      </c>
      <c r="X30" s="1813"/>
      <c r="Y30" s="3182"/>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180"/>
      <c r="Q31" s="1810">
        <f t="shared" si="11"/>
        <v>111</v>
      </c>
      <c r="R31" s="771" t="s">
        <v>21</v>
      </c>
      <c r="S31" s="772">
        <f t="shared" si="12"/>
        <v>100</v>
      </c>
      <c r="T31" s="771" t="s">
        <v>21</v>
      </c>
      <c r="U31" s="772">
        <f t="shared" si="13"/>
        <v>100</v>
      </c>
      <c r="V31" s="771" t="s">
        <v>21</v>
      </c>
      <c r="W31" s="772">
        <f t="shared" si="14"/>
        <v>100</v>
      </c>
      <c r="X31" s="1813"/>
      <c r="Y31" s="3182"/>
      <c r="Z31" s="1814">
        <f t="shared" si="18"/>
        <v>111</v>
      </c>
      <c r="AA31" s="1811">
        <f t="shared" si="15"/>
        <v>1</v>
      </c>
      <c r="AB31" s="1811">
        <f t="shared" si="16"/>
        <v>1</v>
      </c>
      <c r="AC31" s="1811">
        <f t="shared" si="17"/>
        <v>1</v>
      </c>
    </row>
    <row r="32" spans="1:29" ht="15">
      <c r="A32" s="439" t="s">
        <v>2568</v>
      </c>
      <c r="B32" s="70" t="s">
        <v>2569</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0"/>
      <c r="M32" s="1131"/>
      <c r="N32" s="1131"/>
      <c r="O32" s="1131"/>
      <c r="P32" s="3183" t="s">
        <v>2570</v>
      </c>
      <c r="Q32" s="1810" t="str">
        <f t="shared" si="11"/>
        <v>建筑类型</v>
      </c>
      <c r="R32" s="771" t="s">
        <v>21</v>
      </c>
      <c r="S32" s="772">
        <f t="shared" si="12"/>
        <v>100</v>
      </c>
      <c r="T32" s="771" t="s">
        <v>21</v>
      </c>
      <c r="U32" s="772">
        <f t="shared" si="13"/>
        <v>100</v>
      </c>
      <c r="V32" s="771" t="s">
        <v>21</v>
      </c>
      <c r="W32" s="772">
        <f t="shared" si="14"/>
        <v>100</v>
      </c>
      <c r="X32" s="1813"/>
      <c r="Y32" s="3186" t="s">
        <v>2570</v>
      </c>
      <c r="Z32" s="1814" t="str">
        <f t="shared" si="18"/>
        <v>建筑类型</v>
      </c>
      <c r="AA32" s="1811">
        <f t="shared" si="15"/>
        <v>1</v>
      </c>
      <c r="AB32" s="1811">
        <f t="shared" si="16"/>
        <v>1</v>
      </c>
      <c r="AC32" s="1811">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8"/>
      <c r="M33" s="1141"/>
      <c r="N33" s="1141"/>
      <c r="O33" s="1141"/>
      <c r="P33" s="3184"/>
      <c r="Q33" s="773" t="str">
        <f t="shared" si="11"/>
        <v>项目建筑规模</v>
      </c>
      <c r="R33" s="774" t="s">
        <v>21</v>
      </c>
      <c r="S33" s="775" t="e">
        <f t="shared" si="12"/>
        <v>#N/A</v>
      </c>
      <c r="T33" s="774" t="s">
        <v>21</v>
      </c>
      <c r="U33" s="775" t="e">
        <f t="shared" si="13"/>
        <v>#N/A</v>
      </c>
      <c r="V33" s="774" t="s">
        <v>21</v>
      </c>
      <c r="W33" s="775" t="e">
        <f t="shared" si="14"/>
        <v>#N/A</v>
      </c>
      <c r="X33" s="776"/>
      <c r="Y33" s="3186"/>
      <c r="Z33" s="777" t="str">
        <f t="shared" si="18"/>
        <v>项目建筑规模</v>
      </c>
      <c r="AA33" s="1811" t="e">
        <f t="shared" si="15"/>
        <v>#N/A</v>
      </c>
      <c r="AB33" s="1811" t="e">
        <f t="shared" si="16"/>
        <v>#N/A</v>
      </c>
      <c r="AC33" s="1811" t="e">
        <f t="shared" si="17"/>
        <v>#N/A</v>
      </c>
    </row>
    <row r="34" spans="1:29" ht="15">
      <c r="A34" s="471"/>
      <c r="B34" s="421" t="s">
        <v>2572</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0"/>
      <c r="M34" s="1131"/>
      <c r="N34" s="1131"/>
      <c r="O34" s="1131"/>
      <c r="P34" s="3184"/>
      <c r="Q34" s="1810" t="str">
        <f t="shared" si="11"/>
        <v>建筑结构</v>
      </c>
      <c r="R34" s="771" t="s">
        <v>21</v>
      </c>
      <c r="S34" s="772">
        <f t="shared" si="12"/>
        <v>100</v>
      </c>
      <c r="T34" s="771" t="s">
        <v>21</v>
      </c>
      <c r="U34" s="772">
        <f t="shared" si="13"/>
        <v>100</v>
      </c>
      <c r="V34" s="771" t="s">
        <v>21</v>
      </c>
      <c r="W34" s="772">
        <f t="shared" si="14"/>
        <v>100</v>
      </c>
      <c r="X34" s="1813"/>
      <c r="Y34" s="3186"/>
      <c r="Z34" s="1814" t="str">
        <f t="shared" si="18"/>
        <v>建筑结构</v>
      </c>
      <c r="AA34" s="1811">
        <f t="shared" si="15"/>
        <v>1</v>
      </c>
      <c r="AB34" s="1811">
        <f t="shared" si="16"/>
        <v>1</v>
      </c>
      <c r="AC34" s="1811">
        <f t="shared" si="17"/>
        <v>1</v>
      </c>
    </row>
    <row r="35" spans="1:29" ht="15">
      <c r="A35" s="471"/>
      <c r="B35" s="421" t="s">
        <v>2573</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0"/>
      <c r="M35" s="1131"/>
      <c r="N35" s="1131"/>
      <c r="O35" s="1131"/>
      <c r="P35" s="3184"/>
      <c r="Q35" s="1810" t="str">
        <f t="shared" si="11"/>
        <v>建筑品质</v>
      </c>
      <c r="R35" s="771" t="s">
        <v>21</v>
      </c>
      <c r="S35" s="772">
        <f t="shared" si="12"/>
        <v>100</v>
      </c>
      <c r="T35" s="771" t="s">
        <v>21</v>
      </c>
      <c r="U35" s="772">
        <f t="shared" si="13"/>
        <v>100</v>
      </c>
      <c r="V35" s="771" t="s">
        <v>21</v>
      </c>
      <c r="W35" s="772">
        <f t="shared" si="14"/>
        <v>100</v>
      </c>
      <c r="X35" s="1813"/>
      <c r="Y35" s="3186"/>
      <c r="Z35" s="1814" t="str">
        <f t="shared" si="18"/>
        <v>建筑品质</v>
      </c>
      <c r="AA35" s="1811">
        <f t="shared" si="15"/>
        <v>1</v>
      </c>
      <c r="AB35" s="1811">
        <f t="shared" si="16"/>
        <v>1</v>
      </c>
      <c r="AC35" s="1811">
        <f t="shared" si="17"/>
        <v>1</v>
      </c>
    </row>
    <row r="36" spans="1:29" ht="15">
      <c r="A36" s="471"/>
      <c r="B36" s="421" t="s">
        <v>2574</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0"/>
      <c r="M36" s="1131"/>
      <c r="N36" s="1131"/>
      <c r="O36" s="1131"/>
      <c r="P36" s="3184"/>
      <c r="Q36" s="1810" t="str">
        <f t="shared" si="11"/>
        <v>公共部分装修</v>
      </c>
      <c r="R36" s="771" t="s">
        <v>21</v>
      </c>
      <c r="S36" s="772">
        <f t="shared" si="12"/>
        <v>100</v>
      </c>
      <c r="T36" s="771" t="s">
        <v>21</v>
      </c>
      <c r="U36" s="772">
        <f t="shared" si="13"/>
        <v>100</v>
      </c>
      <c r="V36" s="771" t="s">
        <v>21</v>
      </c>
      <c r="W36" s="772">
        <f t="shared" si="14"/>
        <v>100</v>
      </c>
      <c r="X36" s="1813"/>
      <c r="Y36" s="3186"/>
      <c r="Z36" s="1814" t="str">
        <f t="shared" si="18"/>
        <v>公共部分装修</v>
      </c>
      <c r="AA36" s="1811">
        <f t="shared" si="15"/>
        <v>1</v>
      </c>
      <c r="AB36" s="1811">
        <f t="shared" si="16"/>
        <v>1</v>
      </c>
      <c r="AC36" s="1811">
        <f t="shared" si="17"/>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184"/>
      <c r="Q37" s="1795" t="str">
        <f t="shared" si="11"/>
        <v>成新度</v>
      </c>
      <c r="R37" s="767" t="s">
        <v>21</v>
      </c>
      <c r="S37" s="768" t="e">
        <f t="shared" si="12"/>
        <v>#N/A</v>
      </c>
      <c r="T37" s="767" t="s">
        <v>21</v>
      </c>
      <c r="U37" s="768" t="e">
        <f t="shared" si="13"/>
        <v>#N/A</v>
      </c>
      <c r="V37" s="767" t="s">
        <v>21</v>
      </c>
      <c r="W37" s="768" t="e">
        <f t="shared" si="14"/>
        <v>#N/A</v>
      </c>
      <c r="X37" s="769"/>
      <c r="Y37" s="3186"/>
      <c r="Z37" s="54" t="str">
        <f t="shared" si="18"/>
        <v>成新度</v>
      </c>
      <c r="AA37" s="770" t="e">
        <f t="shared" si="15"/>
        <v>#N/A</v>
      </c>
      <c r="AB37" s="770" t="e">
        <f t="shared" si="16"/>
        <v>#N/A</v>
      </c>
      <c r="AC37" s="770" t="e">
        <f t="shared" si="17"/>
        <v>#N/A</v>
      </c>
    </row>
    <row r="38" spans="1:29" ht="15">
      <c r="A38" s="471"/>
      <c r="B38" s="421" t="s">
        <v>2576</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0"/>
      <c r="M38" s="1131"/>
      <c r="N38" s="1131"/>
      <c r="O38" s="1131"/>
      <c r="P38" s="3184" t="s">
        <v>2570</v>
      </c>
      <c r="Q38" s="1810" t="str">
        <f t="shared" si="11"/>
        <v>物业管理</v>
      </c>
      <c r="R38" s="771" t="s">
        <v>21</v>
      </c>
      <c r="S38" s="772">
        <f t="shared" si="12"/>
        <v>100</v>
      </c>
      <c r="T38" s="771" t="s">
        <v>21</v>
      </c>
      <c r="U38" s="772">
        <f t="shared" si="13"/>
        <v>100</v>
      </c>
      <c r="V38" s="771" t="s">
        <v>21</v>
      </c>
      <c r="W38" s="772">
        <f t="shared" si="14"/>
        <v>100</v>
      </c>
      <c r="X38" s="1813"/>
      <c r="Y38" s="3186" t="s">
        <v>2570</v>
      </c>
      <c r="Z38" s="1814" t="str">
        <f t="shared" si="18"/>
        <v>物业管理</v>
      </c>
      <c r="AA38" s="1811">
        <f t="shared" si="15"/>
        <v>1</v>
      </c>
      <c r="AB38" s="1811">
        <f t="shared" si="16"/>
        <v>1</v>
      </c>
      <c r="AC38" s="1811">
        <f t="shared" si="17"/>
        <v>1</v>
      </c>
    </row>
    <row r="39" spans="1:29" ht="15">
      <c r="A39" s="471"/>
      <c r="B39" s="421" t="s">
        <v>2577</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0"/>
      <c r="M39" s="1131"/>
      <c r="N39" s="1131"/>
      <c r="O39" s="1131"/>
      <c r="P39" s="3184"/>
      <c r="Q39" s="1810" t="str">
        <f t="shared" si="11"/>
        <v>市政基础设施</v>
      </c>
      <c r="R39" s="771" t="s">
        <v>21</v>
      </c>
      <c r="S39" s="772">
        <f t="shared" si="12"/>
        <v>100</v>
      </c>
      <c r="T39" s="771" t="s">
        <v>21</v>
      </c>
      <c r="U39" s="772">
        <f t="shared" si="13"/>
        <v>100</v>
      </c>
      <c r="V39" s="771" t="s">
        <v>21</v>
      </c>
      <c r="W39" s="772">
        <f t="shared" si="14"/>
        <v>100</v>
      </c>
      <c r="X39" s="1813"/>
      <c r="Y39" s="3186"/>
      <c r="Z39" s="1814" t="str">
        <f t="shared" si="18"/>
        <v>市政基础设施</v>
      </c>
      <c r="AA39" s="1811">
        <f t="shared" si="15"/>
        <v>1</v>
      </c>
      <c r="AB39" s="1811">
        <f t="shared" si="16"/>
        <v>1</v>
      </c>
      <c r="AC39" s="1811">
        <f t="shared" si="17"/>
        <v>1</v>
      </c>
    </row>
    <row r="40" spans="1:29" ht="15">
      <c r="A40" s="471"/>
      <c r="B40" s="421" t="s">
        <v>2578</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0"/>
      <c r="M40" s="1131"/>
      <c r="N40" s="1131"/>
      <c r="O40" s="1131"/>
      <c r="P40" s="3184"/>
      <c r="Q40" s="1810" t="str">
        <f t="shared" si="11"/>
        <v>房型</v>
      </c>
      <c r="R40" s="771" t="s">
        <v>21</v>
      </c>
      <c r="S40" s="772">
        <f t="shared" si="12"/>
        <v>100</v>
      </c>
      <c r="T40" s="771" t="s">
        <v>21</v>
      </c>
      <c r="U40" s="772">
        <f t="shared" si="13"/>
        <v>100</v>
      </c>
      <c r="V40" s="771" t="s">
        <v>21</v>
      </c>
      <c r="W40" s="772">
        <f t="shared" si="14"/>
        <v>100</v>
      </c>
      <c r="X40" s="1813"/>
      <c r="Y40" s="3186"/>
      <c r="Z40" s="1814" t="str">
        <f t="shared" si="18"/>
        <v>房型</v>
      </c>
      <c r="AA40" s="1811">
        <f t="shared" si="15"/>
        <v>1</v>
      </c>
      <c r="AB40" s="1811">
        <f t="shared" si="16"/>
        <v>1</v>
      </c>
      <c r="AC40" s="1811">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8"/>
      <c r="M41" s="1141"/>
      <c r="N41" s="1141"/>
      <c r="O41" s="1141"/>
      <c r="P41" s="3184"/>
      <c r="Q41" s="773" t="str">
        <f t="shared" si="11"/>
        <v>单套/主力户型建筑面积</v>
      </c>
      <c r="R41" s="774" t="s">
        <v>21</v>
      </c>
      <c r="S41" s="775">
        <f t="shared" si="12"/>
        <v>100</v>
      </c>
      <c r="T41" s="774" t="s">
        <v>21</v>
      </c>
      <c r="U41" s="775">
        <f t="shared" si="13"/>
        <v>100</v>
      </c>
      <c r="V41" s="774" t="s">
        <v>21</v>
      </c>
      <c r="W41" s="775">
        <f t="shared" si="14"/>
        <v>100</v>
      </c>
      <c r="X41" s="776"/>
      <c r="Y41" s="3186"/>
      <c r="Z41" s="777" t="str">
        <f t="shared" si="18"/>
        <v>单套/主力户型建筑面积</v>
      </c>
      <c r="AA41" s="1811">
        <f t="shared" si="15"/>
        <v>1</v>
      </c>
      <c r="AB41" s="1811">
        <f t="shared" si="16"/>
        <v>1</v>
      </c>
      <c r="AC41" s="1811">
        <f t="shared" si="17"/>
        <v>1</v>
      </c>
    </row>
    <row r="42" spans="1:29" ht="15">
      <c r="A42" s="471"/>
      <c r="B42" s="421" t="s">
        <v>2580</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0"/>
      <c r="M42" s="1131"/>
      <c r="N42" s="1131"/>
      <c r="O42" s="1131"/>
      <c r="P42" s="3184"/>
      <c r="Q42" s="1810" t="str">
        <f t="shared" si="11"/>
        <v>内部装修</v>
      </c>
      <c r="R42" s="771" t="s">
        <v>21</v>
      </c>
      <c r="S42" s="772">
        <f t="shared" si="12"/>
        <v>100</v>
      </c>
      <c r="T42" s="771" t="s">
        <v>21</v>
      </c>
      <c r="U42" s="772">
        <f t="shared" si="13"/>
        <v>100</v>
      </c>
      <c r="V42" s="771" t="s">
        <v>21</v>
      </c>
      <c r="W42" s="772">
        <f t="shared" si="14"/>
        <v>100</v>
      </c>
      <c r="X42" s="1813"/>
      <c r="Y42" s="3186"/>
      <c r="Z42" s="1814" t="str">
        <f t="shared" si="18"/>
        <v>内部装修</v>
      </c>
      <c r="AA42" s="1811">
        <f t="shared" si="15"/>
        <v>1</v>
      </c>
      <c r="AB42" s="1811">
        <f t="shared" si="16"/>
        <v>1</v>
      </c>
      <c r="AC42" s="1811">
        <f t="shared" si="17"/>
        <v>1</v>
      </c>
    </row>
    <row r="43" spans="1:29" ht="15">
      <c r="A43" s="471"/>
      <c r="B43" s="421" t="s">
        <v>2581</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0"/>
      <c r="M43" s="1131"/>
      <c r="N43" s="1131"/>
      <c r="O43" s="1131"/>
      <c r="P43" s="3184"/>
      <c r="Q43" s="1810" t="str">
        <f t="shared" si="11"/>
        <v>内部装修维护情况</v>
      </c>
      <c r="R43" s="771" t="s">
        <v>21</v>
      </c>
      <c r="S43" s="772">
        <f t="shared" si="12"/>
        <v>100</v>
      </c>
      <c r="T43" s="771" t="s">
        <v>21</v>
      </c>
      <c r="U43" s="772">
        <f t="shared" si="13"/>
        <v>100</v>
      </c>
      <c r="V43" s="771" t="s">
        <v>21</v>
      </c>
      <c r="W43" s="772">
        <f t="shared" si="14"/>
        <v>100</v>
      </c>
      <c r="X43" s="1813"/>
      <c r="Y43" s="3186"/>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2"/>
      <c r="M44" s="1133"/>
      <c r="N44" s="1133"/>
      <c r="O44" s="1133"/>
      <c r="P44" s="3184"/>
      <c r="Q44" s="1795">
        <f t="shared" si="11"/>
        <v>111</v>
      </c>
      <c r="R44" s="767" t="s">
        <v>21</v>
      </c>
      <c r="S44" s="768">
        <f t="shared" si="12"/>
        <v>100</v>
      </c>
      <c r="T44" s="767" t="s">
        <v>21</v>
      </c>
      <c r="U44" s="768">
        <f t="shared" si="13"/>
        <v>100</v>
      </c>
      <c r="V44" s="767" t="s">
        <v>21</v>
      </c>
      <c r="W44" s="768">
        <f t="shared" si="14"/>
        <v>100</v>
      </c>
      <c r="X44" s="769"/>
      <c r="Y44" s="3186"/>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184"/>
      <c r="Q45" s="1810">
        <f t="shared" si="11"/>
        <v>111</v>
      </c>
      <c r="R45" s="771" t="s">
        <v>21</v>
      </c>
      <c r="S45" s="772">
        <f t="shared" si="12"/>
        <v>100</v>
      </c>
      <c r="T45" s="771" t="s">
        <v>21</v>
      </c>
      <c r="U45" s="772">
        <f t="shared" si="13"/>
        <v>100</v>
      </c>
      <c r="V45" s="771" t="s">
        <v>21</v>
      </c>
      <c r="W45" s="772">
        <f t="shared" si="14"/>
        <v>100</v>
      </c>
      <c r="X45" s="1813"/>
      <c r="Y45" s="3186"/>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185"/>
      <c r="Q46" s="1810">
        <f t="shared" si="11"/>
        <v>111</v>
      </c>
      <c r="R46" s="771" t="s">
        <v>20</v>
      </c>
      <c r="S46" s="772">
        <f t="shared" si="12"/>
        <v>100</v>
      </c>
      <c r="T46" s="771" t="s">
        <v>20</v>
      </c>
      <c r="U46" s="772">
        <f t="shared" si="13"/>
        <v>100</v>
      </c>
      <c r="V46" s="771" t="s">
        <v>20</v>
      </c>
      <c r="W46" s="772">
        <f t="shared" si="14"/>
        <v>100</v>
      </c>
      <c r="X46" s="1813"/>
      <c r="Y46" s="3187"/>
      <c r="Z46" s="1814">
        <f t="shared" si="18"/>
        <v>111</v>
      </c>
      <c r="AA46" s="1811">
        <f t="shared" si="15"/>
        <v>1</v>
      </c>
      <c r="AB46" s="1811">
        <f t="shared" si="16"/>
        <v>1</v>
      </c>
      <c r="AC46" s="1811">
        <f t="shared" si="17"/>
        <v>1</v>
      </c>
    </row>
    <row r="47" spans="1:29" ht="15">
      <c r="A47" s="478" t="s">
        <v>2582</v>
      </c>
      <c r="B47" s="479"/>
      <c r="C47" s="1407" t="s">
        <v>19</v>
      </c>
      <c r="D47" s="1408"/>
      <c r="E47" s="1409"/>
      <c r="F47" s="1410"/>
      <c r="G47" s="1411"/>
      <c r="H47" s="1412"/>
      <c r="I47" s="1409"/>
      <c r="J47" s="1412"/>
      <c r="K47" s="2623"/>
      <c r="L47" s="1143"/>
      <c r="M47" s="1144"/>
      <c r="N47" s="1131"/>
      <c r="O47" s="1144"/>
      <c r="P47" s="3188" t="str">
        <f>A47</f>
        <v>成交单价（元/平方米）</v>
      </c>
      <c r="Q47" s="3188"/>
      <c r="R47" s="3189">
        <f>E47</f>
        <v>0</v>
      </c>
      <c r="S47" s="3189"/>
      <c r="T47" s="3189">
        <f>G47</f>
        <v>0</v>
      </c>
      <c r="U47" s="3189"/>
      <c r="V47" s="3189">
        <f>I47</f>
        <v>0</v>
      </c>
      <c r="W47" s="3189"/>
      <c r="X47" s="756"/>
      <c r="Y47" s="778"/>
      <c r="Z47" s="756"/>
      <c r="AA47" s="756"/>
      <c r="AB47" s="756"/>
      <c r="AC47" s="756"/>
    </row>
    <row r="48" spans="1:29" ht="15.75" thickBot="1">
      <c r="A48" s="485" t="s">
        <v>2583</v>
      </c>
      <c r="B48" s="486"/>
      <c r="C48" s="1413" t="e">
        <f>R49</f>
        <v>#DIV/0!</v>
      </c>
      <c r="D48" s="1414"/>
      <c r="E48" s="1415" t="e">
        <f>R48</f>
        <v>#DIV/0!</v>
      </c>
      <c r="F48" s="1415"/>
      <c r="G48" s="1413" t="e">
        <f>T48</f>
        <v>#DIV/0!</v>
      </c>
      <c r="H48" s="1414"/>
      <c r="I48" s="1415" t="e">
        <f>V48</f>
        <v>#DIV/0!</v>
      </c>
      <c r="J48" s="1414"/>
      <c r="K48" s="2624"/>
      <c r="L48" s="1143"/>
      <c r="M48" s="1144"/>
      <c r="N48" s="1144"/>
      <c r="O48" s="1144"/>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6"/>
      <c r="Y48" s="756"/>
      <c r="Z48" s="756"/>
      <c r="AA48" s="756"/>
      <c r="AB48" s="756"/>
      <c r="AC48" s="756"/>
    </row>
    <row r="49" spans="1:29" ht="15.75" thickBot="1">
      <c r="A49" s="491" t="s">
        <v>2584</v>
      </c>
      <c r="B49" s="492"/>
      <c r="C49" s="1416" t="e">
        <f>R49</f>
        <v>#DIV/0!</v>
      </c>
      <c r="D49" s="1417"/>
      <c r="E49" s="1417"/>
      <c r="F49" s="1417"/>
      <c r="G49" s="1417"/>
      <c r="H49" s="1417"/>
      <c r="I49" s="1417"/>
      <c r="J49" s="1417"/>
      <c r="K49" s="2625"/>
      <c r="L49" s="1143"/>
      <c r="M49" s="1144"/>
      <c r="N49" s="1144"/>
      <c r="O49" s="1144"/>
      <c r="P49" s="3190" t="str">
        <f>A49</f>
        <v>估价对象XX用房的比较价值（楼面单价，元/平方米）</v>
      </c>
      <c r="Q49" s="3191"/>
      <c r="R49" s="3192" t="e">
        <f>IF(F1="售价",ROUND(AVERAGE(R48:V48),0),ROUND(AVERAGE(R48:V48),1))</f>
        <v>#DIV/0!</v>
      </c>
      <c r="S49" s="3192"/>
      <c r="T49" s="3192"/>
      <c r="U49" s="3192"/>
      <c r="V49" s="3192"/>
      <c r="W49" s="3192"/>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0" t="s">
        <v>2588</v>
      </c>
      <c r="B57" s="756"/>
      <c r="C57" s="761"/>
      <c r="D57" s="761"/>
      <c r="E57" s="761"/>
      <c r="F57" s="762"/>
      <c r="G57" s="762"/>
      <c r="H57" s="761"/>
      <c r="I57" s="761"/>
      <c r="J57" s="761"/>
      <c r="K57" s="1160"/>
      <c r="L57" s="1161"/>
      <c r="M57" s="1159"/>
      <c r="N57" s="1159"/>
      <c r="O57" s="1159"/>
      <c r="P57" s="2628"/>
      <c r="Q57" s="503"/>
    </row>
    <row r="58" spans="1:29" s="507" customFormat="1" ht="15">
      <c r="A58" s="504" t="s">
        <v>2589</v>
      </c>
      <c r="B58" s="505"/>
      <c r="C58" s="1576" t="str">
        <f>YEAR(C7)&amp;"-"&amp;MONTH(C7)</f>
        <v>2018-4</v>
      </c>
      <c r="D58" s="1575">
        <f>EDATE(C58,-1)</f>
        <v>43160</v>
      </c>
      <c r="E58" s="1575">
        <f>EDATE(D58,-1)</f>
        <v>43132</v>
      </c>
      <c r="F58" s="1575">
        <f t="shared" ref="F58:O58" si="19">EDATE(E58,-1)</f>
        <v>43101</v>
      </c>
      <c r="G58" s="1575">
        <f t="shared" si="19"/>
        <v>43070</v>
      </c>
      <c r="H58" s="1575">
        <f t="shared" si="19"/>
        <v>43040</v>
      </c>
      <c r="I58" s="1575">
        <f t="shared" si="19"/>
        <v>43009</v>
      </c>
      <c r="J58" s="1575">
        <f t="shared" si="19"/>
        <v>42979</v>
      </c>
      <c r="K58" s="1575">
        <f t="shared" si="19"/>
        <v>42948</v>
      </c>
      <c r="L58" s="1575">
        <f t="shared" si="19"/>
        <v>42917</v>
      </c>
      <c r="M58" s="1575">
        <f t="shared" si="19"/>
        <v>42887</v>
      </c>
      <c r="N58" s="1575">
        <f t="shared" si="19"/>
        <v>42856</v>
      </c>
      <c r="O58" s="1575">
        <f t="shared" si="19"/>
        <v>42826</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2591</v>
      </c>
      <c r="B61" s="509"/>
      <c r="C61" s="521" t="s">
        <v>2592</v>
      </c>
      <c r="D61" s="522"/>
      <c r="E61" s="522"/>
      <c r="F61" s="522"/>
      <c r="G61" s="522"/>
      <c r="H61" s="522"/>
      <c r="I61" s="522"/>
      <c r="J61" s="522"/>
      <c r="K61" s="522"/>
      <c r="L61" s="523"/>
      <c r="M61" s="524"/>
      <c r="N61" s="1151"/>
      <c r="O61" s="1151"/>
      <c r="P61" s="2631"/>
      <c r="Q61" s="503"/>
    </row>
    <row r="62" spans="1:29" s="116"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2593</v>
      </c>
      <c r="B63" s="527" t="s">
        <v>2559</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2102</v>
      </c>
      <c r="C82" s="538" t="s">
        <v>2609</v>
      </c>
      <c r="D82" s="538" t="s">
        <v>2610</v>
      </c>
      <c r="E82" s="538" t="s">
        <v>2611</v>
      </c>
      <c r="F82" s="538" t="s">
        <v>2612</v>
      </c>
      <c r="G82" s="538" t="s">
        <v>2613</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6" customFormat="1" ht="15.75" thickTop="1">
      <c r="A86" s="578"/>
      <c r="B86" s="537" t="s">
        <v>2615</v>
      </c>
      <c r="C86" s="553"/>
      <c r="D86" s="553"/>
      <c r="E86" s="553"/>
      <c r="F86" s="553"/>
      <c r="G86" s="553"/>
      <c r="H86" s="553"/>
      <c r="I86" s="553"/>
      <c r="J86" s="553"/>
      <c r="K86" s="553"/>
      <c r="L86" s="579"/>
      <c r="M86" s="580"/>
      <c r="N86" s="1151"/>
      <c r="O86" s="1151"/>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6" customFormat="1" ht="15.75" thickTop="1">
      <c r="A88" s="578"/>
      <c r="B88" s="537" t="s">
        <v>2616</v>
      </c>
      <c r="C88" s="553"/>
      <c r="D88" s="553"/>
      <c r="E88" s="553"/>
      <c r="F88" s="2637"/>
      <c r="G88" s="553"/>
      <c r="H88" s="553"/>
      <c r="I88" s="553"/>
      <c r="J88" s="553"/>
      <c r="K88" s="553"/>
      <c r="L88" s="553"/>
      <c r="M88" s="580"/>
      <c r="N88" s="1151"/>
      <c r="O88" s="1151"/>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2568</v>
      </c>
      <c r="B100" s="527" t="s">
        <v>2617</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2"/>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2619</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2"/>
      <c r="Q106" s="503"/>
    </row>
    <row r="107" spans="1:17" ht="15" thickTop="1">
      <c r="A107" s="598"/>
      <c r="B107" s="537" t="s">
        <v>2620</v>
      </c>
      <c r="C107" s="582"/>
      <c r="D107" s="582"/>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2"/>
      <c r="Q108" s="503"/>
    </row>
    <row r="109" spans="1:17" ht="15" thickTop="1">
      <c r="A109" s="598"/>
      <c r="B109" s="537" t="s">
        <v>2621</v>
      </c>
      <c r="C109" s="553"/>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3"/>
      <c r="Q113" s="558"/>
    </row>
    <row r="114" spans="1:17" ht="15" thickTop="1">
      <c r="A114" s="598"/>
      <c r="B114" s="537" t="s">
        <v>2622</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2"/>
      <c r="Q115" s="503"/>
    </row>
    <row r="116" spans="1:17" ht="15" thickTop="1">
      <c r="A116" s="598"/>
      <c r="B116" s="537" t="s">
        <v>2623</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2624</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2"/>
      <c r="Q119" s="503"/>
    </row>
    <row r="120" spans="1:17" s="470" customFormat="1" ht="28.5" thickTop="1">
      <c r="A120" s="592"/>
      <c r="B120" s="537" t="s">
        <v>2579</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2625</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4">
        <v>6</v>
      </c>
      <c r="C139" s="1085">
        <v>96</v>
      </c>
      <c r="D139" s="2650" t="s">
        <v>2636</v>
      </c>
      <c r="E139" s="1086">
        <v>100</v>
      </c>
      <c r="F139" s="1087">
        <v>102.5</v>
      </c>
      <c r="G139" s="2650" t="s">
        <v>2636</v>
      </c>
      <c r="H139" s="1088">
        <v>105</v>
      </c>
      <c r="I139" s="2651" t="s">
        <v>2637</v>
      </c>
      <c r="J139" s="1085">
        <v>20</v>
      </c>
      <c r="K139" s="1089">
        <f>C145/(J139-2)</f>
        <v>4.0555555555555553E-3</v>
      </c>
    </row>
    <row r="140" spans="1:17" ht="15">
      <c r="B140" s="1090">
        <v>5</v>
      </c>
      <c r="C140" s="1091">
        <v>100</v>
      </c>
      <c r="D140" s="1091"/>
      <c r="E140" s="1092"/>
      <c r="F140" s="1093">
        <v>102</v>
      </c>
      <c r="G140" s="1091"/>
      <c r="H140" s="1094"/>
      <c r="I140" s="2652" t="s">
        <v>2638</v>
      </c>
      <c r="J140" s="314">
        <f>ROUNDUP((J139-1)/2,0)</f>
        <v>10</v>
      </c>
      <c r="K140" s="1095">
        <v>100</v>
      </c>
    </row>
    <row r="141" spans="1:17" ht="15">
      <c r="B141" s="1090">
        <v>4</v>
      </c>
      <c r="C141" s="1091">
        <v>102</v>
      </c>
      <c r="D141" s="1091"/>
      <c r="E141" s="1092"/>
      <c r="F141" s="1093">
        <v>101.5</v>
      </c>
      <c r="G141" s="1091"/>
      <c r="H141" s="1094"/>
      <c r="I141" s="2652" t="s">
        <v>2639</v>
      </c>
      <c r="J141" s="314">
        <v>1</v>
      </c>
      <c r="K141" s="1096">
        <f>ROUND(100+(J141-J140)*K139*100,1)</f>
        <v>96.4</v>
      </c>
    </row>
    <row r="142" spans="1:17" ht="15">
      <c r="B142" s="1090">
        <v>3</v>
      </c>
      <c r="C142" s="1091">
        <v>103</v>
      </c>
      <c r="D142" s="1091"/>
      <c r="E142" s="1092"/>
      <c r="F142" s="1093">
        <v>101</v>
      </c>
      <c r="G142" s="1091"/>
      <c r="H142" s="1094"/>
      <c r="I142" s="2652" t="s">
        <v>2640</v>
      </c>
      <c r="J142" s="314">
        <f>J139</f>
        <v>20</v>
      </c>
      <c r="K142" s="1097">
        <v>95</v>
      </c>
    </row>
    <row r="143" spans="1:17" ht="15">
      <c r="B143" s="1090">
        <v>2</v>
      </c>
      <c r="C143" s="1091">
        <v>100</v>
      </c>
      <c r="D143" s="1091"/>
      <c r="E143" s="1092"/>
      <c r="F143" s="1093">
        <v>100.5</v>
      </c>
      <c r="G143" s="1091"/>
      <c r="H143" s="1094"/>
      <c r="I143" s="2652" t="s">
        <v>2641</v>
      </c>
      <c r="J143" s="1091">
        <v>15</v>
      </c>
      <c r="K143" s="1096">
        <f>ROUND(100+(J143-J140)*K139*100,1)</f>
        <v>102</v>
      </c>
    </row>
    <row r="144" spans="1:17" ht="15">
      <c r="B144" s="1090">
        <v>1</v>
      </c>
      <c r="C144" s="1091">
        <v>98</v>
      </c>
      <c r="D144" s="2653" t="s">
        <v>2642</v>
      </c>
      <c r="E144" s="1092">
        <v>102</v>
      </c>
      <c r="F144" s="1098">
        <v>100</v>
      </c>
      <c r="G144" s="2653" t="s">
        <v>2642</v>
      </c>
      <c r="H144" s="1094">
        <v>105</v>
      </c>
      <c r="I144" s="2652" t="s">
        <v>2641</v>
      </c>
      <c r="J144" s="1091">
        <v>18</v>
      </c>
      <c r="K144" s="1096">
        <f>ROUND(100+(J144-J140)*K139*100,1)</f>
        <v>103.2</v>
      </c>
    </row>
    <row r="145" spans="2:11" ht="15.75" thickBot="1">
      <c r="B145" s="2654" t="s">
        <v>2643</v>
      </c>
      <c r="C145" s="1099">
        <f>ROUND(MAX(C139:C144)/MIN(C139:C144)-1,3)</f>
        <v>7.2999999999999995E-2</v>
      </c>
      <c r="D145" s="1100"/>
      <c r="E145" s="1100"/>
      <c r="F145" s="2655" t="s">
        <v>2644</v>
      </c>
      <c r="G145" s="2656"/>
      <c r="H145" s="2657"/>
      <c r="I145" s="2658" t="s">
        <v>2641</v>
      </c>
      <c r="J145" s="1101">
        <v>8</v>
      </c>
      <c r="K145" s="1102">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1" t="s">
        <v>2691</v>
      </c>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IF(C2="——",ROUND(C50*D3/10000,0),ROUND(C50*D3/10000,0)-D2)</f>
        <v>#DIV/0!</v>
      </c>
      <c r="C2" s="2588"/>
      <c r="D2" s="1365" t="e">
        <f ca="1">SUMIF(INDIRECT("'"&amp;F2&amp;"'"&amp;"!A:A"),"承租人权益价值",INDIRECT("'"&amp;F2&amp;"'"&amp;"!c:c"))</f>
        <v>#REF!</v>
      </c>
      <c r="E2" s="2589" t="s">
        <v>2333</v>
      </c>
      <c r="F2" s="2590"/>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IF(C2="——",C50,ROUND(B2*10000/D3,0))</f>
        <v>#DIV/0!</v>
      </c>
      <c r="C3" s="399" t="s">
        <v>2649</v>
      </c>
      <c r="D3" s="398">
        <f>IF(D1="",'数据-汇总表'!E3,SUMIF('数据-汇总表'!$C19:$C33,D1,'数据-汇总表'!$E19:$E33))</f>
        <v>28056.880000000005</v>
      </c>
      <c r="E3" s="2665"/>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2650</v>
      </c>
      <c r="B4" s="401"/>
      <c r="C4" s="3166" t="s">
        <v>2651</v>
      </c>
      <c r="D4" s="3167"/>
      <c r="E4" s="3168" t="s">
        <v>2652</v>
      </c>
      <c r="F4" s="3169"/>
      <c r="G4" s="3166" t="s">
        <v>2653</v>
      </c>
      <c r="H4" s="3167"/>
      <c r="I4" s="3166" t="s">
        <v>2654</v>
      </c>
      <c r="J4" s="3167"/>
      <c r="K4" s="609" t="s">
        <v>2655</v>
      </c>
      <c r="L4" s="1130"/>
      <c r="M4" s="1131"/>
      <c r="N4" s="1131"/>
      <c r="O4" s="1131"/>
      <c r="P4" s="3255" t="s">
        <v>2656</v>
      </c>
      <c r="Q4" s="3256"/>
      <c r="R4" s="3250" t="s">
        <v>2652</v>
      </c>
      <c r="S4" s="3251"/>
      <c r="T4" s="3250" t="s">
        <v>2653</v>
      </c>
      <c r="U4" s="3251"/>
      <c r="V4" s="3259" t="s">
        <v>2654</v>
      </c>
      <c r="W4" s="3259"/>
      <c r="X4" s="2672"/>
      <c r="Y4" s="3250" t="s">
        <v>2656</v>
      </c>
      <c r="Z4" s="3251"/>
      <c r="AA4" s="3249" t="s">
        <v>2652</v>
      </c>
      <c r="AB4" s="3249" t="s">
        <v>2653</v>
      </c>
      <c r="AC4" s="3252" t="s">
        <v>2654</v>
      </c>
    </row>
    <row r="5" spans="1:29" ht="15">
      <c r="A5" s="403"/>
      <c r="B5" s="404"/>
      <c r="C5" s="3157" t="s">
        <v>2547</v>
      </c>
      <c r="D5" s="3158"/>
      <c r="E5" s="3247" t="s">
        <v>2548</v>
      </c>
      <c r="F5" s="3156"/>
      <c r="G5" s="3157" t="s">
        <v>2549</v>
      </c>
      <c r="H5" s="3158"/>
      <c r="I5" s="3157" t="s">
        <v>2550</v>
      </c>
      <c r="J5" s="3158"/>
      <c r="K5" s="609"/>
      <c r="L5" s="1130"/>
      <c r="M5" s="1131"/>
      <c r="N5" s="1131"/>
      <c r="O5" s="1131"/>
      <c r="P5" s="3257"/>
      <c r="Q5" s="3173"/>
      <c r="R5" s="3153"/>
      <c r="S5" s="3154"/>
      <c r="T5" s="3153"/>
      <c r="U5" s="3154"/>
      <c r="V5" s="3148"/>
      <c r="W5" s="3148"/>
      <c r="X5" s="1813"/>
      <c r="Y5" s="3153"/>
      <c r="Z5" s="3154"/>
      <c r="AA5" s="3146"/>
      <c r="AB5" s="3146"/>
      <c r="AC5" s="3253"/>
    </row>
    <row r="6" spans="1:29" ht="15.75" thickBot="1">
      <c r="A6" s="405"/>
      <c r="B6" s="406"/>
      <c r="C6" s="3159" t="s">
        <v>2551</v>
      </c>
      <c r="D6" s="3160"/>
      <c r="E6" s="3248" t="s">
        <v>2551</v>
      </c>
      <c r="F6" s="3163"/>
      <c r="G6" s="3159" t="s">
        <v>2551</v>
      </c>
      <c r="H6" s="3160"/>
      <c r="I6" s="3159" t="s">
        <v>2551</v>
      </c>
      <c r="J6" s="3160"/>
      <c r="K6" s="609" t="s">
        <v>2552</v>
      </c>
      <c r="L6" s="1130"/>
      <c r="M6" s="1131"/>
      <c r="N6" s="1131"/>
      <c r="O6" s="1131"/>
      <c r="P6" s="3258"/>
      <c r="Q6" s="3175"/>
      <c r="R6" s="3153"/>
      <c r="S6" s="3154"/>
      <c r="T6" s="3176"/>
      <c r="U6" s="3177"/>
      <c r="V6" s="3148"/>
      <c r="W6" s="3148"/>
      <c r="X6" s="1813"/>
      <c r="Y6" s="3176"/>
      <c r="Z6" s="3177"/>
      <c r="AA6" s="3147"/>
      <c r="AB6" s="3147"/>
      <c r="AC6" s="3254"/>
    </row>
    <row r="7" spans="1:29" s="116" customFormat="1" ht="15.75" thickBot="1">
      <c r="A7" s="407" t="s">
        <v>2553</v>
      </c>
      <c r="B7" s="408"/>
      <c r="C7" s="409">
        <f>'数据-取费表'!B2</f>
        <v>43208</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60" t="s">
        <v>2554</v>
      </c>
      <c r="Q7" s="3178"/>
      <c r="R7" s="767" t="s">
        <v>17</v>
      </c>
      <c r="S7" s="768">
        <f t="shared" ref="S7:S15" si="0">F7</f>
        <v>0</v>
      </c>
      <c r="T7" s="767" t="s">
        <v>17</v>
      </c>
      <c r="U7" s="768">
        <f t="shared" ref="U7:U15" si="1">H7</f>
        <v>0</v>
      </c>
      <c r="V7" s="767" t="s">
        <v>17</v>
      </c>
      <c r="W7" s="768">
        <f t="shared" ref="W7:W15" si="2">J7</f>
        <v>0</v>
      </c>
      <c r="X7" s="769"/>
      <c r="Y7" s="3149" t="s">
        <v>2554</v>
      </c>
      <c r="Z7" s="3150"/>
      <c r="AA7" s="770" t="e">
        <f>D7/F7</f>
        <v>#DIV/0!</v>
      </c>
      <c r="AB7" s="770" t="e">
        <f>D7/H7</f>
        <v>#DIV/0!</v>
      </c>
      <c r="AC7" s="2673" t="e">
        <f>D7/J7</f>
        <v>#DIV/0!</v>
      </c>
    </row>
    <row r="8" spans="1:29" s="116"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60" t="s">
        <v>2557</v>
      </c>
      <c r="Q8" s="3150"/>
      <c r="R8" s="767" t="s">
        <v>17</v>
      </c>
      <c r="S8" s="768">
        <f t="shared" si="0"/>
        <v>0</v>
      </c>
      <c r="T8" s="767" t="s">
        <v>17</v>
      </c>
      <c r="U8" s="768">
        <f t="shared" si="1"/>
        <v>0</v>
      </c>
      <c r="V8" s="767" t="s">
        <v>17</v>
      </c>
      <c r="W8" s="768">
        <f t="shared" si="2"/>
        <v>0</v>
      </c>
      <c r="X8" s="769"/>
      <c r="Y8" s="3149" t="s">
        <v>2557</v>
      </c>
      <c r="Z8" s="3150"/>
      <c r="AA8" s="770" t="e">
        <f t="shared" ref="AA8:AA47" si="3">D8/F8</f>
        <v>#DIV/0!</v>
      </c>
      <c r="AB8" s="770" t="e">
        <f t="shared" ref="AB8:AB47" si="4">D8/H8</f>
        <v>#DIV/0!</v>
      </c>
      <c r="AC8" s="2673" t="e">
        <f t="shared" ref="AC8:AC47" si="5">D8/J8</f>
        <v>#DIV/0!</v>
      </c>
    </row>
    <row r="9" spans="1:29" s="116" customFormat="1">
      <c r="A9" s="414" t="s">
        <v>2558</v>
      </c>
      <c r="B9" s="70" t="s">
        <v>2559</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165" t="s">
        <v>2560</v>
      </c>
      <c r="Q9" s="1795" t="str">
        <f t="shared" ref="Q9:Q15" si="6">B9</f>
        <v>用途</v>
      </c>
      <c r="R9" s="767" t="s">
        <v>17</v>
      </c>
      <c r="S9" s="768">
        <f t="shared" si="0"/>
        <v>100</v>
      </c>
      <c r="T9" s="767" t="s">
        <v>17</v>
      </c>
      <c r="U9" s="768">
        <f t="shared" si="1"/>
        <v>100</v>
      </c>
      <c r="V9" s="767" t="s">
        <v>17</v>
      </c>
      <c r="W9" s="768">
        <f t="shared" si="2"/>
        <v>100</v>
      </c>
      <c r="X9" s="769"/>
      <c r="Y9" s="3021" t="s">
        <v>2561</v>
      </c>
      <c r="Z9" s="54" t="str">
        <f t="shared" ref="Z9:Z15" si="7">Q9</f>
        <v>用途</v>
      </c>
      <c r="AA9" s="770">
        <f t="shared" si="3"/>
        <v>1</v>
      </c>
      <c r="AB9" s="770">
        <f t="shared" si="4"/>
        <v>1</v>
      </c>
      <c r="AC9" s="2673">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165"/>
      <c r="Q10" s="1795"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2673">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165"/>
      <c r="Q11" s="1795"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2"/>
      <c r="M12" s="1133"/>
      <c r="N12" s="1133"/>
      <c r="O12" s="1133"/>
      <c r="P12" s="3165"/>
      <c r="Q12" s="1795">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0"/>
      <c r="M13" s="1131"/>
      <c r="N13" s="1131"/>
      <c r="O13" s="1131"/>
      <c r="P13" s="3165"/>
      <c r="Q13" s="1795">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0"/>
      <c r="M14" s="1131"/>
      <c r="N14" s="1131"/>
      <c r="O14" s="1131"/>
      <c r="P14" s="3165"/>
      <c r="Q14" s="1795">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2673">
        <f t="shared" si="5"/>
        <v>1</v>
      </c>
    </row>
    <row r="15" spans="1:29" ht="71.25">
      <c r="A15" s="439" t="s">
        <v>2564</v>
      </c>
      <c r="B15" s="628" t="s">
        <v>2692</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179" t="s">
        <v>2565</v>
      </c>
      <c r="Q15" s="1810" t="str">
        <f t="shared" si="6"/>
        <v>办公集聚程度</v>
      </c>
      <c r="R15" s="771" t="s">
        <v>17</v>
      </c>
      <c r="S15" s="772">
        <f t="shared" si="0"/>
        <v>100</v>
      </c>
      <c r="T15" s="771" t="s">
        <v>17</v>
      </c>
      <c r="U15" s="772">
        <f t="shared" si="1"/>
        <v>100</v>
      </c>
      <c r="V15" s="771" t="s">
        <v>17</v>
      </c>
      <c r="W15" s="772">
        <f t="shared" si="2"/>
        <v>100</v>
      </c>
      <c r="X15" s="1813"/>
      <c r="Y15" s="3181" t="s">
        <v>2565</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0"/>
      <c r="M16" s="1131"/>
      <c r="N16" s="1131"/>
      <c r="O16" s="1131"/>
      <c r="P16" s="3180"/>
      <c r="Q16" s="1810"/>
      <c r="R16" s="771"/>
      <c r="S16" s="772"/>
      <c r="T16" s="771"/>
      <c r="U16" s="772"/>
      <c r="V16" s="771"/>
      <c r="W16" s="772"/>
      <c r="X16" s="1813"/>
      <c r="Y16" s="3182"/>
      <c r="Z16" s="1814"/>
      <c r="AA16" s="1811">
        <v>1</v>
      </c>
      <c r="AB16" s="1811">
        <v>1</v>
      </c>
      <c r="AC16" s="2676">
        <v>1</v>
      </c>
    </row>
    <row r="17" spans="1:29" ht="71.25">
      <c r="A17" s="427"/>
      <c r="B17" s="630" t="s">
        <v>2101</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180"/>
      <c r="Q17" s="1810" t="str">
        <f>B17</f>
        <v>交通便捷度</v>
      </c>
      <c r="R17" s="771" t="s">
        <v>17</v>
      </c>
      <c r="S17" s="772">
        <f>F17</f>
        <v>100</v>
      </c>
      <c r="T17" s="771" t="s">
        <v>17</v>
      </c>
      <c r="U17" s="772">
        <f>H17</f>
        <v>100</v>
      </c>
      <c r="V17" s="771" t="s">
        <v>17</v>
      </c>
      <c r="W17" s="772">
        <f>J17</f>
        <v>100</v>
      </c>
      <c r="X17" s="1813"/>
      <c r="Y17" s="3182"/>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0"/>
      <c r="M18" s="1131"/>
      <c r="N18" s="1131"/>
      <c r="O18" s="1131"/>
      <c r="P18" s="3180"/>
      <c r="Q18" s="1810"/>
      <c r="R18" s="771"/>
      <c r="S18" s="772"/>
      <c r="T18" s="771"/>
      <c r="U18" s="772"/>
      <c r="V18" s="771"/>
      <c r="W18" s="772"/>
      <c r="X18" s="1813"/>
      <c r="Y18" s="3182"/>
      <c r="Z18" s="1814"/>
      <c r="AA18" s="1811">
        <v>1</v>
      </c>
      <c r="AB18" s="1811">
        <v>1</v>
      </c>
      <c r="AC18" s="2676">
        <v>1</v>
      </c>
    </row>
    <row r="19" spans="1:29" ht="42.75">
      <c r="A19" s="427"/>
      <c r="B19" s="630" t="s">
        <v>2693</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180"/>
      <c r="Q19" s="1810" t="str">
        <f>B19</f>
        <v>公共配套设施</v>
      </c>
      <c r="R19" s="771" t="s">
        <v>17</v>
      </c>
      <c r="S19" s="772">
        <f>F19</f>
        <v>100</v>
      </c>
      <c r="T19" s="771" t="s">
        <v>17</v>
      </c>
      <c r="U19" s="772">
        <f>H19</f>
        <v>100</v>
      </c>
      <c r="V19" s="771" t="s">
        <v>17</v>
      </c>
      <c r="W19" s="772">
        <f>J19</f>
        <v>100</v>
      </c>
      <c r="X19" s="1813"/>
      <c r="Y19" s="3182"/>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0"/>
      <c r="M20" s="1131"/>
      <c r="N20" s="1131"/>
      <c r="O20" s="1131"/>
      <c r="P20" s="3180"/>
      <c r="Q20" s="1810"/>
      <c r="R20" s="771"/>
      <c r="S20" s="772"/>
      <c r="T20" s="771"/>
      <c r="U20" s="772"/>
      <c r="V20" s="771"/>
      <c r="W20" s="772"/>
      <c r="X20" s="1813"/>
      <c r="Y20" s="3182"/>
      <c r="Z20" s="1814"/>
      <c r="AA20" s="1811">
        <v>1</v>
      </c>
      <c r="AB20" s="1811">
        <v>1</v>
      </c>
      <c r="AC20" s="2676">
        <v>1</v>
      </c>
    </row>
    <row r="21" spans="1:29" ht="28.5">
      <c r="A21" s="427"/>
      <c r="B21" s="632" t="s">
        <v>2694</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180"/>
      <c r="Q21" s="1810" t="str">
        <f>B21</f>
        <v>基础设施水平</v>
      </c>
      <c r="R21" s="771" t="s">
        <v>17</v>
      </c>
      <c r="S21" s="772">
        <f>F21</f>
        <v>100</v>
      </c>
      <c r="T21" s="771" t="s">
        <v>17</v>
      </c>
      <c r="U21" s="772">
        <f>H21</f>
        <v>100</v>
      </c>
      <c r="V21" s="771" t="s">
        <v>17</v>
      </c>
      <c r="W21" s="772">
        <f>J21</f>
        <v>100</v>
      </c>
      <c r="X21" s="1813"/>
      <c r="Y21" s="3182"/>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3"/>
      <c r="L22" s="1140"/>
      <c r="M22" s="1131"/>
      <c r="N22" s="1131"/>
      <c r="O22" s="1131"/>
      <c r="P22" s="3180"/>
      <c r="Q22" s="1810"/>
      <c r="R22" s="771"/>
      <c r="S22" s="772"/>
      <c r="T22" s="771"/>
      <c r="U22" s="772"/>
      <c r="V22" s="771"/>
      <c r="W22" s="772"/>
      <c r="X22" s="1813"/>
      <c r="Y22" s="3182"/>
      <c r="Z22" s="1814"/>
      <c r="AA22" s="1811">
        <v>1</v>
      </c>
      <c r="AB22" s="1811">
        <v>1</v>
      </c>
      <c r="AC22" s="2676">
        <v>1</v>
      </c>
    </row>
    <row r="23" spans="1:29" ht="42.75">
      <c r="A23" s="427"/>
      <c r="B23" s="630" t="s">
        <v>2695</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180"/>
      <c r="Q23" s="1810" t="str">
        <f>B23</f>
        <v>环境质量</v>
      </c>
      <c r="R23" s="771" t="s">
        <v>17</v>
      </c>
      <c r="S23" s="772">
        <f>F23</f>
        <v>100</v>
      </c>
      <c r="T23" s="771" t="s">
        <v>17</v>
      </c>
      <c r="U23" s="772">
        <f>H23</f>
        <v>100</v>
      </c>
      <c r="V23" s="771" t="s">
        <v>17</v>
      </c>
      <c r="W23" s="772">
        <f>J23</f>
        <v>100</v>
      </c>
      <c r="X23" s="1813"/>
      <c r="Y23" s="3182"/>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0"/>
      <c r="M24" s="1131"/>
      <c r="N24" s="1131"/>
      <c r="O24" s="1131"/>
      <c r="P24" s="3180"/>
      <c r="Q24" s="1810"/>
      <c r="R24" s="771"/>
      <c r="S24" s="772"/>
      <c r="T24" s="771"/>
      <c r="U24" s="772"/>
      <c r="V24" s="771"/>
      <c r="W24" s="772"/>
      <c r="X24" s="1813"/>
      <c r="Y24" s="3182"/>
      <c r="Z24" s="1814"/>
      <c r="AA24" s="1811">
        <v>1</v>
      </c>
      <c r="AB24" s="1811">
        <v>1</v>
      </c>
      <c r="AC24" s="2676">
        <v>1</v>
      </c>
    </row>
    <row r="25" spans="1:29" ht="27">
      <c r="A25" s="403"/>
      <c r="B25" s="630" t="s">
        <v>2696</v>
      </c>
      <c r="C25" s="2617"/>
      <c r="D25" s="434">
        <v>100</v>
      </c>
      <c r="E25" s="433"/>
      <c r="F25" s="434">
        <f>SUMIF(87:87,E26,88:88)-SUMIF(87:87,C26,88:88)+100</f>
        <v>100</v>
      </c>
      <c r="G25" s="2617"/>
      <c r="H25" s="434">
        <f>SUMIF(87:87,G26,88:88)-SUMIF(87:87,C26,88:88)+100</f>
        <v>100</v>
      </c>
      <c r="I25" s="433"/>
      <c r="J25" s="434">
        <f>SUMIF(87:87,I26,88:88)-SUMIF(87:87,C26,88:88)+100</f>
        <v>100</v>
      </c>
      <c r="K25" s="613"/>
      <c r="L25" s="1140"/>
      <c r="M25" s="1131"/>
      <c r="N25" s="1131"/>
      <c r="O25" s="1131"/>
      <c r="P25" s="3180"/>
      <c r="Q25" s="1810" t="str">
        <f>B25</f>
        <v>毗邻道路的类型与等级</v>
      </c>
      <c r="R25" s="771" t="s">
        <v>17</v>
      </c>
      <c r="S25" s="772">
        <f>F25</f>
        <v>100</v>
      </c>
      <c r="T25" s="771" t="s">
        <v>17</v>
      </c>
      <c r="U25" s="772">
        <f>H25</f>
        <v>100</v>
      </c>
      <c r="V25" s="771" t="s">
        <v>17</v>
      </c>
      <c r="W25" s="772">
        <f>J25</f>
        <v>100</v>
      </c>
      <c r="X25" s="1813"/>
      <c r="Y25" s="3182"/>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0"/>
      <c r="M26" s="1131"/>
      <c r="N26" s="1131"/>
      <c r="O26" s="1131"/>
      <c r="P26" s="3180"/>
      <c r="Q26" s="1810"/>
      <c r="R26" s="771"/>
      <c r="S26" s="772"/>
      <c r="T26" s="771"/>
      <c r="U26" s="772"/>
      <c r="V26" s="771"/>
      <c r="W26" s="772"/>
      <c r="X26" s="1813"/>
      <c r="Y26" s="3182"/>
      <c r="Z26" s="1814"/>
      <c r="AA26" s="1811">
        <v>1</v>
      </c>
      <c r="AB26" s="1811">
        <v>1</v>
      </c>
      <c r="AC26" s="2676">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180"/>
      <c r="Q27" s="1810" t="str">
        <f t="shared" ref="Q27:Q47" si="11">B27</f>
        <v>楼层</v>
      </c>
      <c r="R27" s="771" t="s">
        <v>17</v>
      </c>
      <c r="S27" s="772">
        <f>F27</f>
        <v>100</v>
      </c>
      <c r="T27" s="771" t="s">
        <v>17</v>
      </c>
      <c r="U27" s="772">
        <f>H27</f>
        <v>100</v>
      </c>
      <c r="V27" s="771" t="s">
        <v>17</v>
      </c>
      <c r="W27" s="772">
        <f>J27</f>
        <v>100</v>
      </c>
      <c r="X27" s="1813"/>
      <c r="Y27" s="3182"/>
      <c r="Z27" s="1814" t="str">
        <f>Q27</f>
        <v>楼层</v>
      </c>
      <c r="AA27" s="1811">
        <f t="shared" si="3"/>
        <v>1</v>
      </c>
      <c r="AB27" s="1811">
        <f t="shared" si="4"/>
        <v>1</v>
      </c>
      <c r="AC27" s="2676">
        <f t="shared" si="5"/>
        <v>1</v>
      </c>
    </row>
    <row r="28" spans="1:29" s="116" customFormat="1" ht="15">
      <c r="A28" s="430"/>
      <c r="B28" s="630" t="s">
        <v>2697</v>
      </c>
      <c r="C28" s="2679"/>
      <c r="D28" s="461">
        <v>100</v>
      </c>
      <c r="E28" s="2667"/>
      <c r="F28" s="461">
        <f>SUMIF(91:91,E28,92:92)-SUMIF(91:91,C28,92:92)+100</f>
        <v>100</v>
      </c>
      <c r="G28" s="2679"/>
      <c r="H28" s="461">
        <f>SUMIF(91:91,G28,92:92)-SUMIF(91:91,C28,92:92)+100</f>
        <v>100</v>
      </c>
      <c r="I28" s="2667"/>
      <c r="J28" s="461">
        <f>SUMIF(91:91,I28,92:92)-SUMIF(91:91,C28,92:92)+100</f>
        <v>100</v>
      </c>
      <c r="K28" s="611"/>
      <c r="L28" s="1132"/>
      <c r="M28" s="1133"/>
      <c r="N28" s="1133"/>
      <c r="O28" s="1133"/>
      <c r="P28" s="3180"/>
      <c r="Q28" s="1795" t="str">
        <f t="shared" si="11"/>
        <v>朝向</v>
      </c>
      <c r="R28" s="767" t="s">
        <v>17</v>
      </c>
      <c r="S28" s="768">
        <f>F28</f>
        <v>100</v>
      </c>
      <c r="T28" s="767" t="s">
        <v>17</v>
      </c>
      <c r="U28" s="768">
        <f>H28</f>
        <v>100</v>
      </c>
      <c r="V28" s="767" t="s">
        <v>17</v>
      </c>
      <c r="W28" s="768">
        <f>J28</f>
        <v>100</v>
      </c>
      <c r="X28" s="769"/>
      <c r="Y28" s="3182"/>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0"/>
      <c r="M29" s="1131"/>
      <c r="N29" s="1131"/>
      <c r="O29" s="1131"/>
      <c r="P29" s="3180"/>
      <c r="Q29" s="1810">
        <f t="shared" si="11"/>
        <v>111</v>
      </c>
      <c r="R29" s="771" t="s">
        <v>17</v>
      </c>
      <c r="S29" s="772">
        <f t="shared" ref="S29:S47" si="12">F29</f>
        <v>100</v>
      </c>
      <c r="T29" s="771" t="s">
        <v>17</v>
      </c>
      <c r="U29" s="772">
        <f t="shared" ref="U29:U47" si="13">H29</f>
        <v>100</v>
      </c>
      <c r="V29" s="771" t="s">
        <v>17</v>
      </c>
      <c r="W29" s="772">
        <f t="shared" ref="W29:W47" si="14">J29</f>
        <v>100</v>
      </c>
      <c r="X29" s="1813"/>
      <c r="Y29" s="3182"/>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0"/>
      <c r="M30" s="1131"/>
      <c r="N30" s="1131"/>
      <c r="O30" s="1131"/>
      <c r="P30" s="3180"/>
      <c r="Q30" s="1810">
        <f t="shared" si="11"/>
        <v>111</v>
      </c>
      <c r="R30" s="771" t="s">
        <v>17</v>
      </c>
      <c r="S30" s="772">
        <f t="shared" si="12"/>
        <v>100</v>
      </c>
      <c r="T30" s="771" t="s">
        <v>17</v>
      </c>
      <c r="U30" s="772">
        <f t="shared" si="13"/>
        <v>100</v>
      </c>
      <c r="V30" s="771" t="s">
        <v>17</v>
      </c>
      <c r="W30" s="772">
        <f t="shared" si="14"/>
        <v>100</v>
      </c>
      <c r="X30" s="1813"/>
      <c r="Y30" s="3182"/>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0"/>
      <c r="M31" s="1131"/>
      <c r="N31" s="1131"/>
      <c r="O31" s="1131"/>
      <c r="P31" s="3180"/>
      <c r="Q31" s="1810">
        <f t="shared" si="11"/>
        <v>111</v>
      </c>
      <c r="R31" s="771" t="s">
        <v>17</v>
      </c>
      <c r="S31" s="772">
        <f t="shared" si="12"/>
        <v>100</v>
      </c>
      <c r="T31" s="771" t="s">
        <v>17</v>
      </c>
      <c r="U31" s="772">
        <f t="shared" si="13"/>
        <v>100</v>
      </c>
      <c r="V31" s="771" t="s">
        <v>17</v>
      </c>
      <c r="W31" s="772">
        <f t="shared" si="14"/>
        <v>100</v>
      </c>
      <c r="X31" s="1813"/>
      <c r="Y31" s="3182"/>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0"/>
      <c r="M32" s="1131"/>
      <c r="N32" s="1131"/>
      <c r="O32" s="1131"/>
      <c r="P32" s="3180"/>
      <c r="Q32" s="1810">
        <f t="shared" si="11"/>
        <v>111</v>
      </c>
      <c r="R32" s="771" t="s">
        <v>17</v>
      </c>
      <c r="S32" s="772">
        <f t="shared" si="12"/>
        <v>100</v>
      </c>
      <c r="T32" s="771" t="s">
        <v>17</v>
      </c>
      <c r="U32" s="772">
        <f t="shared" si="13"/>
        <v>100</v>
      </c>
      <c r="V32" s="771" t="s">
        <v>17</v>
      </c>
      <c r="W32" s="772">
        <f t="shared" si="14"/>
        <v>100</v>
      </c>
      <c r="X32" s="1813"/>
      <c r="Y32" s="3182"/>
      <c r="Z32" s="1814">
        <f t="shared" si="15"/>
        <v>111</v>
      </c>
      <c r="AA32" s="1811">
        <f t="shared" si="3"/>
        <v>1</v>
      </c>
      <c r="AB32" s="1811">
        <f t="shared" si="4"/>
        <v>1</v>
      </c>
      <c r="AC32" s="2676">
        <f t="shared" si="5"/>
        <v>1</v>
      </c>
    </row>
    <row r="33" spans="1:29" ht="15">
      <c r="A33" s="439" t="s">
        <v>2568</v>
      </c>
      <c r="B33" s="70" t="s">
        <v>2698</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0"/>
      <c r="M33" s="1131"/>
      <c r="N33" s="1131"/>
      <c r="O33" s="1131"/>
      <c r="P33" s="3183" t="s">
        <v>2570</v>
      </c>
      <c r="Q33" s="1810" t="str">
        <f t="shared" si="11"/>
        <v>建筑类型</v>
      </c>
      <c r="R33" s="771" t="s">
        <v>17</v>
      </c>
      <c r="S33" s="772">
        <f t="shared" si="12"/>
        <v>100</v>
      </c>
      <c r="T33" s="771" t="s">
        <v>17</v>
      </c>
      <c r="U33" s="772">
        <f t="shared" si="13"/>
        <v>100</v>
      </c>
      <c r="V33" s="771" t="s">
        <v>17</v>
      </c>
      <c r="W33" s="772">
        <f t="shared" si="14"/>
        <v>100</v>
      </c>
      <c r="X33" s="1813"/>
      <c r="Y33" s="3186" t="s">
        <v>2570</v>
      </c>
      <c r="Z33" s="1814" t="str">
        <f t="shared" si="15"/>
        <v>建筑类型</v>
      </c>
      <c r="AA33" s="1811">
        <f t="shared" si="3"/>
        <v>1</v>
      </c>
      <c r="AB33" s="1811">
        <f t="shared" si="4"/>
        <v>1</v>
      </c>
      <c r="AC33" s="2676">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184"/>
      <c r="Q34" s="773" t="str">
        <f t="shared" si="11"/>
        <v>项目建筑规模</v>
      </c>
      <c r="R34" s="774" t="s">
        <v>17</v>
      </c>
      <c r="S34" s="775" t="e">
        <f t="shared" si="12"/>
        <v>#N/A</v>
      </c>
      <c r="T34" s="774" t="s">
        <v>17</v>
      </c>
      <c r="U34" s="775" t="e">
        <f t="shared" si="13"/>
        <v>#N/A</v>
      </c>
      <c r="V34" s="774" t="s">
        <v>17</v>
      </c>
      <c r="W34" s="775" t="e">
        <f t="shared" si="14"/>
        <v>#N/A</v>
      </c>
      <c r="X34" s="776"/>
      <c r="Y34" s="3186"/>
      <c r="Z34" s="777" t="str">
        <f t="shared" si="15"/>
        <v>项目建筑规模</v>
      </c>
      <c r="AA34" s="1811" t="e">
        <f t="shared" si="3"/>
        <v>#N/A</v>
      </c>
      <c r="AB34" s="1811" t="e">
        <f t="shared" si="4"/>
        <v>#N/A</v>
      </c>
      <c r="AC34" s="2676"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184"/>
      <c r="Q35" s="1810" t="str">
        <f t="shared" si="11"/>
        <v>建筑结构</v>
      </c>
      <c r="R35" s="771" t="s">
        <v>17</v>
      </c>
      <c r="S35" s="772">
        <f t="shared" si="12"/>
        <v>100</v>
      </c>
      <c r="T35" s="771" t="s">
        <v>17</v>
      </c>
      <c r="U35" s="772">
        <f t="shared" si="13"/>
        <v>100</v>
      </c>
      <c r="V35" s="771" t="s">
        <v>17</v>
      </c>
      <c r="W35" s="772">
        <f t="shared" si="14"/>
        <v>100</v>
      </c>
      <c r="X35" s="1813"/>
      <c r="Y35" s="3186"/>
      <c r="Z35" s="1814" t="str">
        <f t="shared" si="15"/>
        <v>建筑结构</v>
      </c>
      <c r="AA35" s="1811">
        <f t="shared" si="3"/>
        <v>1</v>
      </c>
      <c r="AB35" s="1811">
        <f t="shared" si="4"/>
        <v>1</v>
      </c>
      <c r="AC35" s="2676">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184"/>
      <c r="Q36" s="1810" t="str">
        <f t="shared" si="11"/>
        <v>公共部分装修</v>
      </c>
      <c r="R36" s="771" t="s">
        <v>17</v>
      </c>
      <c r="S36" s="772">
        <f t="shared" si="12"/>
        <v>100</v>
      </c>
      <c r="T36" s="771" t="s">
        <v>17</v>
      </c>
      <c r="U36" s="772">
        <f t="shared" si="13"/>
        <v>100</v>
      </c>
      <c r="V36" s="771" t="s">
        <v>17</v>
      </c>
      <c r="W36" s="772">
        <f t="shared" si="14"/>
        <v>100</v>
      </c>
      <c r="X36" s="1813"/>
      <c r="Y36" s="3186"/>
      <c r="Z36" s="1814" t="str">
        <f t="shared" si="15"/>
        <v>公共部分装修</v>
      </c>
      <c r="AA36" s="1811">
        <f t="shared" si="3"/>
        <v>1</v>
      </c>
      <c r="AB36" s="1811">
        <f t="shared" si="4"/>
        <v>1</v>
      </c>
      <c r="AC36" s="2676">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184"/>
      <c r="Q37" s="1810" t="str">
        <f t="shared" si="11"/>
        <v>成新度</v>
      </c>
      <c r="R37" s="771" t="s">
        <v>17</v>
      </c>
      <c r="S37" s="772" t="e">
        <f t="shared" si="12"/>
        <v>#N/A</v>
      </c>
      <c r="T37" s="771" t="s">
        <v>17</v>
      </c>
      <c r="U37" s="772" t="e">
        <f t="shared" si="13"/>
        <v>#N/A</v>
      </c>
      <c r="V37" s="771" t="s">
        <v>17</v>
      </c>
      <c r="W37" s="772" t="e">
        <f t="shared" si="14"/>
        <v>#N/A</v>
      </c>
      <c r="X37" s="1813"/>
      <c r="Y37" s="3186"/>
      <c r="Z37" s="1814" t="str">
        <f t="shared" si="15"/>
        <v>成新度</v>
      </c>
      <c r="AA37" s="1811" t="e">
        <f t="shared" si="3"/>
        <v>#N/A</v>
      </c>
      <c r="AB37" s="1811" t="e">
        <f t="shared" si="4"/>
        <v>#N/A</v>
      </c>
      <c r="AC37" s="2676" t="e">
        <f t="shared" si="5"/>
        <v>#N/A</v>
      </c>
    </row>
    <row r="38" spans="1:29" s="116"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184"/>
      <c r="Q38" s="1795" t="str">
        <f t="shared" si="11"/>
        <v>写字楼等级</v>
      </c>
      <c r="R38" s="767" t="s">
        <v>17</v>
      </c>
      <c r="S38" s="768">
        <f t="shared" si="12"/>
        <v>100</v>
      </c>
      <c r="T38" s="767" t="s">
        <v>17</v>
      </c>
      <c r="U38" s="768">
        <f t="shared" si="13"/>
        <v>100</v>
      </c>
      <c r="V38" s="767" t="s">
        <v>17</v>
      </c>
      <c r="W38" s="768">
        <f t="shared" si="14"/>
        <v>100</v>
      </c>
      <c r="X38" s="769"/>
      <c r="Y38" s="3186"/>
      <c r="Z38" s="54" t="str">
        <f t="shared" si="15"/>
        <v>写字楼等级</v>
      </c>
      <c r="AA38" s="770">
        <f t="shared" si="3"/>
        <v>1</v>
      </c>
      <c r="AB38" s="770">
        <f t="shared" si="4"/>
        <v>1</v>
      </c>
      <c r="AC38" s="2673">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184" t="s">
        <v>2570</v>
      </c>
      <c r="Q39" s="1810" t="str">
        <f t="shared" si="11"/>
        <v>物业管理</v>
      </c>
      <c r="R39" s="771" t="s">
        <v>17</v>
      </c>
      <c r="S39" s="772">
        <f t="shared" si="12"/>
        <v>100</v>
      </c>
      <c r="T39" s="771" t="s">
        <v>17</v>
      </c>
      <c r="U39" s="772">
        <f t="shared" si="13"/>
        <v>100</v>
      </c>
      <c r="V39" s="771" t="s">
        <v>17</v>
      </c>
      <c r="W39" s="772">
        <f t="shared" si="14"/>
        <v>100</v>
      </c>
      <c r="X39" s="1813"/>
      <c r="Y39" s="3186" t="s">
        <v>2570</v>
      </c>
      <c r="Z39" s="1814" t="str">
        <f t="shared" si="15"/>
        <v>物业管理</v>
      </c>
      <c r="AA39" s="1811">
        <f t="shared" si="3"/>
        <v>1</v>
      </c>
      <c r="AB39" s="1811">
        <f t="shared" si="4"/>
        <v>1</v>
      </c>
      <c r="AC39" s="2676">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184"/>
      <c r="Q40" s="1810" t="str">
        <f t="shared" si="11"/>
        <v>市政基础设施</v>
      </c>
      <c r="R40" s="771" t="s">
        <v>17</v>
      </c>
      <c r="S40" s="772">
        <f t="shared" si="12"/>
        <v>100</v>
      </c>
      <c r="T40" s="771" t="s">
        <v>17</v>
      </c>
      <c r="U40" s="772">
        <f t="shared" si="13"/>
        <v>100</v>
      </c>
      <c r="V40" s="771" t="s">
        <v>17</v>
      </c>
      <c r="W40" s="772">
        <f t="shared" si="14"/>
        <v>100</v>
      </c>
      <c r="X40" s="1813"/>
      <c r="Y40" s="3186"/>
      <c r="Z40" s="1814" t="str">
        <f t="shared" si="15"/>
        <v>市政基础设施</v>
      </c>
      <c r="AA40" s="1811">
        <f t="shared" si="3"/>
        <v>1</v>
      </c>
      <c r="AB40" s="1811">
        <f t="shared" si="4"/>
        <v>1</v>
      </c>
      <c r="AC40" s="2676">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184"/>
      <c r="Q41" s="1810" t="str">
        <f t="shared" si="11"/>
        <v>层高</v>
      </c>
      <c r="R41" s="771" t="s">
        <v>17</v>
      </c>
      <c r="S41" s="772">
        <f t="shared" si="12"/>
        <v>100</v>
      </c>
      <c r="T41" s="771" t="s">
        <v>17</v>
      </c>
      <c r="U41" s="772">
        <f t="shared" si="13"/>
        <v>100</v>
      </c>
      <c r="V41" s="771" t="s">
        <v>17</v>
      </c>
      <c r="W41" s="772">
        <f t="shared" si="14"/>
        <v>100</v>
      </c>
      <c r="X41" s="1813"/>
      <c r="Y41" s="3186"/>
      <c r="Z41" s="1814" t="str">
        <f t="shared" si="15"/>
        <v>层高</v>
      </c>
      <c r="AA41" s="1811">
        <f t="shared" si="3"/>
        <v>1</v>
      </c>
      <c r="AB41" s="1811">
        <f t="shared" si="4"/>
        <v>1</v>
      </c>
      <c r="AC41" s="2676">
        <f t="shared" si="5"/>
        <v>1</v>
      </c>
    </row>
    <row r="42" spans="1:29" s="470" customFormat="1" ht="15">
      <c r="A42" s="467"/>
      <c r="B42" s="1812"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184"/>
      <c r="Q42" s="773" t="str">
        <f t="shared" si="11"/>
        <v>单套建筑面积</v>
      </c>
      <c r="R42" s="774" t="s">
        <v>17</v>
      </c>
      <c r="S42" s="775">
        <f t="shared" si="12"/>
        <v>100</v>
      </c>
      <c r="T42" s="774" t="s">
        <v>17</v>
      </c>
      <c r="U42" s="775">
        <f t="shared" si="13"/>
        <v>100</v>
      </c>
      <c r="V42" s="774" t="s">
        <v>17</v>
      </c>
      <c r="W42" s="775">
        <f t="shared" si="14"/>
        <v>100</v>
      </c>
      <c r="X42" s="776"/>
      <c r="Y42" s="3186"/>
      <c r="Z42" s="777" t="str">
        <f t="shared" si="15"/>
        <v>单套建筑面积</v>
      </c>
      <c r="AA42" s="1811">
        <f t="shared" si="3"/>
        <v>1</v>
      </c>
      <c r="AB42" s="1811">
        <f t="shared" si="4"/>
        <v>1</v>
      </c>
      <c r="AC42" s="2676">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184"/>
      <c r="Q43" s="1810" t="str">
        <f t="shared" si="11"/>
        <v>内部装修</v>
      </c>
      <c r="R43" s="771" t="s">
        <v>17</v>
      </c>
      <c r="S43" s="772">
        <f t="shared" si="12"/>
        <v>100</v>
      </c>
      <c r="T43" s="771" t="s">
        <v>17</v>
      </c>
      <c r="U43" s="772">
        <f t="shared" si="13"/>
        <v>100</v>
      </c>
      <c r="V43" s="771" t="s">
        <v>17</v>
      </c>
      <c r="W43" s="772">
        <f t="shared" si="14"/>
        <v>100</v>
      </c>
      <c r="X43" s="1813"/>
      <c r="Y43" s="3186"/>
      <c r="Z43" s="1814" t="str">
        <f t="shared" si="15"/>
        <v>内部装修</v>
      </c>
      <c r="AA43" s="1811">
        <f t="shared" si="3"/>
        <v>1</v>
      </c>
      <c r="AB43" s="1811">
        <f t="shared" si="4"/>
        <v>1</v>
      </c>
      <c r="AC43" s="2676">
        <f t="shared" si="5"/>
        <v>1</v>
      </c>
    </row>
    <row r="44" spans="1:29" ht="15">
      <c r="A44" s="471"/>
      <c r="B44" s="421" t="s">
        <v>2581</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0"/>
      <c r="M44" s="1131"/>
      <c r="N44" s="1131"/>
      <c r="O44" s="1131"/>
      <c r="P44" s="3184"/>
      <c r="Q44" s="1810" t="str">
        <f t="shared" si="11"/>
        <v>内部装修维护情况</v>
      </c>
      <c r="R44" s="771" t="s">
        <v>17</v>
      </c>
      <c r="S44" s="772">
        <f t="shared" si="12"/>
        <v>100</v>
      </c>
      <c r="T44" s="771" t="s">
        <v>17</v>
      </c>
      <c r="U44" s="772">
        <f t="shared" si="13"/>
        <v>100</v>
      </c>
      <c r="V44" s="771" t="s">
        <v>17</v>
      </c>
      <c r="W44" s="772">
        <f t="shared" si="14"/>
        <v>100</v>
      </c>
      <c r="X44" s="1813"/>
      <c r="Y44" s="3186"/>
      <c r="Z44" s="1814" t="str">
        <f t="shared" si="15"/>
        <v>内部装修维护情况</v>
      </c>
      <c r="AA44" s="1811">
        <f t="shared" si="3"/>
        <v>1</v>
      </c>
      <c r="AB44" s="1811">
        <f t="shared" si="4"/>
        <v>1</v>
      </c>
      <c r="AC44" s="2676">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184"/>
      <c r="Q45" s="1795">
        <f t="shared" si="11"/>
        <v>111</v>
      </c>
      <c r="R45" s="767" t="s">
        <v>17</v>
      </c>
      <c r="S45" s="768">
        <f t="shared" si="12"/>
        <v>100</v>
      </c>
      <c r="T45" s="767" t="s">
        <v>17</v>
      </c>
      <c r="U45" s="768">
        <f t="shared" si="13"/>
        <v>100</v>
      </c>
      <c r="V45" s="767" t="s">
        <v>17</v>
      </c>
      <c r="W45" s="768">
        <f t="shared" si="14"/>
        <v>100</v>
      </c>
      <c r="X45" s="769"/>
      <c r="Y45" s="3186"/>
      <c r="Z45" s="54">
        <f t="shared" si="15"/>
        <v>111</v>
      </c>
      <c r="AA45" s="770">
        <f t="shared" si="3"/>
        <v>1</v>
      </c>
      <c r="AB45" s="770">
        <f t="shared" si="4"/>
        <v>1</v>
      </c>
      <c r="AC45" s="2673">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184"/>
      <c r="Q46" s="1810">
        <f t="shared" si="11"/>
        <v>111</v>
      </c>
      <c r="R46" s="771" t="s">
        <v>17</v>
      </c>
      <c r="S46" s="772">
        <f t="shared" si="12"/>
        <v>100</v>
      </c>
      <c r="T46" s="771" t="s">
        <v>17</v>
      </c>
      <c r="U46" s="772">
        <f t="shared" si="13"/>
        <v>100</v>
      </c>
      <c r="V46" s="771" t="s">
        <v>17</v>
      </c>
      <c r="W46" s="772">
        <f t="shared" si="14"/>
        <v>100</v>
      </c>
      <c r="X46" s="1813"/>
      <c r="Y46" s="3186"/>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185"/>
      <c r="Q47" s="1810">
        <f t="shared" si="11"/>
        <v>111</v>
      </c>
      <c r="R47" s="771" t="s">
        <v>17</v>
      </c>
      <c r="S47" s="772">
        <f t="shared" si="12"/>
        <v>100</v>
      </c>
      <c r="T47" s="771" t="s">
        <v>17</v>
      </c>
      <c r="U47" s="772">
        <f t="shared" si="13"/>
        <v>100</v>
      </c>
      <c r="V47" s="771" t="s">
        <v>17</v>
      </c>
      <c r="W47" s="772">
        <f t="shared" si="14"/>
        <v>100</v>
      </c>
      <c r="X47" s="1813"/>
      <c r="Y47" s="3187"/>
      <c r="Z47" s="1814">
        <f t="shared" si="15"/>
        <v>111</v>
      </c>
      <c r="AA47" s="1811">
        <f t="shared" si="3"/>
        <v>1</v>
      </c>
      <c r="AB47" s="1811">
        <f t="shared" si="4"/>
        <v>1</v>
      </c>
      <c r="AC47" s="2676">
        <f t="shared" si="5"/>
        <v>1</v>
      </c>
    </row>
    <row r="48" spans="1:29" ht="15">
      <c r="A48" s="478" t="s">
        <v>2582</v>
      </c>
      <c r="B48" s="479"/>
      <c r="C48" s="1407" t="s">
        <v>1</v>
      </c>
      <c r="D48" s="1408"/>
      <c r="E48" s="1409"/>
      <c r="F48" s="1410"/>
      <c r="G48" s="1411"/>
      <c r="H48" s="1412"/>
      <c r="I48" s="1409"/>
      <c r="J48" s="484"/>
      <c r="K48" s="780"/>
      <c r="L48" s="1143"/>
      <c r="M48" s="1131"/>
      <c r="N48" s="1131"/>
      <c r="O48" s="1131"/>
      <c r="P48" s="3165" t="str">
        <f>A48</f>
        <v>成交单价（元/平方米）</v>
      </c>
      <c r="Q48" s="3188"/>
      <c r="R48" s="3189">
        <f>E48</f>
        <v>0</v>
      </c>
      <c r="S48" s="3189"/>
      <c r="T48" s="3189">
        <f>G48</f>
        <v>0</v>
      </c>
      <c r="U48" s="3189"/>
      <c r="V48" s="3189">
        <f>I48</f>
        <v>0</v>
      </c>
      <c r="W48" s="3189"/>
      <c r="X48" s="445"/>
      <c r="Y48" s="778"/>
      <c r="Z48" s="445"/>
      <c r="AA48" s="445"/>
      <c r="AB48" s="445"/>
      <c r="AC48" s="629"/>
    </row>
    <row r="49" spans="1:29" ht="15.75" thickBot="1">
      <c r="A49" s="485" t="s">
        <v>2674</v>
      </c>
      <c r="B49" s="486"/>
      <c r="C49" s="1413" t="e">
        <f>R50</f>
        <v>#DIV/0!</v>
      </c>
      <c r="D49" s="1414"/>
      <c r="E49" s="1415" t="e">
        <f>R49</f>
        <v>#DIV/0!</v>
      </c>
      <c r="F49" s="1415"/>
      <c r="G49" s="1413" t="e">
        <f>T49</f>
        <v>#DIV/0!</v>
      </c>
      <c r="H49" s="1414"/>
      <c r="I49" s="1415" t="e">
        <f>V49</f>
        <v>#DIV/0!</v>
      </c>
      <c r="J49" s="488"/>
      <c r="K49" s="781"/>
      <c r="L49" s="1143"/>
      <c r="M49" s="1131"/>
      <c r="N49" s="1131"/>
      <c r="O49" s="1131"/>
      <c r="P49" s="3165"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5"/>
      <c r="Y49" s="445"/>
      <c r="Z49" s="445"/>
      <c r="AA49" s="445"/>
      <c r="AB49" s="445"/>
      <c r="AC49" s="629"/>
    </row>
    <row r="50" spans="1:29" ht="15.75" thickBot="1">
      <c r="A50" s="491" t="s">
        <v>2675</v>
      </c>
      <c r="B50" s="492"/>
      <c r="C50" s="1417" t="e">
        <f>R50</f>
        <v>#DIV/0!</v>
      </c>
      <c r="D50" s="1417"/>
      <c r="E50" s="1417"/>
      <c r="F50" s="1417"/>
      <c r="G50" s="1417"/>
      <c r="H50" s="1417"/>
      <c r="I50" s="1417"/>
      <c r="J50" s="493"/>
      <c r="K50" s="782"/>
      <c r="L50" s="1143"/>
      <c r="M50" s="1131"/>
      <c r="N50" s="1131"/>
      <c r="O50" s="1131"/>
      <c r="P50" s="3261" t="str">
        <f>A50</f>
        <v>估价对象XX用房的比较价值（楼面单价，元/平方米）</v>
      </c>
      <c r="Q50" s="3262"/>
      <c r="R50" s="3263" t="e">
        <f>IF(F1="售价",ROUND(AVERAGE(R49:V49),0),ROUND(AVERAGE(R49:V49),1))</f>
        <v>#DIV/0!</v>
      </c>
      <c r="S50" s="3263"/>
      <c r="T50" s="3263"/>
      <c r="U50" s="3263"/>
      <c r="V50" s="3263"/>
      <c r="W50" s="326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82"/>
    </row>
    <row r="56" spans="1:29" s="501"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0" t="s">
        <v>2679</v>
      </c>
      <c r="B58" s="756"/>
      <c r="C58" s="761"/>
      <c r="D58" s="761"/>
      <c r="E58" s="761"/>
      <c r="F58" s="762"/>
      <c r="G58" s="762"/>
      <c r="H58" s="761"/>
      <c r="I58" s="761"/>
      <c r="J58" s="761"/>
      <c r="K58" s="763"/>
      <c r="L58" s="1161"/>
      <c r="M58" s="1159"/>
      <c r="N58" s="1159"/>
      <c r="O58" s="1159"/>
      <c r="P58" s="2683"/>
      <c r="Q58" s="503"/>
    </row>
    <row r="59" spans="1:29" s="507" customFormat="1" ht="15">
      <c r="A59" s="504" t="s">
        <v>2553</v>
      </c>
      <c r="B59" s="505"/>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2590</v>
      </c>
      <c r="B61" s="515"/>
      <c r="C61" s="516"/>
      <c r="D61" s="517"/>
      <c r="E61" s="517"/>
      <c r="F61" s="517"/>
      <c r="G61" s="517"/>
      <c r="H61" s="517"/>
      <c r="I61" s="517"/>
      <c r="J61" s="517"/>
      <c r="K61" s="517"/>
      <c r="L61" s="517"/>
      <c r="M61" s="518"/>
      <c r="N61" s="517"/>
      <c r="O61" s="518"/>
      <c r="P61" s="2684"/>
      <c r="Q61" s="503"/>
    </row>
    <row r="62" spans="1:29" s="116" customFormat="1" ht="15">
      <c r="A62" s="520" t="s">
        <v>2555</v>
      </c>
      <c r="B62" s="509"/>
      <c r="C62" s="521" t="s">
        <v>2657</v>
      </c>
      <c r="D62" s="522"/>
      <c r="E62" s="522"/>
      <c r="F62" s="522"/>
      <c r="G62" s="522"/>
      <c r="H62" s="522"/>
      <c r="I62" s="522"/>
      <c r="J62" s="522"/>
      <c r="K62" s="522"/>
      <c r="L62" s="523"/>
      <c r="M62" s="524"/>
      <c r="N62" s="1151"/>
      <c r="O62" s="1151"/>
      <c r="P62" s="2685"/>
      <c r="Q62" s="503"/>
    </row>
    <row r="63" spans="1:29" s="116" customFormat="1" ht="15.75" thickBot="1">
      <c r="A63" s="520"/>
      <c r="B63" s="509"/>
      <c r="C63" s="510">
        <v>100</v>
      </c>
      <c r="D63" s="511"/>
      <c r="E63" s="511"/>
      <c r="F63" s="511"/>
      <c r="G63" s="511"/>
      <c r="H63" s="511"/>
      <c r="I63" s="511"/>
      <c r="J63" s="511"/>
      <c r="K63" s="511"/>
      <c r="L63" s="511"/>
      <c r="M63" s="513"/>
      <c r="N63" s="1151"/>
      <c r="O63" s="1151"/>
      <c r="P63" s="2684"/>
      <c r="Q63" s="503"/>
    </row>
    <row r="64" spans="1:29">
      <c r="A64" s="526" t="s">
        <v>2593</v>
      </c>
      <c r="B64" s="527" t="s">
        <v>2559</v>
      </c>
      <c r="C64" s="528">
        <f>C9</f>
        <v>0</v>
      </c>
      <c r="D64" s="529"/>
      <c r="E64" s="529"/>
      <c r="F64" s="529"/>
      <c r="G64" s="529"/>
      <c r="H64" s="529"/>
      <c r="I64" s="529"/>
      <c r="J64" s="529"/>
      <c r="K64" s="530"/>
      <c r="L64" s="531"/>
      <c r="M64" s="532"/>
      <c r="N64" s="1152"/>
      <c r="O64" s="1152"/>
      <c r="P64" s="2686"/>
      <c r="Q64" s="503"/>
    </row>
    <row r="65" spans="1:17" ht="15.75" thickBot="1">
      <c r="A65" s="533"/>
      <c r="B65" s="534"/>
      <c r="C65" s="535">
        <v>100</v>
      </c>
      <c r="D65" s="535"/>
      <c r="E65" s="535"/>
      <c r="F65" s="535"/>
      <c r="G65" s="535"/>
      <c r="H65" s="535"/>
      <c r="I65" s="535"/>
      <c r="J65" s="535"/>
      <c r="K65" s="535"/>
      <c r="L65" s="535"/>
      <c r="M65" s="536"/>
      <c r="N65" s="1153"/>
      <c r="O65" s="1153"/>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2"/>
      <c r="O66" s="1152"/>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6"/>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6"/>
      <c r="Q68" s="503"/>
    </row>
    <row r="69" spans="1:17" ht="15">
      <c r="A69" s="533"/>
      <c r="B69" s="547"/>
      <c r="C69" s="548"/>
      <c r="D69" s="548"/>
      <c r="E69" s="548"/>
      <c r="F69" s="548"/>
      <c r="G69" s="548"/>
      <c r="H69" s="548"/>
      <c r="I69" s="548"/>
      <c r="J69" s="548"/>
      <c r="K69" s="549"/>
      <c r="L69" s="550"/>
      <c r="M69" s="551"/>
      <c r="N69" s="1152"/>
      <c r="O69" s="1152"/>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6"/>
      <c r="Q70" s="503"/>
    </row>
    <row r="71" spans="1:17" s="470" customFormat="1" ht="15.75" thickTop="1">
      <c r="A71" s="552"/>
      <c r="B71" s="537">
        <f>B12</f>
        <v>111</v>
      </c>
      <c r="C71" s="553"/>
      <c r="D71" s="553"/>
      <c r="E71" s="553"/>
      <c r="F71" s="553"/>
      <c r="G71" s="553"/>
      <c r="H71" s="554"/>
      <c r="I71" s="554"/>
      <c r="J71" s="554"/>
      <c r="K71" s="554"/>
      <c r="L71" s="555"/>
      <c r="M71" s="556"/>
      <c r="N71" s="1154"/>
      <c r="O71" s="1154"/>
      <c r="P71" s="2687"/>
      <c r="Q71" s="558"/>
    </row>
    <row r="72" spans="1:17" s="470" customFormat="1" ht="15.75" thickBot="1">
      <c r="A72" s="552"/>
      <c r="B72" s="542"/>
      <c r="C72" s="559"/>
      <c r="D72" s="535"/>
      <c r="E72" s="535"/>
      <c r="F72" s="535"/>
      <c r="G72" s="535"/>
      <c r="H72" s="535"/>
      <c r="I72" s="535"/>
      <c r="J72" s="535"/>
      <c r="K72" s="535"/>
      <c r="L72" s="535"/>
      <c r="M72" s="536"/>
      <c r="N72" s="1153"/>
      <c r="O72" s="1153"/>
      <c r="P72" s="2687"/>
      <c r="Q72" s="558"/>
    </row>
    <row r="73" spans="1:17" s="470" customFormat="1" ht="15.75" thickTop="1">
      <c r="A73" s="552"/>
      <c r="B73" s="537">
        <f>B13</f>
        <v>111</v>
      </c>
      <c r="C73" s="553"/>
      <c r="D73" s="553"/>
      <c r="E73" s="553"/>
      <c r="F73" s="553"/>
      <c r="G73" s="553"/>
      <c r="H73" s="554"/>
      <c r="I73" s="554"/>
      <c r="J73" s="554"/>
      <c r="K73" s="554"/>
      <c r="L73" s="555"/>
      <c r="M73" s="556"/>
      <c r="N73" s="1154"/>
      <c r="O73" s="1154"/>
      <c r="P73" s="2688"/>
      <c r="Q73" s="560"/>
    </row>
    <row r="74" spans="1:17" s="470" customFormat="1" ht="15.75" thickBot="1">
      <c r="A74" s="552"/>
      <c r="B74" s="542"/>
      <c r="C74" s="559"/>
      <c r="D74" s="559"/>
      <c r="E74" s="559"/>
      <c r="F74" s="559"/>
      <c r="G74" s="559"/>
      <c r="H74" s="561"/>
      <c r="I74" s="561"/>
      <c r="J74" s="561"/>
      <c r="K74" s="561"/>
      <c r="L74" s="561"/>
      <c r="M74" s="562"/>
      <c r="N74" s="1154"/>
      <c r="O74" s="1154"/>
      <c r="P74" s="2687"/>
      <c r="Q74" s="558"/>
    </row>
    <row r="75" spans="1:17" s="470" customFormat="1" ht="15.75" thickTop="1">
      <c r="A75" s="552"/>
      <c r="B75" s="545">
        <f>B14</f>
        <v>111</v>
      </c>
      <c r="C75" s="522"/>
      <c r="D75" s="522"/>
      <c r="E75" s="522"/>
      <c r="F75" s="522"/>
      <c r="G75" s="522"/>
      <c r="H75" s="563"/>
      <c r="I75" s="563"/>
      <c r="J75" s="563"/>
      <c r="K75" s="563"/>
      <c r="L75" s="564"/>
      <c r="M75" s="565"/>
      <c r="N75" s="1154"/>
      <c r="O75" s="1154"/>
      <c r="P75" s="2689"/>
      <c r="Q75" s="558"/>
    </row>
    <row r="76" spans="1:17" s="470" customFormat="1" ht="15.75" thickBot="1">
      <c r="A76" s="567"/>
      <c r="B76" s="568"/>
      <c r="C76" s="569"/>
      <c r="D76" s="569"/>
      <c r="E76" s="569"/>
      <c r="F76" s="569"/>
      <c r="G76" s="569"/>
      <c r="H76" s="570"/>
      <c r="I76" s="570"/>
      <c r="J76" s="570"/>
      <c r="K76" s="570"/>
      <c r="L76" s="570"/>
      <c r="M76" s="571"/>
      <c r="N76" s="1154"/>
      <c r="O76" s="1154"/>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2"/>
      <c r="O77" s="1152"/>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2"/>
      <c r="O79" s="1152"/>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2"/>
      <c r="O81" s="1152"/>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6"/>
      <c r="Q82" s="503"/>
    </row>
    <row r="83" spans="1:17" ht="15.75" thickTop="1">
      <c r="A83" s="533"/>
      <c r="B83" s="545" t="s">
        <v>2694</v>
      </c>
      <c r="C83" s="659" t="s">
        <v>2680</v>
      </c>
      <c r="D83" s="659" t="s">
        <v>2681</v>
      </c>
      <c r="E83" s="659" t="s">
        <v>2682</v>
      </c>
      <c r="F83" s="659" t="s">
        <v>2683</v>
      </c>
      <c r="G83" s="659" t="s">
        <v>2684</v>
      </c>
      <c r="H83" s="538"/>
      <c r="I83" s="538"/>
      <c r="J83" s="538"/>
      <c r="K83" s="538"/>
      <c r="L83" s="538"/>
      <c r="M83" s="1382"/>
      <c r="N83" s="1153"/>
      <c r="O83" s="1153"/>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2"/>
      <c r="O85" s="1152"/>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6"/>
      <c r="Q86" s="503"/>
    </row>
    <row r="87" spans="1:17" s="116" customFormat="1" ht="27.75" thickTop="1">
      <c r="A87" s="578"/>
      <c r="B87" s="537" t="s">
        <v>2704</v>
      </c>
      <c r="C87" s="553"/>
      <c r="D87" s="553"/>
      <c r="E87" s="553"/>
      <c r="F87" s="553"/>
      <c r="G87" s="553"/>
      <c r="H87" s="553"/>
      <c r="I87" s="553"/>
      <c r="J87" s="553"/>
      <c r="K87" s="553"/>
      <c r="L87" s="579"/>
      <c r="M87" s="580"/>
      <c r="N87" s="1151"/>
      <c r="O87" s="1151"/>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6"/>
      <c r="Q88" s="503"/>
    </row>
    <row r="89" spans="1:17" s="116" customFormat="1" ht="15.75" thickTop="1">
      <c r="A89" s="578"/>
      <c r="B89" s="537" t="str">
        <f>B27</f>
        <v>楼层</v>
      </c>
      <c r="C89" s="553"/>
      <c r="D89" s="553"/>
      <c r="E89" s="553"/>
      <c r="F89" s="2637"/>
      <c r="G89" s="553"/>
      <c r="H89" s="553"/>
      <c r="I89" s="553"/>
      <c r="J89" s="553"/>
      <c r="K89" s="553"/>
      <c r="L89" s="553"/>
      <c r="M89" s="580"/>
      <c r="N89" s="1151"/>
      <c r="O89" s="1151"/>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6"/>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7"/>
      <c r="Q92" s="558"/>
    </row>
    <row r="93" spans="1:17" ht="15.75" thickTop="1">
      <c r="A93" s="533"/>
      <c r="B93" s="537">
        <f>B29</f>
        <v>111</v>
      </c>
      <c r="C93" s="553"/>
      <c r="D93" s="553"/>
      <c r="E93" s="553"/>
      <c r="F93" s="553"/>
      <c r="G93" s="553"/>
      <c r="H93" s="553"/>
      <c r="I93" s="553"/>
      <c r="J93" s="553"/>
      <c r="K93" s="553"/>
      <c r="L93" s="579"/>
      <c r="M93" s="580"/>
      <c r="N93" s="1152"/>
      <c r="O93" s="1152"/>
      <c r="P93" s="2686"/>
      <c r="Q93" s="503"/>
    </row>
    <row r="94" spans="1:17" ht="15.75" thickBot="1">
      <c r="A94" s="533"/>
      <c r="B94" s="542"/>
      <c r="C94" s="559"/>
      <c r="D94" s="535"/>
      <c r="E94" s="535"/>
      <c r="F94" s="535"/>
      <c r="G94" s="535"/>
      <c r="H94" s="535"/>
      <c r="I94" s="535"/>
      <c r="J94" s="535"/>
      <c r="K94" s="535"/>
      <c r="L94" s="535"/>
      <c r="M94" s="536"/>
      <c r="N94" s="1153"/>
      <c r="O94" s="1153"/>
      <c r="P94" s="2686"/>
      <c r="Q94" s="503"/>
    </row>
    <row r="95" spans="1:17" ht="15.75" thickTop="1">
      <c r="A95" s="533"/>
      <c r="B95" s="537">
        <f>B30</f>
        <v>111</v>
      </c>
      <c r="C95" s="553"/>
      <c r="D95" s="553"/>
      <c r="E95" s="553"/>
      <c r="F95" s="553"/>
      <c r="G95" s="582"/>
      <c r="H95" s="582"/>
      <c r="I95" s="582"/>
      <c r="J95" s="582"/>
      <c r="K95" s="583"/>
      <c r="L95" s="584"/>
      <c r="M95" s="585"/>
      <c r="N95" s="1152"/>
      <c r="O95" s="1152"/>
      <c r="P95" s="2686"/>
      <c r="Q95" s="503"/>
    </row>
    <row r="96" spans="1:17" ht="15.75" thickBot="1">
      <c r="A96" s="533"/>
      <c r="B96" s="542"/>
      <c r="C96" s="559"/>
      <c r="D96" s="559"/>
      <c r="E96" s="559"/>
      <c r="F96" s="559"/>
      <c r="G96" s="535"/>
      <c r="H96" s="535"/>
      <c r="I96" s="535"/>
      <c r="J96" s="535"/>
      <c r="K96" s="535"/>
      <c r="L96" s="535"/>
      <c r="M96" s="536"/>
      <c r="N96" s="1153"/>
      <c r="O96" s="1153"/>
      <c r="P96" s="2686"/>
      <c r="Q96" s="503"/>
    </row>
    <row r="97" spans="1:17" ht="15.75" thickTop="1">
      <c r="A97" s="533"/>
      <c r="B97" s="537">
        <f>B31</f>
        <v>111</v>
      </c>
      <c r="C97" s="553"/>
      <c r="D97" s="553"/>
      <c r="E97" s="553"/>
      <c r="F97" s="553"/>
      <c r="G97" s="582"/>
      <c r="H97" s="582"/>
      <c r="I97" s="582"/>
      <c r="J97" s="582"/>
      <c r="K97" s="583"/>
      <c r="L97" s="584"/>
      <c r="M97" s="585"/>
      <c r="N97" s="1152"/>
      <c r="O97" s="1152"/>
      <c r="P97" s="2686"/>
      <c r="Q97" s="503"/>
    </row>
    <row r="98" spans="1:17" ht="15.75" thickBot="1">
      <c r="A98" s="533"/>
      <c r="B98" s="542"/>
      <c r="C98" s="559"/>
      <c r="D98" s="535"/>
      <c r="E98" s="535"/>
      <c r="F98" s="535"/>
      <c r="G98" s="535"/>
      <c r="H98" s="535"/>
      <c r="I98" s="535"/>
      <c r="J98" s="535"/>
      <c r="K98" s="535"/>
      <c r="L98" s="535"/>
      <c r="M98" s="536"/>
      <c r="N98" s="1153"/>
      <c r="O98" s="1153"/>
      <c r="P98" s="2686"/>
      <c r="Q98" s="503"/>
    </row>
    <row r="99" spans="1:17" ht="15.75" thickTop="1">
      <c r="A99" s="533"/>
      <c r="B99" s="545">
        <f>B32</f>
        <v>111</v>
      </c>
      <c r="C99" s="522"/>
      <c r="D99" s="522"/>
      <c r="E99" s="522"/>
      <c r="F99" s="522"/>
      <c r="G99" s="586"/>
      <c r="H99" s="586"/>
      <c r="I99" s="586"/>
      <c r="J99" s="586"/>
      <c r="K99" s="587"/>
      <c r="L99" s="588"/>
      <c r="M99" s="589"/>
      <c r="N99" s="1152"/>
      <c r="O99" s="1152"/>
      <c r="P99" s="2686"/>
      <c r="Q99" s="503"/>
    </row>
    <row r="100" spans="1:17" ht="15.75" thickBot="1">
      <c r="A100" s="2638"/>
      <c r="B100" s="568"/>
      <c r="C100" s="569"/>
      <c r="D100" s="569"/>
      <c r="E100" s="569"/>
      <c r="F100" s="569"/>
      <c r="G100" s="590"/>
      <c r="H100" s="590"/>
      <c r="I100" s="590"/>
      <c r="J100" s="590"/>
      <c r="K100" s="590"/>
      <c r="L100" s="590"/>
      <c r="M100" s="591"/>
      <c r="N100" s="1153"/>
      <c r="O100" s="1153"/>
      <c r="P100" s="2686"/>
      <c r="Q100" s="503"/>
    </row>
    <row r="101" spans="1:17">
      <c r="A101" s="526" t="s">
        <v>2568</v>
      </c>
      <c r="B101" s="527" t="s">
        <v>2617</v>
      </c>
      <c r="C101" s="529"/>
      <c r="D101" s="529"/>
      <c r="E101" s="529"/>
      <c r="F101" s="529"/>
      <c r="G101" s="529"/>
      <c r="H101" s="529"/>
      <c r="I101" s="529"/>
      <c r="J101" s="529"/>
      <c r="K101" s="530"/>
      <c r="L101" s="531"/>
      <c r="M101" s="532"/>
      <c r="N101" s="1152"/>
      <c r="O101" s="1152"/>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6"/>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86"/>
      <c r="Q103" s="503"/>
    </row>
    <row r="104" spans="1:17" s="470" customFormat="1">
      <c r="A104" s="592"/>
      <c r="B104" s="593"/>
      <c r="C104" s="594"/>
      <c r="D104" s="594"/>
      <c r="E104" s="594"/>
      <c r="F104" s="594"/>
      <c r="G104" s="594"/>
      <c r="H104" s="594"/>
      <c r="I104" s="594"/>
      <c r="J104" s="595"/>
      <c r="K104" s="595"/>
      <c r="L104" s="596"/>
      <c r="M104" s="597"/>
      <c r="N104" s="1154"/>
      <c r="O104" s="1154"/>
      <c r="P104" s="2687"/>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7"/>
      <c r="Q105" s="558"/>
    </row>
    <row r="106" spans="1:17" ht="15" thickTop="1">
      <c r="A106" s="598"/>
      <c r="B106" s="537" t="s">
        <v>2619</v>
      </c>
      <c r="C106" s="553"/>
      <c r="D106" s="553"/>
      <c r="E106" s="582"/>
      <c r="F106" s="582"/>
      <c r="G106" s="582"/>
      <c r="H106" s="582"/>
      <c r="I106" s="582"/>
      <c r="J106" s="582"/>
      <c r="K106" s="583"/>
      <c r="L106" s="584"/>
      <c r="M106" s="585"/>
      <c r="N106" s="1152"/>
      <c r="O106" s="1152"/>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6"/>
      <c r="Q107" s="503"/>
    </row>
    <row r="108" spans="1:17" ht="15" thickTop="1">
      <c r="A108" s="598"/>
      <c r="B108" s="537" t="s">
        <v>2621</v>
      </c>
      <c r="C108" s="553"/>
      <c r="D108" s="553"/>
      <c r="E108" s="553"/>
      <c r="F108" s="582"/>
      <c r="G108" s="582"/>
      <c r="H108" s="582"/>
      <c r="I108" s="582"/>
      <c r="J108" s="582"/>
      <c r="K108" s="583"/>
      <c r="L108" s="584"/>
      <c r="M108" s="585"/>
      <c r="N108" s="1152"/>
      <c r="O108" s="1152"/>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6"/>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6"/>
      <c r="Q112" s="503"/>
    </row>
    <row r="113" spans="1:17" s="470" customFormat="1" ht="15" thickTop="1">
      <c r="A113" s="592"/>
      <c r="B113" s="537" t="s">
        <v>2705</v>
      </c>
      <c r="C113" s="553"/>
      <c r="D113" s="553"/>
      <c r="E113" s="553"/>
      <c r="F113" s="553"/>
      <c r="G113" s="553"/>
      <c r="H113" s="582"/>
      <c r="I113" s="582"/>
      <c r="J113" s="582"/>
      <c r="K113" s="583"/>
      <c r="L113" s="584"/>
      <c r="M113" s="585"/>
      <c r="N113" s="1154"/>
      <c r="O113" s="1154"/>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7"/>
      <c r="Q114" s="558"/>
    </row>
    <row r="115" spans="1:17" ht="15" thickTop="1">
      <c r="A115" s="598"/>
      <c r="B115" s="537" t="s">
        <v>2622</v>
      </c>
      <c r="C115" s="553"/>
      <c r="D115" s="553"/>
      <c r="E115" s="582"/>
      <c r="F115" s="582"/>
      <c r="G115" s="582"/>
      <c r="H115" s="582"/>
      <c r="I115" s="582"/>
      <c r="J115" s="582"/>
      <c r="K115" s="583"/>
      <c r="L115" s="584"/>
      <c r="M115" s="585"/>
      <c r="N115" s="1152"/>
      <c r="O115" s="1152"/>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6"/>
      <c r="Q116" s="503"/>
    </row>
    <row r="117" spans="1:17" ht="15" thickTop="1">
      <c r="A117" s="598"/>
      <c r="B117" s="537" t="s">
        <v>2623</v>
      </c>
      <c r="C117" s="553"/>
      <c r="D117" s="553"/>
      <c r="E117" s="553"/>
      <c r="F117" s="553"/>
      <c r="G117" s="553"/>
      <c r="H117" s="582"/>
      <c r="I117" s="582"/>
      <c r="J117" s="582"/>
      <c r="K117" s="583"/>
      <c r="L117" s="584"/>
      <c r="M117" s="585"/>
      <c r="N117" s="1152"/>
      <c r="O117" s="1152"/>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6"/>
      <c r="Q118" s="503"/>
    </row>
    <row r="119" spans="1:17" ht="15" thickTop="1">
      <c r="A119" s="598"/>
      <c r="B119" s="635" t="s">
        <v>2706</v>
      </c>
      <c r="C119" s="582"/>
      <c r="D119" s="582"/>
      <c r="E119" s="582"/>
      <c r="F119" s="582"/>
      <c r="G119" s="582"/>
      <c r="H119" s="582"/>
      <c r="I119" s="582"/>
      <c r="J119" s="582"/>
      <c r="K119" s="582"/>
      <c r="L119" s="2691"/>
      <c r="M119" s="2692"/>
      <c r="N119" s="1153"/>
      <c r="O119" s="1153"/>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6"/>
      <c r="Q120" s="503"/>
    </row>
    <row r="121" spans="1:17" s="470" customFormat="1" ht="15" thickTop="1">
      <c r="A121" s="592"/>
      <c r="B121" s="537" t="s">
        <v>2689</v>
      </c>
      <c r="C121" s="553"/>
      <c r="D121" s="553"/>
      <c r="E121" s="553"/>
      <c r="F121" s="582"/>
      <c r="G121" s="554"/>
      <c r="H121" s="554"/>
      <c r="I121" s="554"/>
      <c r="J121" s="554"/>
      <c r="K121" s="554"/>
      <c r="L121" s="555"/>
      <c r="M121" s="556"/>
      <c r="N121" s="1154"/>
      <c r="O121" s="1154"/>
      <c r="P121" s="2687"/>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7"/>
      <c r="Q122" s="558"/>
    </row>
    <row r="123" spans="1:17" ht="15" thickTop="1">
      <c r="A123" s="598"/>
      <c r="B123" s="537" t="s">
        <v>2625</v>
      </c>
      <c r="C123" s="553"/>
      <c r="D123" s="553"/>
      <c r="E123" s="553"/>
      <c r="F123" s="582"/>
      <c r="G123" s="582"/>
      <c r="H123" s="582"/>
      <c r="I123" s="582"/>
      <c r="J123" s="582"/>
      <c r="K123" s="583"/>
      <c r="L123" s="584"/>
      <c r="M123" s="585"/>
      <c r="N123" s="1152"/>
      <c r="O123" s="1152"/>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2"/>
      <c r="O125" s="1152"/>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6"/>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7"/>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7"/>
      <c r="Q128" s="558"/>
    </row>
    <row r="129" spans="1:17" ht="15" thickTop="1">
      <c r="A129" s="598"/>
      <c r="B129" s="537">
        <f>B46</f>
        <v>111</v>
      </c>
      <c r="C129" s="553"/>
      <c r="D129" s="553"/>
      <c r="E129" s="553"/>
      <c r="F129" s="553"/>
      <c r="G129" s="582"/>
      <c r="H129" s="582"/>
      <c r="I129" s="582"/>
      <c r="J129" s="582"/>
      <c r="K129" s="583"/>
      <c r="L129" s="584"/>
      <c r="M129" s="585"/>
      <c r="N129" s="1152"/>
      <c r="O129" s="1152"/>
      <c r="P129" s="2686"/>
      <c r="Q129" s="503"/>
    </row>
    <row r="130" spans="1:17" ht="15.75" thickBot="1">
      <c r="A130" s="533"/>
      <c r="B130" s="542"/>
      <c r="C130" s="559"/>
      <c r="D130" s="559"/>
      <c r="E130" s="559"/>
      <c r="F130" s="559"/>
      <c r="G130" s="535"/>
      <c r="H130" s="535"/>
      <c r="I130" s="535"/>
      <c r="J130" s="535"/>
      <c r="K130" s="535"/>
      <c r="L130" s="535"/>
      <c r="M130" s="536"/>
      <c r="N130" s="1153"/>
      <c r="O130" s="1153"/>
      <c r="P130" s="2686"/>
      <c r="Q130" s="503"/>
    </row>
    <row r="131" spans="1:17" ht="15" thickTop="1">
      <c r="A131" s="598"/>
      <c r="B131" s="545">
        <f>B47</f>
        <v>111</v>
      </c>
      <c r="C131" s="522"/>
      <c r="D131" s="522"/>
      <c r="E131" s="522"/>
      <c r="F131" s="522"/>
      <c r="G131" s="586"/>
      <c r="H131" s="586"/>
      <c r="I131" s="586"/>
      <c r="J131" s="586"/>
      <c r="K131" s="522"/>
      <c r="L131" s="523"/>
      <c r="M131" s="589"/>
      <c r="N131" s="1152"/>
      <c r="O131" s="1152"/>
      <c r="P131" s="2686"/>
      <c r="Q131" s="503"/>
    </row>
    <row r="132" spans="1:17" ht="15.75" thickBot="1">
      <c r="A132" s="2638"/>
      <c r="B132" s="568"/>
      <c r="C132" s="569"/>
      <c r="D132" s="569"/>
      <c r="E132" s="569"/>
      <c r="F132" s="569"/>
      <c r="G132" s="590"/>
      <c r="H132" s="590"/>
      <c r="I132" s="590"/>
      <c r="J132" s="590"/>
      <c r="K132" s="590"/>
      <c r="L132" s="590"/>
      <c r="M132" s="591"/>
      <c r="N132" s="1153"/>
      <c r="O132" s="1153"/>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1" t="s">
        <v>2707</v>
      </c>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IF(C2="——",ROUND(C43*D3/10000,0),ROUND(C43*D3/10000,0)-D2)</f>
        <v>#DIV/0!</v>
      </c>
      <c r="C2" s="2588"/>
      <c r="D2" s="1124" t="e">
        <f ca="1">SUMIF(INDIRECT("'"&amp;F2&amp;"'"&amp;"!A:A"),"承租人权益价值",INDIRECT("'"&amp;F2&amp;"'"&amp;"!c:c"))</f>
        <v>#REF!</v>
      </c>
      <c r="E2" s="2589" t="s">
        <v>2333</v>
      </c>
      <c r="F2" s="2590"/>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2334</v>
      </c>
      <c r="B3" s="608" t="e">
        <f ca="1">IF(C2="——",C43,ROUND(B2*10000/D3,0))</f>
        <v>#DIV/0!</v>
      </c>
      <c r="C3" s="399" t="s">
        <v>2649</v>
      </c>
      <c r="D3" s="398">
        <f>IF(D1="",'数据-汇总表'!E3,SUMIF('数据-汇总表'!$C19:$C33,D1,'数据-汇总表'!$E19:$E33))</f>
        <v>28056.880000000005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166" t="s">
        <v>2651</v>
      </c>
      <c r="D4" s="3167"/>
      <c r="E4" s="3168" t="s">
        <v>2652</v>
      </c>
      <c r="F4" s="3169"/>
      <c r="G4" s="3166" t="s">
        <v>2653</v>
      </c>
      <c r="H4" s="3167"/>
      <c r="I4" s="3166" t="s">
        <v>2654</v>
      </c>
      <c r="J4" s="3167"/>
      <c r="K4" s="609" t="s">
        <v>2655</v>
      </c>
      <c r="L4" s="1130"/>
      <c r="M4" s="1131"/>
      <c r="N4" s="1131"/>
      <c r="O4" s="1131"/>
      <c r="P4" s="3170" t="s">
        <v>2656</v>
      </c>
      <c r="Q4" s="3171"/>
      <c r="R4" s="3151" t="s">
        <v>2652</v>
      </c>
      <c r="S4" s="3152"/>
      <c r="T4" s="3151" t="s">
        <v>2653</v>
      </c>
      <c r="U4" s="3152"/>
      <c r="V4" s="3148" t="s">
        <v>2654</v>
      </c>
      <c r="W4" s="3148"/>
      <c r="X4" s="1813"/>
      <c r="Y4" s="3151" t="s">
        <v>2656</v>
      </c>
      <c r="Z4" s="3152"/>
      <c r="AA4" s="3145" t="s">
        <v>2652</v>
      </c>
      <c r="AB4" s="3146" t="s">
        <v>2653</v>
      </c>
      <c r="AC4" s="3145" t="s">
        <v>2654</v>
      </c>
    </row>
    <row r="5" spans="1:29" ht="15">
      <c r="A5" s="403"/>
      <c r="B5" s="404"/>
      <c r="C5" s="3157" t="s">
        <v>2547</v>
      </c>
      <c r="D5" s="3158"/>
      <c r="E5" s="3247" t="s">
        <v>2548</v>
      </c>
      <c r="F5" s="3156"/>
      <c r="G5" s="3157" t="s">
        <v>2549</v>
      </c>
      <c r="H5" s="3158"/>
      <c r="I5" s="3157" t="s">
        <v>2550</v>
      </c>
      <c r="J5" s="3158"/>
      <c r="K5" s="609"/>
      <c r="L5" s="1130"/>
      <c r="M5" s="1131"/>
      <c r="N5" s="1131"/>
      <c r="O5" s="1131"/>
      <c r="P5" s="3172"/>
      <c r="Q5" s="3173"/>
      <c r="R5" s="3153"/>
      <c r="S5" s="3154"/>
      <c r="T5" s="3153"/>
      <c r="U5" s="3154"/>
      <c r="V5" s="3148"/>
      <c r="W5" s="3148"/>
      <c r="X5" s="1813"/>
      <c r="Y5" s="3153"/>
      <c r="Z5" s="3154"/>
      <c r="AA5" s="3146"/>
      <c r="AB5" s="3146"/>
      <c r="AC5" s="3146"/>
    </row>
    <row r="6" spans="1:29" ht="15.75" thickBot="1">
      <c r="A6" s="405"/>
      <c r="B6" s="406"/>
      <c r="C6" s="3159" t="s">
        <v>2551</v>
      </c>
      <c r="D6" s="3160"/>
      <c r="E6" s="3248" t="s">
        <v>2551</v>
      </c>
      <c r="F6" s="3163"/>
      <c r="G6" s="3159" t="s">
        <v>2551</v>
      </c>
      <c r="H6" s="3160"/>
      <c r="I6" s="3159" t="s">
        <v>2551</v>
      </c>
      <c r="J6" s="3160"/>
      <c r="K6" s="609" t="s">
        <v>2552</v>
      </c>
      <c r="L6" s="1130"/>
      <c r="M6" s="1131"/>
      <c r="N6" s="1131"/>
      <c r="O6" s="1131"/>
      <c r="P6" s="3174"/>
      <c r="Q6" s="3175"/>
      <c r="R6" s="3153"/>
      <c r="S6" s="3154"/>
      <c r="T6" s="3176"/>
      <c r="U6" s="3177"/>
      <c r="V6" s="3148"/>
      <c r="W6" s="3148"/>
      <c r="X6" s="1813"/>
      <c r="Y6" s="3176"/>
      <c r="Z6" s="3177"/>
      <c r="AA6" s="3147"/>
      <c r="AB6" s="3147"/>
      <c r="AC6" s="3147"/>
    </row>
    <row r="7" spans="1:29" s="116" customFormat="1" ht="15.75" thickBot="1">
      <c r="A7" s="407" t="s">
        <v>2553</v>
      </c>
      <c r="B7" s="408"/>
      <c r="C7" s="409">
        <f>'数据-取费表'!B2</f>
        <v>43208</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49" t="s">
        <v>2554</v>
      </c>
      <c r="Q7" s="3178"/>
      <c r="R7" s="767" t="s">
        <v>17</v>
      </c>
      <c r="S7" s="768">
        <f t="shared" ref="S7:S15" si="0">F7</f>
        <v>0</v>
      </c>
      <c r="T7" s="767" t="s">
        <v>17</v>
      </c>
      <c r="U7" s="768">
        <f t="shared" ref="U7:U15" si="1">H7</f>
        <v>0</v>
      </c>
      <c r="V7" s="767" t="s">
        <v>17</v>
      </c>
      <c r="W7" s="768">
        <f t="shared" ref="W7:W15" si="2">J7</f>
        <v>0</v>
      </c>
      <c r="X7" s="769"/>
      <c r="Y7" s="3149" t="s">
        <v>2554</v>
      </c>
      <c r="Z7" s="3150"/>
      <c r="AA7" s="770" t="e">
        <f>D7/F7</f>
        <v>#DIV/0!</v>
      </c>
      <c r="AB7" s="770" t="e">
        <f>D7/H7</f>
        <v>#DIV/0!</v>
      </c>
      <c r="AC7" s="770"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49" t="s">
        <v>2557</v>
      </c>
      <c r="Q8" s="3150"/>
      <c r="R8" s="767" t="s">
        <v>17</v>
      </c>
      <c r="S8" s="768">
        <f t="shared" si="0"/>
        <v>0</v>
      </c>
      <c r="T8" s="767" t="s">
        <v>17</v>
      </c>
      <c r="U8" s="768">
        <f t="shared" si="1"/>
        <v>0</v>
      </c>
      <c r="V8" s="767" t="s">
        <v>17</v>
      </c>
      <c r="W8" s="768">
        <f t="shared" si="2"/>
        <v>0</v>
      </c>
      <c r="X8" s="769"/>
      <c r="Y8" s="3149" t="s">
        <v>2557</v>
      </c>
      <c r="Z8" s="3150"/>
      <c r="AA8" s="770" t="e">
        <f t="shared" ref="AA8:AA40" si="3">D8/F8</f>
        <v>#DIV/0!</v>
      </c>
      <c r="AB8" s="770" t="e">
        <f t="shared" ref="AB8:AB40" si="4">D8/H8</f>
        <v>#DIV/0!</v>
      </c>
      <c r="AC8" s="770"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188" t="s">
        <v>2560</v>
      </c>
      <c r="Q9" s="1795" t="str">
        <f t="shared" ref="Q9:Q15" si="6">B9</f>
        <v>用途</v>
      </c>
      <c r="R9" s="767" t="s">
        <v>17</v>
      </c>
      <c r="S9" s="768">
        <f t="shared" si="0"/>
        <v>100</v>
      </c>
      <c r="T9" s="767" t="s">
        <v>17</v>
      </c>
      <c r="U9" s="768">
        <f t="shared" si="1"/>
        <v>100</v>
      </c>
      <c r="V9" s="767" t="s">
        <v>17</v>
      </c>
      <c r="W9" s="768">
        <f t="shared" si="2"/>
        <v>100</v>
      </c>
      <c r="X9" s="769"/>
      <c r="Y9" s="3021"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188"/>
      <c r="Q10" s="1795"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188"/>
      <c r="Q11" s="1795"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770"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2"/>
      <c r="M12" s="1133"/>
      <c r="N12" s="1133"/>
      <c r="O12" s="1134"/>
      <c r="P12" s="3188"/>
      <c r="Q12" s="1795">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0"/>
      <c r="M13" s="1131"/>
      <c r="N13" s="1131"/>
      <c r="O13" s="1139"/>
      <c r="P13" s="3188"/>
      <c r="Q13" s="1795">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0"/>
      <c r="M14" s="1131"/>
      <c r="N14" s="1131"/>
      <c r="O14" s="1139"/>
      <c r="P14" s="3188"/>
      <c r="Q14" s="1795">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770">
        <f t="shared" si="5"/>
        <v>1</v>
      </c>
    </row>
    <row r="15" spans="1:29" ht="57">
      <c r="A15" s="439" t="s">
        <v>2564</v>
      </c>
      <c r="B15" s="68" t="s">
        <v>2708</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81" t="s">
        <v>2565</v>
      </c>
      <c r="Q15" s="1810" t="str">
        <f t="shared" si="6"/>
        <v>产业集聚程度</v>
      </c>
      <c r="R15" s="771" t="s">
        <v>17</v>
      </c>
      <c r="S15" s="772">
        <f t="shared" si="0"/>
        <v>100</v>
      </c>
      <c r="T15" s="771" t="s">
        <v>17</v>
      </c>
      <c r="U15" s="772">
        <f t="shared" si="1"/>
        <v>100</v>
      </c>
      <c r="V15" s="771" t="s">
        <v>17</v>
      </c>
      <c r="W15" s="772">
        <f t="shared" si="2"/>
        <v>100</v>
      </c>
      <c r="X15" s="1813"/>
      <c r="Y15" s="3181" t="s">
        <v>2565</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182"/>
      <c r="Q16" s="1810"/>
      <c r="R16" s="771"/>
      <c r="S16" s="772"/>
      <c r="T16" s="771"/>
      <c r="U16" s="772"/>
      <c r="V16" s="771"/>
      <c r="W16" s="772"/>
      <c r="X16" s="1813"/>
      <c r="Y16" s="3182"/>
      <c r="Z16" s="1814"/>
      <c r="AA16" s="1811">
        <v>1</v>
      </c>
      <c r="AB16" s="1811">
        <v>1</v>
      </c>
      <c r="AC16" s="1811">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82"/>
      <c r="Q17" s="1810" t="str">
        <f>B17</f>
        <v>交通便捷度</v>
      </c>
      <c r="R17" s="771" t="s">
        <v>17</v>
      </c>
      <c r="S17" s="772">
        <f>F17</f>
        <v>100</v>
      </c>
      <c r="T17" s="771" t="s">
        <v>17</v>
      </c>
      <c r="U17" s="772">
        <f>H17</f>
        <v>100</v>
      </c>
      <c r="V17" s="771" t="s">
        <v>17</v>
      </c>
      <c r="W17" s="772">
        <f>J17</f>
        <v>100</v>
      </c>
      <c r="X17" s="1813"/>
      <c r="Y17" s="3182"/>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0"/>
      <c r="M18" s="1131"/>
      <c r="N18" s="1131"/>
      <c r="O18" s="1139"/>
      <c r="P18" s="3182"/>
      <c r="Q18" s="1810"/>
      <c r="R18" s="771"/>
      <c r="S18" s="772"/>
      <c r="T18" s="771"/>
      <c r="U18" s="772"/>
      <c r="V18" s="771"/>
      <c r="W18" s="772"/>
      <c r="X18" s="1813"/>
      <c r="Y18" s="3182"/>
      <c r="Z18" s="1814"/>
      <c r="AA18" s="1811">
        <v>1</v>
      </c>
      <c r="AB18" s="1811">
        <v>1</v>
      </c>
      <c r="AC18" s="1811">
        <v>1</v>
      </c>
    </row>
    <row r="19" spans="1:29" ht="42.75">
      <c r="A19" s="427"/>
      <c r="B19" s="450" t="s">
        <v>2693</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82"/>
      <c r="Q19" s="1810" t="str">
        <f>B19</f>
        <v>公共配套设施</v>
      </c>
      <c r="R19" s="771" t="s">
        <v>17</v>
      </c>
      <c r="S19" s="772">
        <f>F19</f>
        <v>100</v>
      </c>
      <c r="T19" s="771" t="s">
        <v>17</v>
      </c>
      <c r="U19" s="772">
        <f>H19</f>
        <v>100</v>
      </c>
      <c r="V19" s="771" t="s">
        <v>17</v>
      </c>
      <c r="W19" s="772">
        <f>J19</f>
        <v>100</v>
      </c>
      <c r="X19" s="1813"/>
      <c r="Y19" s="3182"/>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0"/>
      <c r="M20" s="1131"/>
      <c r="N20" s="1131"/>
      <c r="O20" s="1139"/>
      <c r="P20" s="3182"/>
      <c r="Q20" s="1810"/>
      <c r="R20" s="771"/>
      <c r="S20" s="772"/>
      <c r="T20" s="771"/>
      <c r="U20" s="772"/>
      <c r="V20" s="771"/>
      <c r="W20" s="772"/>
      <c r="X20" s="1813"/>
      <c r="Y20" s="3182"/>
      <c r="Z20" s="1814"/>
      <c r="AA20" s="1811">
        <v>1</v>
      </c>
      <c r="AB20" s="1811">
        <v>1</v>
      </c>
      <c r="AC20" s="1811">
        <v>1</v>
      </c>
    </row>
    <row r="21" spans="1:29" ht="28.5">
      <c r="A21" s="427"/>
      <c r="B21" s="1384" t="s">
        <v>2694</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82"/>
      <c r="Q21" s="1810" t="str">
        <f>B21</f>
        <v>基础设施水平</v>
      </c>
      <c r="R21" s="771" t="s">
        <v>17</v>
      </c>
      <c r="S21" s="772">
        <f>F21</f>
        <v>100</v>
      </c>
      <c r="T21" s="771" t="s">
        <v>17</v>
      </c>
      <c r="U21" s="772">
        <f>H21</f>
        <v>100</v>
      </c>
      <c r="V21" s="771" t="s">
        <v>17</v>
      </c>
      <c r="W21" s="772">
        <f>J21</f>
        <v>100</v>
      </c>
      <c r="X21" s="1813"/>
      <c r="Y21" s="3182"/>
      <c r="Z21" s="1814" t="str">
        <f>Q21</f>
        <v>基础设施水平</v>
      </c>
      <c r="AA21" s="1811">
        <f t="shared" ref="AA21" si="8">D21/F21</f>
        <v>1</v>
      </c>
      <c r="AB21" s="1811">
        <f t="shared" ref="AB21" si="9">D21/H21</f>
        <v>1</v>
      </c>
      <c r="AC21" s="1811">
        <f t="shared" ref="AC21" si="10">D21/J21</f>
        <v>1</v>
      </c>
    </row>
    <row r="22" spans="1:29" ht="15">
      <c r="A22" s="427"/>
      <c r="B22" s="1384"/>
      <c r="C22" s="2610"/>
      <c r="D22" s="447"/>
      <c r="E22" s="446"/>
      <c r="F22" s="448"/>
      <c r="G22" s="446"/>
      <c r="H22" s="447"/>
      <c r="I22" s="446"/>
      <c r="J22" s="447"/>
      <c r="K22" s="1383"/>
      <c r="L22" s="1140"/>
      <c r="M22" s="1131"/>
      <c r="N22" s="1131"/>
      <c r="O22" s="1139"/>
      <c r="P22" s="3182"/>
      <c r="Q22" s="1810"/>
      <c r="R22" s="771"/>
      <c r="S22" s="772"/>
      <c r="T22" s="771"/>
      <c r="U22" s="772"/>
      <c r="V22" s="771"/>
      <c r="W22" s="772"/>
      <c r="X22" s="1813"/>
      <c r="Y22" s="3182"/>
      <c r="Z22" s="1814"/>
      <c r="AA22" s="1811">
        <v>1</v>
      </c>
      <c r="AB22" s="1811">
        <v>1</v>
      </c>
      <c r="AC22" s="1811">
        <v>1</v>
      </c>
    </row>
    <row r="23" spans="1:29" ht="71.25">
      <c r="A23" s="427"/>
      <c r="B23" s="450" t="s">
        <v>2695</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82"/>
      <c r="Q23" s="1810" t="str">
        <f>B23</f>
        <v>环境质量</v>
      </c>
      <c r="R23" s="771" t="s">
        <v>17</v>
      </c>
      <c r="S23" s="772">
        <f>F23</f>
        <v>100</v>
      </c>
      <c r="T23" s="771" t="s">
        <v>17</v>
      </c>
      <c r="U23" s="772">
        <f>H23</f>
        <v>100</v>
      </c>
      <c r="V23" s="771" t="s">
        <v>17</v>
      </c>
      <c r="W23" s="772">
        <f>J23</f>
        <v>100</v>
      </c>
      <c r="X23" s="1813"/>
      <c r="Y23" s="3182"/>
      <c r="Z23" s="1814" t="str">
        <f>Q23</f>
        <v>环境质量</v>
      </c>
      <c r="AA23" s="1811">
        <f t="shared" si="3"/>
        <v>1</v>
      </c>
      <c r="AB23" s="1811">
        <f t="shared" si="4"/>
        <v>1</v>
      </c>
      <c r="AC23" s="1811">
        <f t="shared" si="5"/>
        <v>1</v>
      </c>
    </row>
    <row r="24" spans="1:29" ht="15">
      <c r="A24" s="427"/>
      <c r="B24" s="1384"/>
      <c r="C24" s="446"/>
      <c r="D24" s="447"/>
      <c r="E24" s="2607"/>
      <c r="F24" s="448"/>
      <c r="G24" s="2606"/>
      <c r="H24" s="447"/>
      <c r="I24" s="2607"/>
      <c r="J24" s="447"/>
      <c r="K24" s="614"/>
      <c r="L24" s="1140"/>
      <c r="M24" s="1131"/>
      <c r="N24" s="1131"/>
      <c r="O24" s="1139"/>
      <c r="P24" s="3182"/>
      <c r="Q24" s="1810"/>
      <c r="R24" s="771"/>
      <c r="S24" s="772"/>
      <c r="T24" s="771"/>
      <c r="U24" s="772"/>
      <c r="V24" s="771"/>
      <c r="W24" s="772"/>
      <c r="X24" s="1813"/>
      <c r="Y24" s="3182"/>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82"/>
      <c r="Q25" s="1810">
        <f>B25</f>
        <v>111</v>
      </c>
      <c r="R25" s="771" t="s">
        <v>17</v>
      </c>
      <c r="S25" s="772">
        <f>F25</f>
        <v>100</v>
      </c>
      <c r="T25" s="771" t="s">
        <v>17</v>
      </c>
      <c r="U25" s="772">
        <f>H25</f>
        <v>100</v>
      </c>
      <c r="V25" s="771" t="s">
        <v>17</v>
      </c>
      <c r="W25" s="772">
        <f>J25</f>
        <v>100</v>
      </c>
      <c r="X25" s="1813"/>
      <c r="Y25" s="3182"/>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82"/>
      <c r="Q26" s="1810">
        <f t="shared" ref="Q26:Q40" si="11">B26</f>
        <v>111</v>
      </c>
      <c r="R26" s="771" t="s">
        <v>17</v>
      </c>
      <c r="S26" s="772">
        <f>F26</f>
        <v>100</v>
      </c>
      <c r="T26" s="771" t="s">
        <v>17</v>
      </c>
      <c r="U26" s="772">
        <f>H26</f>
        <v>100</v>
      </c>
      <c r="V26" s="771" t="s">
        <v>17</v>
      </c>
      <c r="W26" s="772">
        <f>J26</f>
        <v>100</v>
      </c>
      <c r="X26" s="1813"/>
      <c r="Y26" s="3182"/>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82"/>
      <c r="Q27" s="1795">
        <f t="shared" si="11"/>
        <v>111</v>
      </c>
      <c r="R27" s="767" t="s">
        <v>17</v>
      </c>
      <c r="S27" s="768">
        <f>F27</f>
        <v>100</v>
      </c>
      <c r="T27" s="767" t="s">
        <v>17</v>
      </c>
      <c r="U27" s="768">
        <f>H27</f>
        <v>100</v>
      </c>
      <c r="V27" s="767" t="s">
        <v>17</v>
      </c>
      <c r="W27" s="768">
        <f>J27</f>
        <v>100</v>
      </c>
      <c r="X27" s="769"/>
      <c r="Y27" s="3182"/>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82"/>
      <c r="Q28" s="1810">
        <f t="shared" si="11"/>
        <v>111</v>
      </c>
      <c r="R28" s="771" t="s">
        <v>17</v>
      </c>
      <c r="S28" s="772">
        <f t="shared" ref="S28:S40" si="12">F28</f>
        <v>100</v>
      </c>
      <c r="T28" s="771" t="s">
        <v>17</v>
      </c>
      <c r="U28" s="772">
        <f t="shared" ref="U28:U40" si="13">H28</f>
        <v>100</v>
      </c>
      <c r="V28" s="771" t="s">
        <v>17</v>
      </c>
      <c r="W28" s="772">
        <f t="shared" ref="W28:W40" si="14">J28</f>
        <v>100</v>
      </c>
      <c r="X28" s="1813"/>
      <c r="Y28" s="3182"/>
      <c r="Z28" s="1814">
        <f t="shared" ref="Z28:Z40" si="15">Q28</f>
        <v>111</v>
      </c>
      <c r="AA28" s="1811">
        <f t="shared" si="3"/>
        <v>1</v>
      </c>
      <c r="AB28" s="1811">
        <f t="shared" si="4"/>
        <v>1</v>
      </c>
      <c r="AC28" s="1811">
        <f t="shared" si="5"/>
        <v>1</v>
      </c>
    </row>
    <row r="29" spans="1:29" ht="15">
      <c r="A29" s="465" t="s">
        <v>2568</v>
      </c>
      <c r="B29" s="70" t="s">
        <v>2698</v>
      </c>
      <c r="C29" s="2681"/>
      <c r="D29" s="466">
        <v>100</v>
      </c>
      <c r="E29" s="2681"/>
      <c r="F29" s="460">
        <f>SUMIF(88:88,E29,89:89)-SUMIF(88:88,C29,89:89)+100</f>
        <v>100</v>
      </c>
      <c r="G29" s="2681"/>
      <c r="H29" s="434">
        <f>SUMIF(88:88,G29,89:89)-SUMIF(88:88,C29,89:89)+100</f>
        <v>100</v>
      </c>
      <c r="I29" s="2681"/>
      <c r="J29" s="466">
        <f>SUMIF(88:88,I29,89:89)-SUMIF(88:88,C29,89:89)+100</f>
        <v>100</v>
      </c>
      <c r="K29" s="611"/>
      <c r="L29" s="1140"/>
      <c r="M29" s="1131"/>
      <c r="N29" s="1131"/>
      <c r="O29" s="1139"/>
      <c r="P29" s="3264" t="s">
        <v>2570</v>
      </c>
      <c r="Q29" s="1810" t="str">
        <f t="shared" si="11"/>
        <v>建筑类型</v>
      </c>
      <c r="R29" s="771" t="s">
        <v>17</v>
      </c>
      <c r="S29" s="772">
        <f t="shared" si="12"/>
        <v>100</v>
      </c>
      <c r="T29" s="771" t="s">
        <v>17</v>
      </c>
      <c r="U29" s="772">
        <f t="shared" si="13"/>
        <v>100</v>
      </c>
      <c r="V29" s="771" t="s">
        <v>17</v>
      </c>
      <c r="W29" s="772">
        <f t="shared" si="14"/>
        <v>100</v>
      </c>
      <c r="X29" s="1813"/>
      <c r="Y29" s="3186" t="s">
        <v>2570</v>
      </c>
      <c r="Z29" s="1814" t="str">
        <f t="shared" si="15"/>
        <v>建筑类型</v>
      </c>
      <c r="AA29" s="1811">
        <f t="shared" si="3"/>
        <v>1</v>
      </c>
      <c r="AB29" s="1811">
        <f t="shared" si="4"/>
        <v>1</v>
      </c>
      <c r="AC29" s="1811">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186"/>
      <c r="Q30" s="773" t="str">
        <f t="shared" si="11"/>
        <v>项目建筑规模</v>
      </c>
      <c r="R30" s="774" t="s">
        <v>17</v>
      </c>
      <c r="S30" s="775" t="e">
        <f t="shared" si="12"/>
        <v>#N/A</v>
      </c>
      <c r="T30" s="774" t="s">
        <v>17</v>
      </c>
      <c r="U30" s="775" t="e">
        <f t="shared" si="13"/>
        <v>#N/A</v>
      </c>
      <c r="V30" s="774" t="s">
        <v>17</v>
      </c>
      <c r="W30" s="775" t="e">
        <f t="shared" si="14"/>
        <v>#N/A</v>
      </c>
      <c r="X30" s="776"/>
      <c r="Y30" s="3186"/>
      <c r="Z30" s="777" t="str">
        <f t="shared" si="15"/>
        <v>项目建筑规模</v>
      </c>
      <c r="AA30" s="1811" t="e">
        <f t="shared" si="3"/>
        <v>#N/A</v>
      </c>
      <c r="AB30" s="1811" t="e">
        <f t="shared" si="4"/>
        <v>#N/A</v>
      </c>
      <c r="AC30" s="1811"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86"/>
      <c r="Q31" s="1810" t="str">
        <f t="shared" si="11"/>
        <v>建筑结构</v>
      </c>
      <c r="R31" s="771" t="s">
        <v>17</v>
      </c>
      <c r="S31" s="772">
        <f t="shared" si="12"/>
        <v>100</v>
      </c>
      <c r="T31" s="771" t="s">
        <v>17</v>
      </c>
      <c r="U31" s="772">
        <f t="shared" si="13"/>
        <v>100</v>
      </c>
      <c r="V31" s="771" t="s">
        <v>17</v>
      </c>
      <c r="W31" s="772">
        <f t="shared" si="14"/>
        <v>100</v>
      </c>
      <c r="X31" s="1813"/>
      <c r="Y31" s="3186"/>
      <c r="Z31" s="1814" t="str">
        <f t="shared" si="15"/>
        <v>建筑结构</v>
      </c>
      <c r="AA31" s="1811">
        <f t="shared" si="3"/>
        <v>1</v>
      </c>
      <c r="AB31" s="1811">
        <f t="shared" si="4"/>
        <v>1</v>
      </c>
      <c r="AC31" s="1811">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86"/>
      <c r="Q32" s="1810" t="str">
        <f t="shared" si="11"/>
        <v>公共部分装修</v>
      </c>
      <c r="R32" s="771" t="s">
        <v>17</v>
      </c>
      <c r="S32" s="772">
        <f t="shared" si="12"/>
        <v>100</v>
      </c>
      <c r="T32" s="771" t="s">
        <v>17</v>
      </c>
      <c r="U32" s="772">
        <f t="shared" si="13"/>
        <v>100</v>
      </c>
      <c r="V32" s="771" t="s">
        <v>17</v>
      </c>
      <c r="W32" s="772">
        <f t="shared" si="14"/>
        <v>100</v>
      </c>
      <c r="X32" s="1813"/>
      <c r="Y32" s="3186"/>
      <c r="Z32" s="1814" t="str">
        <f t="shared" si="15"/>
        <v>公共部分装修</v>
      </c>
      <c r="AA32" s="1811">
        <f t="shared" si="3"/>
        <v>1</v>
      </c>
      <c r="AB32" s="1811">
        <f t="shared" si="4"/>
        <v>1</v>
      </c>
      <c r="AC32" s="1811">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86"/>
      <c r="Q33" s="1810" t="str">
        <f t="shared" si="11"/>
        <v>成新度</v>
      </c>
      <c r="R33" s="771" t="s">
        <v>17</v>
      </c>
      <c r="S33" s="772" t="e">
        <f t="shared" si="12"/>
        <v>#N/A</v>
      </c>
      <c r="T33" s="771" t="s">
        <v>17</v>
      </c>
      <c r="U33" s="772" t="e">
        <f t="shared" si="13"/>
        <v>#N/A</v>
      </c>
      <c r="V33" s="771" t="s">
        <v>17</v>
      </c>
      <c r="W33" s="772" t="e">
        <f t="shared" si="14"/>
        <v>#N/A</v>
      </c>
      <c r="X33" s="1813"/>
      <c r="Y33" s="3186"/>
      <c r="Z33" s="1814" t="str">
        <f t="shared" si="15"/>
        <v>成新度</v>
      </c>
      <c r="AA33" s="1811" t="e">
        <f t="shared" si="3"/>
        <v>#N/A</v>
      </c>
      <c r="AB33" s="1811" t="e">
        <f t="shared" si="4"/>
        <v>#N/A</v>
      </c>
      <c r="AC33" s="1811"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86"/>
      <c r="Q34" s="1795" t="str">
        <f t="shared" si="11"/>
        <v>物业管理</v>
      </c>
      <c r="R34" s="767" t="s">
        <v>17</v>
      </c>
      <c r="S34" s="768">
        <f t="shared" si="12"/>
        <v>100</v>
      </c>
      <c r="T34" s="767" t="s">
        <v>17</v>
      </c>
      <c r="U34" s="768">
        <f t="shared" si="13"/>
        <v>100</v>
      </c>
      <c r="V34" s="767" t="s">
        <v>17</v>
      </c>
      <c r="W34" s="768">
        <f t="shared" si="14"/>
        <v>100</v>
      </c>
      <c r="X34" s="769"/>
      <c r="Y34" s="3186"/>
      <c r="Z34" s="54" t="str">
        <f t="shared" si="15"/>
        <v>物业管理</v>
      </c>
      <c r="AA34" s="770">
        <f t="shared" si="3"/>
        <v>1</v>
      </c>
      <c r="AB34" s="770">
        <f t="shared" si="4"/>
        <v>1</v>
      </c>
      <c r="AC34" s="770">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86" t="s">
        <v>2570</v>
      </c>
      <c r="Q35" s="1810" t="str">
        <f t="shared" si="11"/>
        <v>市政基础设施</v>
      </c>
      <c r="R35" s="771" t="s">
        <v>17</v>
      </c>
      <c r="S35" s="772">
        <f t="shared" si="12"/>
        <v>100</v>
      </c>
      <c r="T35" s="771" t="s">
        <v>17</v>
      </c>
      <c r="U35" s="772">
        <f t="shared" si="13"/>
        <v>100</v>
      </c>
      <c r="V35" s="771" t="s">
        <v>17</v>
      </c>
      <c r="W35" s="772">
        <f t="shared" si="14"/>
        <v>100</v>
      </c>
      <c r="X35" s="1813"/>
      <c r="Y35" s="3186" t="s">
        <v>2570</v>
      </c>
      <c r="Z35" s="1814" t="str">
        <f t="shared" si="15"/>
        <v>市政基础设施</v>
      </c>
      <c r="AA35" s="1811">
        <f t="shared" si="3"/>
        <v>1</v>
      </c>
      <c r="AB35" s="1811">
        <f t="shared" si="4"/>
        <v>1</v>
      </c>
      <c r="AC35" s="1811">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86"/>
      <c r="Q36" s="1810" t="str">
        <f t="shared" si="11"/>
        <v>内部装修</v>
      </c>
      <c r="R36" s="771" t="s">
        <v>17</v>
      </c>
      <c r="S36" s="772">
        <f t="shared" si="12"/>
        <v>100</v>
      </c>
      <c r="T36" s="771" t="s">
        <v>17</v>
      </c>
      <c r="U36" s="772">
        <f t="shared" si="13"/>
        <v>100</v>
      </c>
      <c r="V36" s="771" t="s">
        <v>17</v>
      </c>
      <c r="W36" s="772">
        <f t="shared" si="14"/>
        <v>100</v>
      </c>
      <c r="X36" s="1813"/>
      <c r="Y36" s="3186"/>
      <c r="Z36" s="1814" t="str">
        <f t="shared" si="15"/>
        <v>内部装修</v>
      </c>
      <c r="AA36" s="1811">
        <f t="shared" si="3"/>
        <v>1</v>
      </c>
      <c r="AB36" s="1811">
        <f t="shared" si="4"/>
        <v>1</v>
      </c>
      <c r="AC36" s="1811">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86"/>
      <c r="Q37" s="1810" t="str">
        <f t="shared" si="11"/>
        <v>内部装修状况</v>
      </c>
      <c r="R37" s="771" t="s">
        <v>17</v>
      </c>
      <c r="S37" s="772">
        <f t="shared" si="12"/>
        <v>100</v>
      </c>
      <c r="T37" s="771" t="s">
        <v>17</v>
      </c>
      <c r="U37" s="772">
        <f t="shared" si="13"/>
        <v>100</v>
      </c>
      <c r="V37" s="771" t="s">
        <v>17</v>
      </c>
      <c r="W37" s="772">
        <f t="shared" si="14"/>
        <v>100</v>
      </c>
      <c r="X37" s="1813"/>
      <c r="Y37" s="3186"/>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86"/>
      <c r="Q38" s="773">
        <f t="shared" si="11"/>
        <v>111</v>
      </c>
      <c r="R38" s="774" t="s">
        <v>17</v>
      </c>
      <c r="S38" s="775">
        <f t="shared" si="12"/>
        <v>100</v>
      </c>
      <c r="T38" s="774" t="s">
        <v>17</v>
      </c>
      <c r="U38" s="775">
        <f t="shared" si="13"/>
        <v>100</v>
      </c>
      <c r="V38" s="774" t="s">
        <v>17</v>
      </c>
      <c r="W38" s="775">
        <f t="shared" si="14"/>
        <v>100</v>
      </c>
      <c r="X38" s="776"/>
      <c r="Y38" s="3186"/>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86"/>
      <c r="Q39" s="1810">
        <f t="shared" si="11"/>
        <v>111</v>
      </c>
      <c r="R39" s="771" t="s">
        <v>17</v>
      </c>
      <c r="S39" s="772">
        <f t="shared" si="12"/>
        <v>100</v>
      </c>
      <c r="T39" s="771" t="s">
        <v>17</v>
      </c>
      <c r="U39" s="772">
        <f t="shared" si="13"/>
        <v>100</v>
      </c>
      <c r="V39" s="771" t="s">
        <v>17</v>
      </c>
      <c r="W39" s="772">
        <f t="shared" si="14"/>
        <v>100</v>
      </c>
      <c r="X39" s="1813"/>
      <c r="Y39" s="3186"/>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187"/>
      <c r="Q40" s="1810">
        <f t="shared" si="11"/>
        <v>111</v>
      </c>
      <c r="R40" s="771" t="s">
        <v>17</v>
      </c>
      <c r="S40" s="772">
        <f t="shared" si="12"/>
        <v>100</v>
      </c>
      <c r="T40" s="771" t="s">
        <v>17</v>
      </c>
      <c r="U40" s="772">
        <f t="shared" si="13"/>
        <v>100</v>
      </c>
      <c r="V40" s="771" t="s">
        <v>17</v>
      </c>
      <c r="W40" s="772">
        <f t="shared" si="14"/>
        <v>100</v>
      </c>
      <c r="X40" s="1813"/>
      <c r="Y40" s="3187"/>
      <c r="Z40" s="1814">
        <f t="shared" si="15"/>
        <v>111</v>
      </c>
      <c r="AA40" s="1811">
        <f t="shared" si="3"/>
        <v>1</v>
      </c>
      <c r="AB40" s="1811">
        <f t="shared" si="4"/>
        <v>1</v>
      </c>
      <c r="AC40" s="1811">
        <f t="shared" si="5"/>
        <v>1</v>
      </c>
    </row>
    <row r="41" spans="1:29" ht="15">
      <c r="A41" s="478" t="s">
        <v>2582</v>
      </c>
      <c r="B41" s="479"/>
      <c r="C41" s="1407" t="s">
        <v>1</v>
      </c>
      <c r="D41" s="1408"/>
      <c r="E41" s="1409"/>
      <c r="F41" s="1410"/>
      <c r="G41" s="1411"/>
      <c r="H41" s="1412"/>
      <c r="I41" s="1409"/>
      <c r="J41" s="1412"/>
      <c r="K41" s="780"/>
      <c r="L41" s="1143"/>
      <c r="M41" s="1144"/>
      <c r="N41" s="1131"/>
      <c r="O41" s="1144"/>
      <c r="P41" s="3188" t="str">
        <f>A41</f>
        <v>成交单价（元/平方米）</v>
      </c>
      <c r="Q41" s="3188"/>
      <c r="R41" s="3189">
        <f>E41</f>
        <v>0</v>
      </c>
      <c r="S41" s="3189"/>
      <c r="T41" s="3189">
        <f>G41</f>
        <v>0</v>
      </c>
      <c r="U41" s="3189"/>
      <c r="V41" s="3189">
        <f>I41</f>
        <v>0</v>
      </c>
      <c r="W41" s="3189"/>
      <c r="X41" s="756"/>
      <c r="Y41" s="778"/>
      <c r="Z41" s="756"/>
      <c r="AA41" s="756"/>
      <c r="AB41" s="756"/>
      <c r="AC41" s="756"/>
    </row>
    <row r="42" spans="1:29" ht="15.75" thickBot="1">
      <c r="A42" s="485" t="s">
        <v>2674</v>
      </c>
      <c r="B42" s="486"/>
      <c r="C42" s="1413" t="e">
        <f>R43</f>
        <v>#DIV/0!</v>
      </c>
      <c r="D42" s="1414"/>
      <c r="E42" s="1415" t="e">
        <f>R42</f>
        <v>#DIV/0!</v>
      </c>
      <c r="F42" s="1415"/>
      <c r="G42" s="1413" t="e">
        <f>T42</f>
        <v>#DIV/0!</v>
      </c>
      <c r="H42" s="1414"/>
      <c r="I42" s="1415" t="e">
        <f>V42</f>
        <v>#DIV/0!</v>
      </c>
      <c r="J42" s="1414"/>
      <c r="K42" s="781"/>
      <c r="L42" s="1143"/>
      <c r="M42" s="1144"/>
      <c r="N42" s="1131"/>
      <c r="O42" s="1144"/>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6"/>
      <c r="Y42" s="756"/>
      <c r="Z42" s="756"/>
      <c r="AA42" s="756"/>
      <c r="AB42" s="756"/>
      <c r="AC42" s="756"/>
    </row>
    <row r="43" spans="1:29" ht="15.75" thickBot="1">
      <c r="A43" s="491" t="s">
        <v>2675</v>
      </c>
      <c r="B43" s="492"/>
      <c r="C43" s="1417" t="e">
        <f>R43</f>
        <v>#DIV/0!</v>
      </c>
      <c r="D43" s="1417"/>
      <c r="E43" s="1417"/>
      <c r="F43" s="1417"/>
      <c r="G43" s="1417"/>
      <c r="H43" s="1417"/>
      <c r="I43" s="1417"/>
      <c r="J43" s="1417"/>
      <c r="K43" s="782"/>
      <c r="L43" s="1143"/>
      <c r="M43" s="1144"/>
      <c r="N43" s="1144"/>
      <c r="O43" s="1144"/>
      <c r="P43" s="3190" t="str">
        <f>A43</f>
        <v>估价对象XX用房的比较价值（楼面单价，元/平方米）</v>
      </c>
      <c r="Q43" s="3191"/>
      <c r="R43" s="3192" t="e">
        <f>IF(F1="售价",ROUND(AVERAGE(R42:V42),0),ROUND(AVERAGE(R42:V42),1))</f>
        <v>#DIV/0!</v>
      </c>
      <c r="S43" s="3192"/>
      <c r="T43" s="3192"/>
      <c r="U43" s="3192"/>
      <c r="V43" s="3192"/>
      <c r="W43" s="3192"/>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2679</v>
      </c>
      <c r="B51" s="756"/>
      <c r="C51" s="761"/>
      <c r="D51" s="761"/>
      <c r="E51" s="761"/>
      <c r="F51" s="762"/>
      <c r="G51" s="762"/>
      <c r="H51" s="761"/>
      <c r="I51" s="761"/>
      <c r="J51" s="761"/>
      <c r="K51" s="1160"/>
      <c r="L51" s="1161"/>
      <c r="M51" s="1159"/>
      <c r="N51" s="1159"/>
      <c r="O51" s="1159"/>
      <c r="P51" s="502"/>
      <c r="Q51" s="503"/>
    </row>
    <row r="52" spans="1:17" s="507" customFormat="1" ht="15">
      <c r="A52" s="504" t="s">
        <v>2553</v>
      </c>
      <c r="B52" s="505"/>
      <c r="C52" s="1574" t="str">
        <f>YEAR(C7)&amp;"-"&amp;MONTH(C7)</f>
        <v>2018-4</v>
      </c>
      <c r="D52" s="1575">
        <f>EDATE(C52,-1)</f>
        <v>43160</v>
      </c>
      <c r="E52" s="1575">
        <f t="shared" ref="E52:O52" si="16">EDATE(D52,-1)</f>
        <v>43132</v>
      </c>
      <c r="F52" s="1575">
        <f t="shared" si="16"/>
        <v>43101</v>
      </c>
      <c r="G52" s="1575">
        <f t="shared" si="16"/>
        <v>43070</v>
      </c>
      <c r="H52" s="1575">
        <f t="shared" si="16"/>
        <v>43040</v>
      </c>
      <c r="I52" s="1575">
        <f t="shared" si="16"/>
        <v>43009</v>
      </c>
      <c r="J52" s="1575">
        <f t="shared" si="16"/>
        <v>42979</v>
      </c>
      <c r="K52" s="1575">
        <f t="shared" si="16"/>
        <v>42948</v>
      </c>
      <c r="L52" s="1575">
        <f t="shared" si="16"/>
        <v>42917</v>
      </c>
      <c r="M52" s="1575">
        <f t="shared" si="16"/>
        <v>42887</v>
      </c>
      <c r="N52" s="1575">
        <f t="shared" si="16"/>
        <v>42856</v>
      </c>
      <c r="O52" s="1575">
        <f t="shared" si="16"/>
        <v>42826</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2593</v>
      </c>
      <c r="B57" s="527" t="s">
        <v>2559</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2694</v>
      </c>
      <c r="C76" s="659" t="s">
        <v>2680</v>
      </c>
      <c r="D76" s="659" t="s">
        <v>2681</v>
      </c>
      <c r="E76" s="659" t="s">
        <v>2682</v>
      </c>
      <c r="F76" s="659" t="s">
        <v>2683</v>
      </c>
      <c r="G76" s="659" t="s">
        <v>2684</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8"/>
      <c r="B87" s="568"/>
      <c r="C87" s="569"/>
      <c r="D87" s="569"/>
      <c r="E87" s="569"/>
      <c r="F87" s="569"/>
      <c r="G87" s="590"/>
      <c r="H87" s="590"/>
      <c r="I87" s="590"/>
      <c r="J87" s="590"/>
      <c r="K87" s="590"/>
      <c r="L87" s="590"/>
      <c r="M87" s="591"/>
      <c r="N87" s="1153"/>
      <c r="O87" s="1153"/>
      <c r="P87" s="44"/>
      <c r="Q87" s="503"/>
    </row>
    <row r="88" spans="1:17">
      <c r="A88" s="526" t="s">
        <v>2568</v>
      </c>
      <c r="B88" s="527" t="s">
        <v>2617</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2619</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2621</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2622</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2623</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2625</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8"/>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22"/>
      <c r="F1" s="2586"/>
      <c r="G1" s="1623" t="s">
        <v>2648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2332</v>
      </c>
      <c r="B2" s="1418" t="e">
        <f ca="1">IF(C2="——",IF(B37="元/平方米",ROUND(C39*D3/10000,0),ROUND(F3*C39/10000,0)),IF(B37="元/平方米",ROUND(C39*D3/10000,0),ROUND(F3*C39/10000,0))-D2)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2650</v>
      </c>
      <c r="B4" s="401"/>
      <c r="C4" s="3166" t="s">
        <v>2651</v>
      </c>
      <c r="D4" s="3167"/>
      <c r="E4" s="3168" t="s">
        <v>2652</v>
      </c>
      <c r="F4" s="3169"/>
      <c r="G4" s="3166" t="s">
        <v>2653</v>
      </c>
      <c r="H4" s="3167"/>
      <c r="I4" s="3166" t="s">
        <v>2654</v>
      </c>
      <c r="J4" s="3167"/>
      <c r="K4" s="609" t="s">
        <v>2655</v>
      </c>
      <c r="L4" s="1130"/>
      <c r="M4" s="1131"/>
      <c r="N4" s="1131"/>
      <c r="O4" s="1131"/>
      <c r="P4" s="3170" t="s">
        <v>2656</v>
      </c>
      <c r="Q4" s="3171"/>
      <c r="R4" s="3151" t="s">
        <v>2652</v>
      </c>
      <c r="S4" s="3152"/>
      <c r="T4" s="3151" t="s">
        <v>2653</v>
      </c>
      <c r="U4" s="3152"/>
      <c r="V4" s="3148" t="s">
        <v>2654</v>
      </c>
      <c r="W4" s="3148"/>
      <c r="X4" s="1813"/>
      <c r="Y4" s="3151" t="s">
        <v>2656</v>
      </c>
      <c r="Z4" s="3152"/>
      <c r="AA4" s="3145" t="s">
        <v>2652</v>
      </c>
      <c r="AB4" s="3146" t="s">
        <v>2653</v>
      </c>
      <c r="AC4" s="3145" t="s">
        <v>2654</v>
      </c>
    </row>
    <row r="5" spans="1:29" ht="15">
      <c r="A5" s="403"/>
      <c r="B5" s="404"/>
      <c r="C5" s="3157" t="s">
        <v>2547</v>
      </c>
      <c r="D5" s="3158"/>
      <c r="E5" s="3247" t="s">
        <v>2548</v>
      </c>
      <c r="F5" s="3156"/>
      <c r="G5" s="3157" t="s">
        <v>2549</v>
      </c>
      <c r="H5" s="3158"/>
      <c r="I5" s="3157" t="s">
        <v>2550</v>
      </c>
      <c r="J5" s="3158"/>
      <c r="K5" s="609"/>
      <c r="L5" s="1130"/>
      <c r="M5" s="1131"/>
      <c r="N5" s="1131"/>
      <c r="O5" s="1131"/>
      <c r="P5" s="3172"/>
      <c r="Q5" s="3173"/>
      <c r="R5" s="3153"/>
      <c r="S5" s="3154"/>
      <c r="T5" s="3153"/>
      <c r="U5" s="3154"/>
      <c r="V5" s="3148"/>
      <c r="W5" s="3148"/>
      <c r="X5" s="1813"/>
      <c r="Y5" s="3153"/>
      <c r="Z5" s="3154"/>
      <c r="AA5" s="3146"/>
      <c r="AB5" s="3146"/>
      <c r="AC5" s="3146"/>
    </row>
    <row r="6" spans="1:29" ht="15.75" thickBot="1">
      <c r="A6" s="405"/>
      <c r="B6" s="406"/>
      <c r="C6" s="3159" t="s">
        <v>2551</v>
      </c>
      <c r="D6" s="3160"/>
      <c r="E6" s="3248" t="s">
        <v>2551</v>
      </c>
      <c r="F6" s="3163"/>
      <c r="G6" s="3159" t="s">
        <v>2551</v>
      </c>
      <c r="H6" s="3160"/>
      <c r="I6" s="3159" t="s">
        <v>2551</v>
      </c>
      <c r="J6" s="3160"/>
      <c r="K6" s="609" t="s">
        <v>2552</v>
      </c>
      <c r="L6" s="1130"/>
      <c r="M6" s="1131"/>
      <c r="N6" s="1131"/>
      <c r="O6" s="1131"/>
      <c r="P6" s="3174"/>
      <c r="Q6" s="3175"/>
      <c r="R6" s="3153"/>
      <c r="S6" s="3154"/>
      <c r="T6" s="3176"/>
      <c r="U6" s="3177"/>
      <c r="V6" s="3148"/>
      <c r="W6" s="3148"/>
      <c r="X6" s="1813"/>
      <c r="Y6" s="3176"/>
      <c r="Z6" s="3177"/>
      <c r="AA6" s="3147"/>
      <c r="AB6" s="3147"/>
      <c r="AC6" s="3147"/>
    </row>
    <row r="7" spans="1:29" s="116" customFormat="1" ht="15.75" thickBot="1">
      <c r="A7" s="407" t="s">
        <v>2553</v>
      </c>
      <c r="B7" s="408"/>
      <c r="C7" s="409">
        <f>'数据-取费表'!B2</f>
        <v>43208</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49" t="s">
        <v>2554</v>
      </c>
      <c r="Q7" s="3178"/>
      <c r="R7" s="767" t="s">
        <v>17</v>
      </c>
      <c r="S7" s="768">
        <f t="shared" ref="S7:S14" si="0">F7</f>
        <v>0</v>
      </c>
      <c r="T7" s="767" t="s">
        <v>17</v>
      </c>
      <c r="U7" s="768">
        <f t="shared" ref="U7:U14" si="1">H7</f>
        <v>0</v>
      </c>
      <c r="V7" s="767" t="s">
        <v>17</v>
      </c>
      <c r="W7" s="768">
        <f t="shared" ref="W7:W14" si="2">J7</f>
        <v>0</v>
      </c>
      <c r="X7" s="769"/>
      <c r="Y7" s="3149" t="s">
        <v>2554</v>
      </c>
      <c r="Z7" s="3150"/>
      <c r="AA7" s="770" t="e">
        <f>D7/F7</f>
        <v>#DIV/0!</v>
      </c>
      <c r="AB7" s="770" t="e">
        <f>D7/H7</f>
        <v>#DIV/0!</v>
      </c>
      <c r="AC7" s="770"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49" t="s">
        <v>2557</v>
      </c>
      <c r="Q8" s="3150"/>
      <c r="R8" s="767" t="s">
        <v>17</v>
      </c>
      <c r="S8" s="768">
        <f t="shared" si="0"/>
        <v>0</v>
      </c>
      <c r="T8" s="767" t="s">
        <v>17</v>
      </c>
      <c r="U8" s="768">
        <f t="shared" si="1"/>
        <v>0</v>
      </c>
      <c r="V8" s="767" t="s">
        <v>17</v>
      </c>
      <c r="W8" s="768">
        <f t="shared" si="2"/>
        <v>0</v>
      </c>
      <c r="X8" s="769"/>
      <c r="Y8" s="3149" t="s">
        <v>2557</v>
      </c>
      <c r="Z8" s="3150"/>
      <c r="AA8" s="770" t="e">
        <f t="shared" ref="AA8:AA36" si="3">D8/F8</f>
        <v>#DIV/0!</v>
      </c>
      <c r="AB8" s="770" t="e">
        <f t="shared" ref="AB8:AB36" si="4">D8/H8</f>
        <v>#DIV/0!</v>
      </c>
      <c r="AC8" s="770" t="e">
        <f t="shared" ref="AC8:AC36" si="5">D8/J8</f>
        <v>#DIV/0!</v>
      </c>
    </row>
    <row r="9" spans="1:29" s="116" customFormat="1">
      <c r="A9" s="67"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188" t="s">
        <v>2560</v>
      </c>
      <c r="Q9" s="1795" t="str">
        <f t="shared" ref="Q9:Q14" si="6">B9</f>
        <v>用途</v>
      </c>
      <c r="R9" s="767" t="s">
        <v>17</v>
      </c>
      <c r="S9" s="768">
        <f t="shared" si="0"/>
        <v>100</v>
      </c>
      <c r="T9" s="767" t="s">
        <v>17</v>
      </c>
      <c r="U9" s="768">
        <f t="shared" si="1"/>
        <v>100</v>
      </c>
      <c r="V9" s="767" t="s">
        <v>17</v>
      </c>
      <c r="W9" s="768">
        <f t="shared" si="2"/>
        <v>100</v>
      </c>
      <c r="X9" s="769"/>
      <c r="Y9" s="3021" t="s">
        <v>2561</v>
      </c>
      <c r="Z9" s="54" t="str">
        <f t="shared" ref="Z9:Z14" si="7">Q9</f>
        <v>用途</v>
      </c>
      <c r="AA9" s="770">
        <f t="shared" si="3"/>
        <v>1</v>
      </c>
      <c r="AB9" s="770">
        <f t="shared" si="4"/>
        <v>1</v>
      </c>
      <c r="AC9" s="770">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188"/>
      <c r="Q10" s="1795"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188"/>
      <c r="Q11" s="1795">
        <f t="shared" si="6"/>
        <v>111</v>
      </c>
      <c r="R11" s="767" t="s">
        <v>17</v>
      </c>
      <c r="S11" s="768">
        <f t="shared" si="0"/>
        <v>100</v>
      </c>
      <c r="T11" s="767" t="s">
        <v>17</v>
      </c>
      <c r="U11" s="768">
        <f t="shared" si="1"/>
        <v>100</v>
      </c>
      <c r="V11" s="767" t="s">
        <v>17</v>
      </c>
      <c r="W11" s="768">
        <f t="shared" si="2"/>
        <v>100</v>
      </c>
      <c r="X11" s="769"/>
      <c r="Y11" s="3021"/>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188"/>
      <c r="Q12" s="1795">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188"/>
      <c r="Q13" s="1795">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85.5">
      <c r="A14" s="400" t="s">
        <v>2564</v>
      </c>
      <c r="B14" s="628"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81" t="s">
        <v>2565</v>
      </c>
      <c r="Q14" s="1810" t="str">
        <f t="shared" si="6"/>
        <v>交通便捷度</v>
      </c>
      <c r="R14" s="771" t="s">
        <v>17</v>
      </c>
      <c r="S14" s="772">
        <f t="shared" si="0"/>
        <v>100</v>
      </c>
      <c r="T14" s="771" t="s">
        <v>17</v>
      </c>
      <c r="U14" s="772">
        <f t="shared" si="1"/>
        <v>100</v>
      </c>
      <c r="V14" s="771" t="s">
        <v>17</v>
      </c>
      <c r="W14" s="772">
        <f t="shared" si="2"/>
        <v>100</v>
      </c>
      <c r="X14" s="1813"/>
      <c r="Y14" s="3181" t="s">
        <v>2565</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182"/>
      <c r="Q15" s="1810"/>
      <c r="R15" s="771"/>
      <c r="S15" s="772"/>
      <c r="T15" s="771"/>
      <c r="U15" s="772"/>
      <c r="V15" s="771"/>
      <c r="W15" s="772"/>
      <c r="X15" s="1813"/>
      <c r="Y15" s="3182"/>
      <c r="Z15" s="1814"/>
      <c r="AA15" s="1811">
        <v>1</v>
      </c>
      <c r="AB15" s="1811">
        <v>1</v>
      </c>
      <c r="AC15" s="1811">
        <v>1</v>
      </c>
    </row>
    <row r="16" spans="1:29" ht="42.75">
      <c r="A16" s="403"/>
      <c r="B16" s="630" t="s">
        <v>2693</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82"/>
      <c r="Q16" s="1810" t="str">
        <f>B16</f>
        <v>公共配套设施</v>
      </c>
      <c r="R16" s="771" t="s">
        <v>17</v>
      </c>
      <c r="S16" s="772">
        <f>F16</f>
        <v>100</v>
      </c>
      <c r="T16" s="771" t="s">
        <v>17</v>
      </c>
      <c r="U16" s="772">
        <f>H16</f>
        <v>100</v>
      </c>
      <c r="V16" s="771" t="s">
        <v>17</v>
      </c>
      <c r="W16" s="772">
        <f>J16</f>
        <v>100</v>
      </c>
      <c r="X16" s="1813"/>
      <c r="Y16" s="3182"/>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0"/>
      <c r="M17" s="1131"/>
      <c r="N17" s="1131"/>
      <c r="O17" s="1131"/>
      <c r="P17" s="3182"/>
      <c r="Q17" s="1810"/>
      <c r="R17" s="771"/>
      <c r="S17" s="772"/>
      <c r="T17" s="771"/>
      <c r="U17" s="772"/>
      <c r="V17" s="771"/>
      <c r="W17" s="772"/>
      <c r="X17" s="1813"/>
      <c r="Y17" s="3182"/>
      <c r="Z17" s="1814"/>
      <c r="AA17" s="1811">
        <v>1</v>
      </c>
      <c r="AB17" s="1811">
        <v>1</v>
      </c>
      <c r="AC17" s="1811">
        <v>1</v>
      </c>
    </row>
    <row r="18" spans="1:29" ht="28.5">
      <c r="A18" s="403"/>
      <c r="B18" s="632" t="s">
        <v>2694</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82"/>
      <c r="Q18" s="1810" t="str">
        <f>B18</f>
        <v>基础设施水平</v>
      </c>
      <c r="R18" s="771" t="s">
        <v>17</v>
      </c>
      <c r="S18" s="772">
        <f>F18</f>
        <v>100</v>
      </c>
      <c r="T18" s="771" t="s">
        <v>17</v>
      </c>
      <c r="U18" s="772">
        <f>H18</f>
        <v>100</v>
      </c>
      <c r="V18" s="771" t="s">
        <v>17</v>
      </c>
      <c r="W18" s="772">
        <f>J18</f>
        <v>100</v>
      </c>
      <c r="X18" s="1813"/>
      <c r="Y18" s="3182"/>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3"/>
      <c r="L19" s="1140"/>
      <c r="M19" s="1131"/>
      <c r="N19" s="1131"/>
      <c r="O19" s="1131"/>
      <c r="P19" s="3182"/>
      <c r="Q19" s="1810"/>
      <c r="R19" s="771"/>
      <c r="S19" s="772"/>
      <c r="T19" s="771"/>
      <c r="U19" s="772"/>
      <c r="V19" s="771"/>
      <c r="W19" s="772"/>
      <c r="X19" s="1813"/>
      <c r="Y19" s="3182"/>
      <c r="Z19" s="1814"/>
      <c r="AA19" s="1811">
        <v>1</v>
      </c>
      <c r="AB19" s="1811">
        <v>1</v>
      </c>
      <c r="AC19" s="1811">
        <v>1</v>
      </c>
    </row>
    <row r="20" spans="1:29" ht="57">
      <c r="A20" s="403"/>
      <c r="B20" s="630" t="s">
        <v>2715</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82"/>
      <c r="Q20" s="1810" t="str">
        <f>B20</f>
        <v>自然及人文环境</v>
      </c>
      <c r="R20" s="771" t="s">
        <v>17</v>
      </c>
      <c r="S20" s="772">
        <f>F20</f>
        <v>100</v>
      </c>
      <c r="T20" s="771" t="s">
        <v>17</v>
      </c>
      <c r="U20" s="772">
        <f>H20</f>
        <v>100</v>
      </c>
      <c r="V20" s="771" t="s">
        <v>17</v>
      </c>
      <c r="W20" s="772">
        <f>J20</f>
        <v>100</v>
      </c>
      <c r="X20" s="1813"/>
      <c r="Y20" s="3182"/>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182"/>
      <c r="Q21" s="1810"/>
      <c r="R21" s="771"/>
      <c r="S21" s="772"/>
      <c r="T21" s="771"/>
      <c r="U21" s="772"/>
      <c r="V21" s="771"/>
      <c r="W21" s="772"/>
      <c r="X21" s="1813"/>
      <c r="Y21" s="3182"/>
      <c r="Z21" s="1814"/>
      <c r="AA21" s="1811">
        <v>1</v>
      </c>
      <c r="AB21" s="1811">
        <v>1</v>
      </c>
      <c r="AC21" s="1811">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82"/>
      <c r="Q22" s="1810" t="str">
        <f>B22</f>
        <v>楼层</v>
      </c>
      <c r="R22" s="771" t="s">
        <v>17</v>
      </c>
      <c r="S22" s="772">
        <f>F22</f>
        <v>100</v>
      </c>
      <c r="T22" s="771" t="s">
        <v>17</v>
      </c>
      <c r="U22" s="772">
        <f>H22</f>
        <v>100</v>
      </c>
      <c r="V22" s="771" t="s">
        <v>17</v>
      </c>
      <c r="W22" s="772">
        <f>J22</f>
        <v>100</v>
      </c>
      <c r="X22" s="1813"/>
      <c r="Y22" s="3182"/>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82"/>
      <c r="Q23" s="1810">
        <f>B23</f>
        <v>111</v>
      </c>
      <c r="R23" s="771" t="s">
        <v>17</v>
      </c>
      <c r="S23" s="772">
        <f>F23</f>
        <v>100</v>
      </c>
      <c r="T23" s="771" t="s">
        <v>17</v>
      </c>
      <c r="U23" s="772">
        <f>H23</f>
        <v>100</v>
      </c>
      <c r="V23" s="771" t="s">
        <v>17</v>
      </c>
      <c r="W23" s="772">
        <f>J23</f>
        <v>100</v>
      </c>
      <c r="X23" s="1813"/>
      <c r="Y23" s="3182"/>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82"/>
      <c r="Q24" s="1810">
        <f t="shared" ref="Q24:Q36" si="11">B24</f>
        <v>111</v>
      </c>
      <c r="R24" s="771" t="s">
        <v>17</v>
      </c>
      <c r="S24" s="772">
        <f>F24</f>
        <v>100</v>
      </c>
      <c r="T24" s="771" t="s">
        <v>17</v>
      </c>
      <c r="U24" s="772">
        <f>H24</f>
        <v>100</v>
      </c>
      <c r="V24" s="771" t="s">
        <v>17</v>
      </c>
      <c r="W24" s="772">
        <f>J24</f>
        <v>100</v>
      </c>
      <c r="X24" s="1813"/>
      <c r="Y24" s="3182"/>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82"/>
      <c r="Q25" s="1795">
        <f t="shared" si="11"/>
        <v>111</v>
      </c>
      <c r="R25" s="767" t="s">
        <v>17</v>
      </c>
      <c r="S25" s="768">
        <f>F25</f>
        <v>100</v>
      </c>
      <c r="T25" s="767" t="s">
        <v>17</v>
      </c>
      <c r="U25" s="768">
        <f>H25</f>
        <v>100</v>
      </c>
      <c r="V25" s="767" t="s">
        <v>17</v>
      </c>
      <c r="W25" s="768">
        <f>J25</f>
        <v>100</v>
      </c>
      <c r="X25" s="769"/>
      <c r="Y25" s="3182"/>
      <c r="Z25" s="54">
        <f>Q25</f>
        <v>111</v>
      </c>
      <c r="AA25" s="1811">
        <f>D25/F25</f>
        <v>1</v>
      </c>
      <c r="AB25" s="1811">
        <f>D25/H25</f>
        <v>1</v>
      </c>
      <c r="AC25" s="1811">
        <f>D25/J25</f>
        <v>1</v>
      </c>
    </row>
    <row r="26" spans="1:29" ht="15">
      <c r="A26" s="651" t="s">
        <v>2568</v>
      </c>
      <c r="B26" s="69"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64" t="s">
        <v>2570</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186" t="s">
        <v>2570</v>
      </c>
      <c r="Z26" s="1814" t="str">
        <f t="shared" ref="Z26:Z36" si="15">Q26</f>
        <v>配套类型</v>
      </c>
      <c r="AA26" s="1811">
        <f t="shared" si="3"/>
        <v>1</v>
      </c>
      <c r="AB26" s="1811">
        <f t="shared" si="4"/>
        <v>1</v>
      </c>
      <c r="AC26" s="1811">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186"/>
      <c r="Q27" s="773" t="str">
        <f t="shared" si="11"/>
        <v>项目停车位配比</v>
      </c>
      <c r="R27" s="774" t="s">
        <v>17</v>
      </c>
      <c r="S27" s="775">
        <f t="shared" si="12"/>
        <v>100</v>
      </c>
      <c r="T27" s="774" t="s">
        <v>17</v>
      </c>
      <c r="U27" s="775">
        <f t="shared" si="13"/>
        <v>100</v>
      </c>
      <c r="V27" s="774" t="s">
        <v>17</v>
      </c>
      <c r="W27" s="775">
        <f t="shared" si="14"/>
        <v>100</v>
      </c>
      <c r="X27" s="776"/>
      <c r="Y27" s="3186"/>
      <c r="Z27" s="777" t="str">
        <f t="shared" si="15"/>
        <v>项目停车位配比</v>
      </c>
      <c r="AA27" s="1811">
        <f t="shared" si="3"/>
        <v>1</v>
      </c>
      <c r="AB27" s="1811">
        <f t="shared" si="4"/>
        <v>1</v>
      </c>
      <c r="AC27" s="1811">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86"/>
      <c r="Q28" s="1810" t="str">
        <f t="shared" si="11"/>
        <v>公共部分装修</v>
      </c>
      <c r="R28" s="771" t="s">
        <v>17</v>
      </c>
      <c r="S28" s="772">
        <f t="shared" si="12"/>
        <v>100</v>
      </c>
      <c r="T28" s="771" t="s">
        <v>17</v>
      </c>
      <c r="U28" s="772">
        <f t="shared" si="13"/>
        <v>100</v>
      </c>
      <c r="V28" s="771" t="s">
        <v>17</v>
      </c>
      <c r="W28" s="772">
        <f t="shared" si="14"/>
        <v>100</v>
      </c>
      <c r="X28" s="1813"/>
      <c r="Y28" s="3186"/>
      <c r="Z28" s="1814" t="str">
        <f t="shared" si="15"/>
        <v>公共部分装修</v>
      </c>
      <c r="AA28" s="1811">
        <f t="shared" si="3"/>
        <v>1</v>
      </c>
      <c r="AB28" s="1811">
        <f t="shared" si="4"/>
        <v>1</v>
      </c>
      <c r="AC28" s="1811">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86"/>
      <c r="Q29" s="1810" t="str">
        <f t="shared" si="11"/>
        <v>成新率</v>
      </c>
      <c r="R29" s="771" t="s">
        <v>17</v>
      </c>
      <c r="S29" s="772" t="e">
        <f t="shared" si="12"/>
        <v>#N/A</v>
      </c>
      <c r="T29" s="771" t="s">
        <v>17</v>
      </c>
      <c r="U29" s="772" t="e">
        <f t="shared" si="13"/>
        <v>#N/A</v>
      </c>
      <c r="V29" s="771" t="s">
        <v>17</v>
      </c>
      <c r="W29" s="772" t="e">
        <f t="shared" si="14"/>
        <v>#N/A</v>
      </c>
      <c r="X29" s="1813"/>
      <c r="Y29" s="3186"/>
      <c r="Z29" s="1814" t="str">
        <f t="shared" si="15"/>
        <v>成新率</v>
      </c>
      <c r="AA29" s="1811" t="e">
        <f t="shared" si="3"/>
        <v>#N/A</v>
      </c>
      <c r="AB29" s="1811" t="e">
        <f t="shared" si="4"/>
        <v>#N/A</v>
      </c>
      <c r="AC29" s="1811"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186"/>
      <c r="Q30" s="1810" t="str">
        <f t="shared" si="11"/>
        <v>物业等级</v>
      </c>
      <c r="R30" s="771" t="s">
        <v>17</v>
      </c>
      <c r="S30" s="772">
        <f t="shared" si="12"/>
        <v>100</v>
      </c>
      <c r="T30" s="771" t="s">
        <v>17</v>
      </c>
      <c r="U30" s="772">
        <f t="shared" si="13"/>
        <v>100</v>
      </c>
      <c r="V30" s="771" t="s">
        <v>17</v>
      </c>
      <c r="W30" s="772">
        <f t="shared" si="14"/>
        <v>100</v>
      </c>
      <c r="X30" s="1813"/>
      <c r="Y30" s="3186"/>
      <c r="Z30" s="1814" t="str">
        <f t="shared" si="15"/>
        <v>物业等级</v>
      </c>
      <c r="AA30" s="1811">
        <f t="shared" si="3"/>
        <v>1</v>
      </c>
      <c r="AB30" s="1811">
        <f t="shared" si="4"/>
        <v>1</v>
      </c>
      <c r="AC30" s="1811">
        <f t="shared" si="5"/>
        <v>1</v>
      </c>
    </row>
    <row r="31" spans="1:29" s="116"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86"/>
      <c r="Q31" s="1795" t="str">
        <f t="shared" si="11"/>
        <v>停车位面积</v>
      </c>
      <c r="R31" s="767" t="s">
        <v>17</v>
      </c>
      <c r="S31" s="768" t="e">
        <f t="shared" si="12"/>
        <v>#N/A</v>
      </c>
      <c r="T31" s="767" t="s">
        <v>17</v>
      </c>
      <c r="U31" s="768" t="e">
        <f t="shared" si="13"/>
        <v>#N/A</v>
      </c>
      <c r="V31" s="767" t="s">
        <v>17</v>
      </c>
      <c r="W31" s="768" t="e">
        <f t="shared" si="14"/>
        <v>#N/A</v>
      </c>
      <c r="X31" s="769"/>
      <c r="Y31" s="3186"/>
      <c r="Z31" s="54" t="str">
        <f t="shared" si="15"/>
        <v>停车位面积</v>
      </c>
      <c r="AA31" s="770" t="e">
        <f t="shared" si="3"/>
        <v>#N/A</v>
      </c>
      <c r="AB31" s="770" t="e">
        <f t="shared" si="4"/>
        <v>#N/A</v>
      </c>
      <c r="AC31" s="770"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86" t="s">
        <v>2570</v>
      </c>
      <c r="Q32" s="1810" t="str">
        <f t="shared" si="11"/>
        <v>车位类型</v>
      </c>
      <c r="R32" s="771" t="s">
        <v>17</v>
      </c>
      <c r="S32" s="772">
        <f t="shared" si="12"/>
        <v>100</v>
      </c>
      <c r="T32" s="771" t="s">
        <v>17</v>
      </c>
      <c r="U32" s="772">
        <f t="shared" si="13"/>
        <v>100</v>
      </c>
      <c r="V32" s="771" t="s">
        <v>17</v>
      </c>
      <c r="W32" s="772">
        <f t="shared" si="14"/>
        <v>100</v>
      </c>
      <c r="X32" s="1813"/>
      <c r="Y32" s="3186" t="s">
        <v>2570</v>
      </c>
      <c r="Z32" s="1814" t="str">
        <f t="shared" si="15"/>
        <v>车位类型</v>
      </c>
      <c r="AA32" s="1811">
        <f t="shared" si="3"/>
        <v>1</v>
      </c>
      <c r="AB32" s="1811">
        <f t="shared" si="4"/>
        <v>1</v>
      </c>
      <c r="AC32" s="1811">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86"/>
      <c r="Q33" s="1810" t="str">
        <f t="shared" si="11"/>
        <v>是否直接入户</v>
      </c>
      <c r="R33" s="771" t="s">
        <v>17</v>
      </c>
      <c r="S33" s="772">
        <f t="shared" si="12"/>
        <v>100</v>
      </c>
      <c r="T33" s="771" t="s">
        <v>17</v>
      </c>
      <c r="U33" s="772">
        <f t="shared" si="13"/>
        <v>100</v>
      </c>
      <c r="V33" s="771" t="s">
        <v>17</v>
      </c>
      <c r="W33" s="772">
        <f t="shared" si="14"/>
        <v>100</v>
      </c>
      <c r="X33" s="1813"/>
      <c r="Y33" s="3186"/>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86"/>
      <c r="Q34" s="1810">
        <f t="shared" si="11"/>
        <v>111</v>
      </c>
      <c r="R34" s="771" t="s">
        <v>17</v>
      </c>
      <c r="S34" s="772">
        <f t="shared" si="12"/>
        <v>100</v>
      </c>
      <c r="T34" s="771" t="s">
        <v>17</v>
      </c>
      <c r="U34" s="772">
        <f t="shared" si="13"/>
        <v>100</v>
      </c>
      <c r="V34" s="771" t="s">
        <v>17</v>
      </c>
      <c r="W34" s="772">
        <f t="shared" si="14"/>
        <v>100</v>
      </c>
      <c r="X34" s="1813"/>
      <c r="Y34" s="3186"/>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86"/>
      <c r="Q35" s="773">
        <f t="shared" si="11"/>
        <v>111</v>
      </c>
      <c r="R35" s="774" t="s">
        <v>17</v>
      </c>
      <c r="S35" s="775">
        <f t="shared" si="12"/>
        <v>100</v>
      </c>
      <c r="T35" s="774" t="s">
        <v>17</v>
      </c>
      <c r="U35" s="775">
        <f t="shared" si="13"/>
        <v>100</v>
      </c>
      <c r="V35" s="774" t="s">
        <v>17</v>
      </c>
      <c r="W35" s="775">
        <f t="shared" si="14"/>
        <v>100</v>
      </c>
      <c r="X35" s="776"/>
      <c r="Y35" s="3186"/>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86"/>
      <c r="Q36" s="1810">
        <f t="shared" si="11"/>
        <v>111</v>
      </c>
      <c r="R36" s="771" t="s">
        <v>17</v>
      </c>
      <c r="S36" s="772">
        <f t="shared" si="12"/>
        <v>100</v>
      </c>
      <c r="T36" s="771" t="s">
        <v>17</v>
      </c>
      <c r="U36" s="772">
        <f t="shared" si="13"/>
        <v>100</v>
      </c>
      <c r="V36" s="771" t="s">
        <v>17</v>
      </c>
      <c r="W36" s="772">
        <f t="shared" si="14"/>
        <v>100</v>
      </c>
      <c r="X36" s="1813"/>
      <c r="Y36" s="3186"/>
      <c r="Z36" s="1814">
        <f t="shared" si="15"/>
        <v>111</v>
      </c>
      <c r="AA36" s="1811">
        <f t="shared" si="3"/>
        <v>1</v>
      </c>
      <c r="AB36" s="1811">
        <f t="shared" si="4"/>
        <v>1</v>
      </c>
      <c r="AC36" s="1811">
        <f t="shared" si="5"/>
        <v>1</v>
      </c>
    </row>
    <row r="37" spans="1:29" ht="15">
      <c r="A37" s="478" t="s">
        <v>2725</v>
      </c>
      <c r="B37" s="2697" t="s">
        <v>2726</v>
      </c>
      <c r="C37" s="1407" t="s">
        <v>1</v>
      </c>
      <c r="D37" s="1408"/>
      <c r="E37" s="1409"/>
      <c r="F37" s="1410"/>
      <c r="G37" s="1411"/>
      <c r="H37" s="1412"/>
      <c r="I37" s="1409"/>
      <c r="J37" s="1412"/>
      <c r="K37" s="618"/>
      <c r="L37" s="1143"/>
      <c r="M37" s="1144"/>
      <c r="N37" s="1131"/>
      <c r="O37" s="1144"/>
      <c r="P37" s="3188" t="str">
        <f>A37</f>
        <v>成交单价</v>
      </c>
      <c r="Q37" s="3188"/>
      <c r="R37" s="3189">
        <f>E37</f>
        <v>0</v>
      </c>
      <c r="S37" s="3189"/>
      <c r="T37" s="3189">
        <f>G37</f>
        <v>0</v>
      </c>
      <c r="U37" s="3189"/>
      <c r="V37" s="3189">
        <f>I37</f>
        <v>0</v>
      </c>
      <c r="W37" s="3189"/>
      <c r="X37" s="756"/>
      <c r="Y37" s="778"/>
      <c r="Z37" s="756"/>
      <c r="AA37" s="756"/>
      <c r="AB37" s="756"/>
      <c r="AC37" s="756"/>
    </row>
    <row r="38" spans="1:29" ht="15.75" thickBot="1">
      <c r="A38" s="485" t="s">
        <v>2727</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6"/>
      <c r="Y38" s="756"/>
      <c r="Z38" s="756"/>
      <c r="AA38" s="756"/>
      <c r="AB38" s="756"/>
      <c r="AC38" s="756"/>
    </row>
    <row r="39" spans="1:29" ht="15.75" thickBot="1">
      <c r="A39" s="491" t="s">
        <v>2728</v>
      </c>
      <c r="B39" s="492"/>
      <c r="C39" s="1417" t="e">
        <f>R39</f>
        <v>#DIV/0!</v>
      </c>
      <c r="D39" s="1417"/>
      <c r="E39" s="1417"/>
      <c r="F39" s="1417"/>
      <c r="G39" s="1417"/>
      <c r="H39" s="1417"/>
      <c r="I39" s="1417"/>
      <c r="J39" s="1417"/>
      <c r="K39" s="620"/>
      <c r="L39" s="1143"/>
      <c r="M39" s="1144"/>
      <c r="N39" s="1144"/>
      <c r="O39" s="1144"/>
      <c r="P39" s="3190" t="str">
        <f>A39</f>
        <v>估价对象XX用房的比较价值（楼面单价，元/平方米）</v>
      </c>
      <c r="Q39" s="3191"/>
      <c r="R39" s="3192" t="e">
        <f>IF(F1="售价",ROUND(AVERAGE(R38:V38),0),ROUND(AVERAGE(R38:V38),1))</f>
        <v>#DIV/0!</v>
      </c>
      <c r="S39" s="3192"/>
      <c r="T39" s="3192"/>
      <c r="U39" s="3192"/>
      <c r="V39" s="3192"/>
      <c r="W39" s="3192"/>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2733</v>
      </c>
      <c r="B48" s="505"/>
      <c r="C48" s="1574" t="str">
        <f>YEAR(C7)&amp;"-"&amp;MONTH(C7)</f>
        <v>2018-4</v>
      </c>
      <c r="D48" s="1575">
        <f>EDATE(C48,-1)</f>
        <v>43160</v>
      </c>
      <c r="E48" s="1575">
        <f t="shared" ref="E48:O48" si="16">EDATE(D48,-1)</f>
        <v>43132</v>
      </c>
      <c r="F48" s="1575">
        <f t="shared" si="16"/>
        <v>43101</v>
      </c>
      <c r="G48" s="1575">
        <f t="shared" si="16"/>
        <v>43070</v>
      </c>
      <c r="H48" s="1575">
        <f t="shared" si="16"/>
        <v>43040</v>
      </c>
      <c r="I48" s="1575">
        <f t="shared" si="16"/>
        <v>43009</v>
      </c>
      <c r="J48" s="1575">
        <f t="shared" si="16"/>
        <v>42979</v>
      </c>
      <c r="K48" s="1575">
        <f t="shared" si="16"/>
        <v>42948</v>
      </c>
      <c r="L48" s="1575">
        <f t="shared" si="16"/>
        <v>42917</v>
      </c>
      <c r="M48" s="1575">
        <f t="shared" si="16"/>
        <v>42887</v>
      </c>
      <c r="N48" s="1575">
        <f t="shared" si="16"/>
        <v>42856</v>
      </c>
      <c r="O48" s="1575">
        <f t="shared" si="16"/>
        <v>42826</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2590</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2555</v>
      </c>
      <c r="B51" s="509"/>
      <c r="C51" s="521" t="s">
        <v>2657</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2593</v>
      </c>
      <c r="B53" s="527" t="s">
        <v>2559</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2608</v>
      </c>
      <c r="C65" s="577" t="s">
        <v>2602</v>
      </c>
      <c r="D65" s="577" t="s">
        <v>2603</v>
      </c>
      <c r="E65" s="577" t="s">
        <v>2604</v>
      </c>
      <c r="F65" s="577" t="s">
        <v>2605</v>
      </c>
      <c r="G65" s="577" t="s">
        <v>2606</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2694</v>
      </c>
      <c r="C67" s="659" t="s">
        <v>2680</v>
      </c>
      <c r="D67" s="659" t="s">
        <v>2681</v>
      </c>
      <c r="E67" s="659" t="s">
        <v>2682</v>
      </c>
      <c r="F67" s="659" t="s">
        <v>2683</v>
      </c>
      <c r="G67" s="659" t="s">
        <v>2684</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2614</v>
      </c>
      <c r="C69" s="577" t="s">
        <v>2602</v>
      </c>
      <c r="D69" s="577" t="s">
        <v>2603</v>
      </c>
      <c r="E69" s="577" t="s">
        <v>2604</v>
      </c>
      <c r="F69" s="577" t="s">
        <v>2605</v>
      </c>
      <c r="G69" s="577" t="s">
        <v>2606</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2734</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2568</v>
      </c>
      <c r="B79" s="527" t="s">
        <v>2735</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2621</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2738</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2740</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2741</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IF(C2="——",ROUND(C37*D3/10000,0),ROUND(C37*D3/10000,0)-D2)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IF(C2="——",C37,ROUND(B2*10000/D3,0))</f>
        <v>#DIV/0!</v>
      </c>
      <c r="C3" s="399" t="s">
        <v>2649</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166" t="s">
        <v>2651</v>
      </c>
      <c r="D4" s="3167"/>
      <c r="E4" s="3168" t="s">
        <v>2652</v>
      </c>
      <c r="F4" s="3169"/>
      <c r="G4" s="3166" t="s">
        <v>2653</v>
      </c>
      <c r="H4" s="3167"/>
      <c r="I4" s="3166" t="s">
        <v>2654</v>
      </c>
      <c r="J4" s="3167"/>
      <c r="K4" s="609" t="s">
        <v>2655</v>
      </c>
      <c r="L4" s="1130"/>
      <c r="M4" s="1131"/>
      <c r="N4" s="1131"/>
      <c r="O4" s="1131"/>
      <c r="P4" s="3170" t="s">
        <v>2656</v>
      </c>
      <c r="Q4" s="3171"/>
      <c r="R4" s="3151" t="s">
        <v>2652</v>
      </c>
      <c r="S4" s="3152"/>
      <c r="T4" s="3151" t="s">
        <v>2653</v>
      </c>
      <c r="U4" s="3152"/>
      <c r="V4" s="3148" t="s">
        <v>2654</v>
      </c>
      <c r="W4" s="3148"/>
      <c r="X4" s="1813"/>
      <c r="Y4" s="3151" t="s">
        <v>2656</v>
      </c>
      <c r="Z4" s="3152"/>
      <c r="AA4" s="3145" t="s">
        <v>2652</v>
      </c>
      <c r="AB4" s="3146" t="s">
        <v>2653</v>
      </c>
      <c r="AC4" s="3145" t="s">
        <v>2654</v>
      </c>
    </row>
    <row r="5" spans="1:29" ht="15">
      <c r="A5" s="403"/>
      <c r="B5" s="404"/>
      <c r="C5" s="3157" t="s">
        <v>2547</v>
      </c>
      <c r="D5" s="3158"/>
      <c r="E5" s="3247" t="s">
        <v>2548</v>
      </c>
      <c r="F5" s="3156"/>
      <c r="G5" s="3157" t="s">
        <v>2549</v>
      </c>
      <c r="H5" s="3158"/>
      <c r="I5" s="3157" t="s">
        <v>2550</v>
      </c>
      <c r="J5" s="3158"/>
      <c r="K5" s="609"/>
      <c r="L5" s="1130"/>
      <c r="M5" s="1131"/>
      <c r="N5" s="1131"/>
      <c r="O5" s="1131"/>
      <c r="P5" s="3172"/>
      <c r="Q5" s="3173"/>
      <c r="R5" s="3153"/>
      <c r="S5" s="3154"/>
      <c r="T5" s="3153"/>
      <c r="U5" s="3154"/>
      <c r="V5" s="3148"/>
      <c r="W5" s="3148"/>
      <c r="X5" s="1813"/>
      <c r="Y5" s="3153"/>
      <c r="Z5" s="3154"/>
      <c r="AA5" s="3146"/>
      <c r="AB5" s="3146"/>
      <c r="AC5" s="3146"/>
    </row>
    <row r="6" spans="1:29" ht="15.75" thickBot="1">
      <c r="A6" s="405"/>
      <c r="B6" s="406"/>
      <c r="C6" s="3159" t="s">
        <v>2551</v>
      </c>
      <c r="D6" s="3160"/>
      <c r="E6" s="3248" t="s">
        <v>2551</v>
      </c>
      <c r="F6" s="3163"/>
      <c r="G6" s="3159" t="s">
        <v>2551</v>
      </c>
      <c r="H6" s="3160"/>
      <c r="I6" s="3159" t="s">
        <v>2551</v>
      </c>
      <c r="J6" s="3160"/>
      <c r="K6" s="609" t="s">
        <v>2552</v>
      </c>
      <c r="L6" s="1130"/>
      <c r="M6" s="1131"/>
      <c r="N6" s="1131"/>
      <c r="O6" s="1131"/>
      <c r="P6" s="3174"/>
      <c r="Q6" s="3175"/>
      <c r="R6" s="3153"/>
      <c r="S6" s="3154"/>
      <c r="T6" s="3176"/>
      <c r="U6" s="3177"/>
      <c r="V6" s="3148"/>
      <c r="W6" s="3148"/>
      <c r="X6" s="1813"/>
      <c r="Y6" s="3176"/>
      <c r="Z6" s="3177"/>
      <c r="AA6" s="3147"/>
      <c r="AB6" s="3147"/>
      <c r="AC6" s="3147"/>
    </row>
    <row r="7" spans="1:29" s="116" customFormat="1" ht="15.75" thickBot="1">
      <c r="A7" s="407" t="s">
        <v>2553</v>
      </c>
      <c r="B7" s="408"/>
      <c r="C7" s="409">
        <f>'数据-取费表'!B2</f>
        <v>43208</v>
      </c>
      <c r="D7" s="410">
        <v>100</v>
      </c>
      <c r="E7" s="411"/>
      <c r="F7" s="412">
        <f>SUMIF(46:46,YEAR(E7)&amp;"-"&amp;MONTH(E7),47:47)</f>
        <v>0</v>
      </c>
      <c r="G7" s="2698"/>
      <c r="H7" s="410">
        <f>SUMIF(46:46,YEAR(G7)&amp;"-"&amp;MONTH(G7),47:47)</f>
        <v>0</v>
      </c>
      <c r="I7" s="411"/>
      <c r="J7" s="410">
        <f>SUMIF(46:46,YEAR(I7)&amp;"-"&amp;MONTH(I7),47:47)</f>
        <v>0</v>
      </c>
      <c r="K7" s="610"/>
      <c r="L7" s="1132"/>
      <c r="M7" s="1133"/>
      <c r="N7" s="1133"/>
      <c r="O7" s="1133"/>
      <c r="P7" s="3149" t="s">
        <v>2554</v>
      </c>
      <c r="Q7" s="3178"/>
      <c r="R7" s="767" t="s">
        <v>17</v>
      </c>
      <c r="S7" s="768">
        <f t="shared" ref="S7:S14" si="0">F7</f>
        <v>0</v>
      </c>
      <c r="T7" s="767" t="s">
        <v>17</v>
      </c>
      <c r="U7" s="768">
        <f t="shared" ref="U7:U14" si="1">H7</f>
        <v>0</v>
      </c>
      <c r="V7" s="767" t="s">
        <v>17</v>
      </c>
      <c r="W7" s="768">
        <f t="shared" ref="W7:W14" si="2">J7</f>
        <v>0</v>
      </c>
      <c r="X7" s="769"/>
      <c r="Y7" s="3149" t="s">
        <v>2554</v>
      </c>
      <c r="Z7" s="3150"/>
      <c r="AA7" s="770" t="e">
        <f>D7/F7</f>
        <v>#DIV/0!</v>
      </c>
      <c r="AB7" s="770" t="e">
        <f>D7/H7</f>
        <v>#DIV/0!</v>
      </c>
      <c r="AC7" s="770"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149" t="s">
        <v>2557</v>
      </c>
      <c r="Q8" s="3150"/>
      <c r="R8" s="767" t="s">
        <v>17</v>
      </c>
      <c r="S8" s="768">
        <f t="shared" si="0"/>
        <v>0</v>
      </c>
      <c r="T8" s="767" t="s">
        <v>17</v>
      </c>
      <c r="U8" s="768">
        <f t="shared" si="1"/>
        <v>0</v>
      </c>
      <c r="V8" s="767" t="s">
        <v>17</v>
      </c>
      <c r="W8" s="768">
        <f t="shared" si="2"/>
        <v>0</v>
      </c>
      <c r="X8" s="769"/>
      <c r="Y8" s="3149" t="s">
        <v>2557</v>
      </c>
      <c r="Z8" s="3150"/>
      <c r="AA8" s="770" t="e">
        <f t="shared" ref="AA8:AA34" si="3">D8/F8</f>
        <v>#DIV/0!</v>
      </c>
      <c r="AB8" s="770" t="e">
        <f t="shared" ref="AB8:AB34" si="4">D8/H8</f>
        <v>#DIV/0!</v>
      </c>
      <c r="AC8" s="770"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188" t="s">
        <v>2560</v>
      </c>
      <c r="Q9" s="1795" t="str">
        <f t="shared" ref="Q9:Q14" si="6">B9</f>
        <v>用途</v>
      </c>
      <c r="R9" s="767" t="s">
        <v>17</v>
      </c>
      <c r="S9" s="768">
        <f t="shared" si="0"/>
        <v>100</v>
      </c>
      <c r="T9" s="767" t="s">
        <v>17</v>
      </c>
      <c r="U9" s="768">
        <f t="shared" si="1"/>
        <v>100</v>
      </c>
      <c r="V9" s="767" t="s">
        <v>17</v>
      </c>
      <c r="W9" s="768">
        <f t="shared" si="2"/>
        <v>100</v>
      </c>
      <c r="X9" s="769"/>
      <c r="Y9" s="3021" t="s">
        <v>2561</v>
      </c>
      <c r="Z9" s="54" t="str">
        <f t="shared" ref="Z9:Z14" si="7">Q9</f>
        <v>用途</v>
      </c>
      <c r="AA9" s="770">
        <f t="shared" si="3"/>
        <v>1</v>
      </c>
      <c r="AB9" s="770">
        <f t="shared" si="4"/>
        <v>1</v>
      </c>
      <c r="AC9" s="770">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188"/>
      <c r="Q10" s="1795"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188"/>
      <c r="Q11" s="1795">
        <f t="shared" si="6"/>
        <v>111</v>
      </c>
      <c r="R11" s="767" t="s">
        <v>17</v>
      </c>
      <c r="S11" s="768">
        <f t="shared" si="0"/>
        <v>100</v>
      </c>
      <c r="T11" s="767" t="s">
        <v>17</v>
      </c>
      <c r="U11" s="768">
        <f t="shared" si="1"/>
        <v>100</v>
      </c>
      <c r="V11" s="767" t="s">
        <v>17</v>
      </c>
      <c r="W11" s="768">
        <f t="shared" si="2"/>
        <v>100</v>
      </c>
      <c r="X11" s="769"/>
      <c r="Y11" s="3021"/>
      <c r="Z11" s="54">
        <f t="shared" si="7"/>
        <v>111</v>
      </c>
      <c r="AA11" s="770">
        <f t="shared" si="3"/>
        <v>1</v>
      </c>
      <c r="AB11" s="770">
        <f t="shared" si="4"/>
        <v>1</v>
      </c>
      <c r="AC11" s="770">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188"/>
      <c r="Q12" s="1795">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0"/>
      <c r="M13" s="1131"/>
      <c r="N13" s="1131"/>
      <c r="O13" s="1139"/>
      <c r="P13" s="3188"/>
      <c r="Q13" s="1795">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85.5">
      <c r="A14" s="439" t="s">
        <v>2564</v>
      </c>
      <c r="B14" s="68"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81" t="s">
        <v>2565</v>
      </c>
      <c r="Q14" s="1810" t="str">
        <f t="shared" si="6"/>
        <v>交通便捷度</v>
      </c>
      <c r="R14" s="771" t="s">
        <v>17</v>
      </c>
      <c r="S14" s="772">
        <f t="shared" si="0"/>
        <v>100</v>
      </c>
      <c r="T14" s="771" t="s">
        <v>17</v>
      </c>
      <c r="U14" s="772">
        <f t="shared" si="1"/>
        <v>100</v>
      </c>
      <c r="V14" s="771" t="s">
        <v>17</v>
      </c>
      <c r="W14" s="772">
        <f t="shared" si="2"/>
        <v>100</v>
      </c>
      <c r="X14" s="1813"/>
      <c r="Y14" s="3181" t="s">
        <v>2565</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182"/>
      <c r="Q15" s="1810"/>
      <c r="R15" s="771"/>
      <c r="S15" s="772"/>
      <c r="T15" s="771"/>
      <c r="U15" s="772"/>
      <c r="V15" s="771"/>
      <c r="W15" s="772"/>
      <c r="X15" s="1813"/>
      <c r="Y15" s="3182"/>
      <c r="Z15" s="1814"/>
      <c r="AA15" s="1811">
        <v>1</v>
      </c>
      <c r="AB15" s="1811">
        <v>1</v>
      </c>
      <c r="AC15" s="1811">
        <v>1</v>
      </c>
    </row>
    <row r="16" spans="1:29" ht="42.75">
      <c r="A16" s="427"/>
      <c r="B16" s="450" t="s">
        <v>2693</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82"/>
      <c r="Q16" s="1810" t="str">
        <f>B16</f>
        <v>公共配套设施</v>
      </c>
      <c r="R16" s="771" t="s">
        <v>17</v>
      </c>
      <c r="S16" s="772">
        <f>F16</f>
        <v>100</v>
      </c>
      <c r="T16" s="771" t="s">
        <v>17</v>
      </c>
      <c r="U16" s="772">
        <f>H16</f>
        <v>100</v>
      </c>
      <c r="V16" s="771" t="s">
        <v>17</v>
      </c>
      <c r="W16" s="772">
        <f>J16</f>
        <v>100</v>
      </c>
      <c r="X16" s="1813"/>
      <c r="Y16" s="3182"/>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0"/>
      <c r="M17" s="1131"/>
      <c r="N17" s="1131"/>
      <c r="O17" s="1139"/>
      <c r="P17" s="3182"/>
      <c r="Q17" s="1810"/>
      <c r="R17" s="771"/>
      <c r="S17" s="772"/>
      <c r="T17" s="771"/>
      <c r="U17" s="772"/>
      <c r="V17" s="771"/>
      <c r="W17" s="772"/>
      <c r="X17" s="1813"/>
      <c r="Y17" s="3182"/>
      <c r="Z17" s="1814"/>
      <c r="AA17" s="1811">
        <v>1</v>
      </c>
      <c r="AB17" s="1811">
        <v>1</v>
      </c>
      <c r="AC17" s="1811">
        <v>1</v>
      </c>
    </row>
    <row r="18" spans="1:29" ht="28.5">
      <c r="A18" s="427"/>
      <c r="B18" s="1384" t="s">
        <v>2694</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82"/>
      <c r="Q18" s="1810" t="str">
        <f>B18</f>
        <v>基础设施水平</v>
      </c>
      <c r="R18" s="771" t="s">
        <v>17</v>
      </c>
      <c r="S18" s="772">
        <f>F18</f>
        <v>100</v>
      </c>
      <c r="T18" s="771" t="s">
        <v>17</v>
      </c>
      <c r="U18" s="772">
        <f>H18</f>
        <v>100</v>
      </c>
      <c r="V18" s="771" t="s">
        <v>17</v>
      </c>
      <c r="W18" s="772">
        <f>J18</f>
        <v>100</v>
      </c>
      <c r="X18" s="1813"/>
      <c r="Y18" s="3182"/>
      <c r="Z18" s="1814" t="str">
        <f>Q18</f>
        <v>基础设施水平</v>
      </c>
      <c r="AA18" s="1811">
        <f t="shared" ref="AA18" si="8">D18/F18</f>
        <v>1</v>
      </c>
      <c r="AB18" s="1811">
        <f t="shared" ref="AB18" si="9">D18/H18</f>
        <v>1</v>
      </c>
      <c r="AC18" s="1811">
        <f t="shared" ref="AC18" si="10">D18/J18</f>
        <v>1</v>
      </c>
    </row>
    <row r="19" spans="1:29" ht="15">
      <c r="A19" s="427"/>
      <c r="B19" s="1384"/>
      <c r="C19" s="2610"/>
      <c r="D19" s="449"/>
      <c r="E19" s="2610"/>
      <c r="F19" s="452"/>
      <c r="G19" s="2610"/>
      <c r="H19" s="447"/>
      <c r="I19" s="446"/>
      <c r="J19" s="447"/>
      <c r="K19" s="1383"/>
      <c r="L19" s="1140"/>
      <c r="M19" s="1131"/>
      <c r="N19" s="1131"/>
      <c r="O19" s="1139"/>
      <c r="P19" s="3182"/>
      <c r="Q19" s="1810"/>
      <c r="R19" s="771"/>
      <c r="S19" s="772"/>
      <c r="T19" s="771"/>
      <c r="U19" s="772"/>
      <c r="V19" s="771"/>
      <c r="W19" s="772"/>
      <c r="X19" s="1813"/>
      <c r="Y19" s="3182"/>
      <c r="Z19" s="1814"/>
      <c r="AA19" s="1811">
        <v>1</v>
      </c>
      <c r="AB19" s="1811">
        <v>1</v>
      </c>
      <c r="AC19" s="1811">
        <v>1</v>
      </c>
    </row>
    <row r="20" spans="1:29" ht="57">
      <c r="A20" s="427"/>
      <c r="B20" s="450" t="s">
        <v>2715</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82"/>
      <c r="Q20" s="1810" t="str">
        <f>B20</f>
        <v>自然及人文环境</v>
      </c>
      <c r="R20" s="771" t="s">
        <v>17</v>
      </c>
      <c r="S20" s="772">
        <f>F20</f>
        <v>100</v>
      </c>
      <c r="T20" s="771" t="s">
        <v>17</v>
      </c>
      <c r="U20" s="772">
        <f>H20</f>
        <v>100</v>
      </c>
      <c r="V20" s="771" t="s">
        <v>17</v>
      </c>
      <c r="W20" s="772">
        <f>J20</f>
        <v>100</v>
      </c>
      <c r="X20" s="1813"/>
      <c r="Y20" s="3182"/>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182"/>
      <c r="Q21" s="1810"/>
      <c r="R21" s="771"/>
      <c r="S21" s="772"/>
      <c r="T21" s="771"/>
      <c r="U21" s="772"/>
      <c r="V21" s="771"/>
      <c r="W21" s="772"/>
      <c r="X21" s="1813"/>
      <c r="Y21" s="3182"/>
      <c r="Z21" s="1814"/>
      <c r="AA21" s="1811">
        <v>1</v>
      </c>
      <c r="AB21" s="1811">
        <v>1</v>
      </c>
      <c r="AC21" s="1811">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82"/>
      <c r="Q22" s="1810" t="str">
        <f>B22</f>
        <v>楼层</v>
      </c>
      <c r="R22" s="771" t="s">
        <v>17</v>
      </c>
      <c r="S22" s="772">
        <f>F22</f>
        <v>100</v>
      </c>
      <c r="T22" s="771" t="s">
        <v>17</v>
      </c>
      <c r="U22" s="772">
        <f>H22</f>
        <v>100</v>
      </c>
      <c r="V22" s="771" t="s">
        <v>17</v>
      </c>
      <c r="W22" s="772">
        <f>J22</f>
        <v>100</v>
      </c>
      <c r="X22" s="1813"/>
      <c r="Y22" s="3182"/>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82"/>
      <c r="Q23" s="1810">
        <f>B23</f>
        <v>111</v>
      </c>
      <c r="R23" s="771" t="s">
        <v>17</v>
      </c>
      <c r="S23" s="772">
        <f>F23</f>
        <v>100</v>
      </c>
      <c r="T23" s="771" t="s">
        <v>17</v>
      </c>
      <c r="U23" s="772">
        <f>H23</f>
        <v>100</v>
      </c>
      <c r="V23" s="771" t="s">
        <v>17</v>
      </c>
      <c r="W23" s="772">
        <f>J23</f>
        <v>100</v>
      </c>
      <c r="X23" s="1813"/>
      <c r="Y23" s="3182"/>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82"/>
      <c r="Q24" s="1810">
        <f t="shared" ref="Q24:Q34" si="11">B24</f>
        <v>111</v>
      </c>
      <c r="R24" s="771" t="s">
        <v>17</v>
      </c>
      <c r="S24" s="772">
        <f>F24</f>
        <v>100</v>
      </c>
      <c r="T24" s="771" t="s">
        <v>17</v>
      </c>
      <c r="U24" s="772">
        <f>H24</f>
        <v>100</v>
      </c>
      <c r="V24" s="771" t="s">
        <v>17</v>
      </c>
      <c r="W24" s="772">
        <f>J24</f>
        <v>100</v>
      </c>
      <c r="X24" s="1813"/>
      <c r="Y24" s="3182"/>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2"/>
      <c r="M25" s="1133"/>
      <c r="N25" s="1133"/>
      <c r="O25" s="1134"/>
      <c r="P25" s="3182"/>
      <c r="Q25" s="1795">
        <f t="shared" si="11"/>
        <v>111</v>
      </c>
      <c r="R25" s="767" t="s">
        <v>17</v>
      </c>
      <c r="S25" s="768">
        <f>F25</f>
        <v>100</v>
      </c>
      <c r="T25" s="767" t="s">
        <v>17</v>
      </c>
      <c r="U25" s="768">
        <f>H25</f>
        <v>100</v>
      </c>
      <c r="V25" s="767" t="s">
        <v>17</v>
      </c>
      <c r="W25" s="768">
        <f>J25</f>
        <v>100</v>
      </c>
      <c r="X25" s="769"/>
      <c r="Y25" s="3182"/>
      <c r="Z25" s="54">
        <f>Q25</f>
        <v>111</v>
      </c>
      <c r="AA25" s="1811">
        <f>D25/F25</f>
        <v>1</v>
      </c>
      <c r="AB25" s="1811">
        <f>D25/H25</f>
        <v>1</v>
      </c>
      <c r="AC25" s="1811">
        <f>D25/J25</f>
        <v>1</v>
      </c>
    </row>
    <row r="26" spans="1:29" ht="15">
      <c r="A26" s="465" t="s">
        <v>2568</v>
      </c>
      <c r="B26" s="70" t="s">
        <v>2719</v>
      </c>
      <c r="C26" s="2681"/>
      <c r="D26" s="466">
        <v>100</v>
      </c>
      <c r="E26" s="2681"/>
      <c r="F26" s="666">
        <f>SUMIF(77:77,E26,78:78)-SUMIF(77:77,C26,78:78)+100</f>
        <v>100</v>
      </c>
      <c r="G26" s="2681"/>
      <c r="H26" s="466">
        <f>SUMIF(77:77,G26,78:78)-SUMIF(77:77,C26,78:78)+100</f>
        <v>100</v>
      </c>
      <c r="I26" s="2681"/>
      <c r="J26" s="466">
        <f>SUMIF(77:77,I26,78:78)-SUMIF(77:77,C26,78:78)+100</f>
        <v>100</v>
      </c>
      <c r="K26" s="611"/>
      <c r="L26" s="1140"/>
      <c r="M26" s="1131"/>
      <c r="N26" s="1131"/>
      <c r="O26" s="1139"/>
      <c r="P26" s="3264" t="s">
        <v>2570</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186" t="s">
        <v>2570</v>
      </c>
      <c r="Z26" s="1814" t="str">
        <f t="shared" ref="Z26:Z34" si="15">Q26</f>
        <v>公共部分装修</v>
      </c>
      <c r="AA26" s="1811">
        <f t="shared" si="3"/>
        <v>1</v>
      </c>
      <c r="AB26" s="1811">
        <f t="shared" si="4"/>
        <v>1</v>
      </c>
      <c r="AC26" s="1811">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186"/>
      <c r="Q27" s="773" t="str">
        <f t="shared" si="11"/>
        <v>成新率</v>
      </c>
      <c r="R27" s="774" t="s">
        <v>17</v>
      </c>
      <c r="S27" s="775" t="e">
        <f t="shared" si="12"/>
        <v>#N/A</v>
      </c>
      <c r="T27" s="774" t="s">
        <v>17</v>
      </c>
      <c r="U27" s="775" t="e">
        <f t="shared" si="13"/>
        <v>#N/A</v>
      </c>
      <c r="V27" s="774" t="s">
        <v>17</v>
      </c>
      <c r="W27" s="775" t="e">
        <f t="shared" si="14"/>
        <v>#N/A</v>
      </c>
      <c r="X27" s="776"/>
      <c r="Y27" s="3186"/>
      <c r="Z27" s="777" t="str">
        <f t="shared" si="15"/>
        <v>成新率</v>
      </c>
      <c r="AA27" s="1811" t="e">
        <f t="shared" si="3"/>
        <v>#N/A</v>
      </c>
      <c r="AB27" s="1811" t="e">
        <f t="shared" si="4"/>
        <v>#N/A</v>
      </c>
      <c r="AC27" s="1811"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86"/>
      <c r="Q28" s="1810" t="str">
        <f t="shared" si="11"/>
        <v>物业等级</v>
      </c>
      <c r="R28" s="771" t="s">
        <v>17</v>
      </c>
      <c r="S28" s="772">
        <f t="shared" si="12"/>
        <v>100</v>
      </c>
      <c r="T28" s="771" t="s">
        <v>17</v>
      </c>
      <c r="U28" s="772">
        <f t="shared" si="13"/>
        <v>100</v>
      </c>
      <c r="V28" s="771" t="s">
        <v>17</v>
      </c>
      <c r="W28" s="772">
        <f t="shared" si="14"/>
        <v>100</v>
      </c>
      <c r="X28" s="1813"/>
      <c r="Y28" s="3186"/>
      <c r="Z28" s="1814" t="str">
        <f t="shared" si="15"/>
        <v>物业等级</v>
      </c>
      <c r="AA28" s="1811">
        <f t="shared" si="3"/>
        <v>1</v>
      </c>
      <c r="AB28" s="1811">
        <f t="shared" si="4"/>
        <v>1</v>
      </c>
      <c r="AC28" s="1811">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186"/>
      <c r="Q29" s="1810" t="str">
        <f t="shared" si="11"/>
        <v>有无电梯</v>
      </c>
      <c r="R29" s="771" t="s">
        <v>17</v>
      </c>
      <c r="S29" s="772">
        <f t="shared" si="12"/>
        <v>100</v>
      </c>
      <c r="T29" s="771" t="s">
        <v>17</v>
      </c>
      <c r="U29" s="772">
        <f t="shared" si="13"/>
        <v>100</v>
      </c>
      <c r="V29" s="771" t="s">
        <v>17</v>
      </c>
      <c r="W29" s="772">
        <f t="shared" si="14"/>
        <v>100</v>
      </c>
      <c r="X29" s="1813"/>
      <c r="Y29" s="3186"/>
      <c r="Z29" s="1814" t="str">
        <f t="shared" si="15"/>
        <v>有无电梯</v>
      </c>
      <c r="AA29" s="1811">
        <f t="shared" si="3"/>
        <v>1</v>
      </c>
      <c r="AB29" s="1811">
        <f t="shared" si="4"/>
        <v>1</v>
      </c>
      <c r="AC29" s="1811">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186"/>
      <c r="Q30" s="1810" t="str">
        <f t="shared" si="11"/>
        <v>建筑面积</v>
      </c>
      <c r="R30" s="771" t="s">
        <v>17</v>
      </c>
      <c r="S30" s="772" t="e">
        <f t="shared" si="12"/>
        <v>#N/A</v>
      </c>
      <c r="T30" s="771" t="s">
        <v>17</v>
      </c>
      <c r="U30" s="772" t="e">
        <f t="shared" si="13"/>
        <v>#N/A</v>
      </c>
      <c r="V30" s="771" t="s">
        <v>17</v>
      </c>
      <c r="W30" s="772" t="e">
        <f t="shared" si="14"/>
        <v>#N/A</v>
      </c>
      <c r="X30" s="1813"/>
      <c r="Y30" s="3186"/>
      <c r="Z30" s="1814" t="str">
        <f t="shared" si="15"/>
        <v>建筑面积</v>
      </c>
      <c r="AA30" s="1811" t="e">
        <f t="shared" si="3"/>
        <v>#N/A</v>
      </c>
      <c r="AB30" s="1811" t="e">
        <f t="shared" si="4"/>
        <v>#N/A</v>
      </c>
      <c r="AC30" s="1811"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186"/>
      <c r="Q31" s="1795" t="str">
        <f t="shared" si="11"/>
        <v>是否封闭</v>
      </c>
      <c r="R31" s="767" t="s">
        <v>17</v>
      </c>
      <c r="S31" s="768">
        <f t="shared" si="12"/>
        <v>100</v>
      </c>
      <c r="T31" s="767" t="s">
        <v>17</v>
      </c>
      <c r="U31" s="768">
        <f t="shared" si="13"/>
        <v>100</v>
      </c>
      <c r="V31" s="767" t="s">
        <v>17</v>
      </c>
      <c r="W31" s="768">
        <f t="shared" si="14"/>
        <v>100</v>
      </c>
      <c r="X31" s="769"/>
      <c r="Y31" s="3186"/>
      <c r="Z31" s="54" t="str">
        <f t="shared" si="15"/>
        <v>是否封闭</v>
      </c>
      <c r="AA31" s="770">
        <f t="shared" si="3"/>
        <v>1</v>
      </c>
      <c r="AB31" s="770">
        <f t="shared" si="4"/>
        <v>1</v>
      </c>
      <c r="AC31" s="770">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86" t="s">
        <v>2570</v>
      </c>
      <c r="Q32" s="1810">
        <f t="shared" si="11"/>
        <v>111</v>
      </c>
      <c r="R32" s="771" t="s">
        <v>17</v>
      </c>
      <c r="S32" s="772">
        <f t="shared" si="12"/>
        <v>100</v>
      </c>
      <c r="T32" s="771" t="s">
        <v>17</v>
      </c>
      <c r="U32" s="772">
        <f t="shared" si="13"/>
        <v>100</v>
      </c>
      <c r="V32" s="771" t="s">
        <v>17</v>
      </c>
      <c r="W32" s="772">
        <f t="shared" si="14"/>
        <v>100</v>
      </c>
      <c r="X32" s="1813"/>
      <c r="Y32" s="3186" t="s">
        <v>2570</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86"/>
      <c r="Q33" s="1810">
        <f t="shared" si="11"/>
        <v>111</v>
      </c>
      <c r="R33" s="771" t="s">
        <v>17</v>
      </c>
      <c r="S33" s="772">
        <f t="shared" si="12"/>
        <v>100</v>
      </c>
      <c r="T33" s="771" t="s">
        <v>17</v>
      </c>
      <c r="U33" s="772">
        <f t="shared" si="13"/>
        <v>100</v>
      </c>
      <c r="V33" s="771" t="s">
        <v>17</v>
      </c>
      <c r="W33" s="772">
        <f t="shared" si="14"/>
        <v>100</v>
      </c>
      <c r="X33" s="1813"/>
      <c r="Y33" s="3186"/>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0"/>
      <c r="M34" s="1131"/>
      <c r="N34" s="1131"/>
      <c r="O34" s="1139"/>
      <c r="P34" s="3186"/>
      <c r="Q34" s="1810">
        <f t="shared" si="11"/>
        <v>111</v>
      </c>
      <c r="R34" s="771" t="s">
        <v>17</v>
      </c>
      <c r="S34" s="772">
        <f t="shared" si="12"/>
        <v>100</v>
      </c>
      <c r="T34" s="771" t="s">
        <v>17</v>
      </c>
      <c r="U34" s="772">
        <f t="shared" si="13"/>
        <v>100</v>
      </c>
      <c r="V34" s="771" t="s">
        <v>17</v>
      </c>
      <c r="W34" s="772">
        <f t="shared" si="14"/>
        <v>100</v>
      </c>
      <c r="X34" s="1813"/>
      <c r="Y34" s="3186"/>
      <c r="Z34" s="1814">
        <f t="shared" si="15"/>
        <v>111</v>
      </c>
      <c r="AA34" s="1811">
        <f t="shared" si="3"/>
        <v>1</v>
      </c>
      <c r="AB34" s="1811">
        <f t="shared" si="4"/>
        <v>1</v>
      </c>
      <c r="AC34" s="1811">
        <f t="shared" si="5"/>
        <v>1</v>
      </c>
    </row>
    <row r="35" spans="1:29" ht="15">
      <c r="A35" s="478" t="s">
        <v>2582</v>
      </c>
      <c r="B35" s="479"/>
      <c r="C35" s="1407" t="s">
        <v>1</v>
      </c>
      <c r="D35" s="1408"/>
      <c r="E35" s="1409"/>
      <c r="F35" s="1410"/>
      <c r="G35" s="1411"/>
      <c r="H35" s="1412"/>
      <c r="I35" s="1409"/>
      <c r="J35" s="1412"/>
      <c r="K35" s="780"/>
      <c r="L35" s="1143"/>
      <c r="M35" s="1144"/>
      <c r="N35" s="1131"/>
      <c r="O35" s="1144"/>
      <c r="P35" s="3188" t="str">
        <f>A35</f>
        <v>成交单价（元/平方米）</v>
      </c>
      <c r="Q35" s="3188"/>
      <c r="R35" s="3189">
        <f>E35</f>
        <v>0</v>
      </c>
      <c r="S35" s="3189"/>
      <c r="T35" s="3189">
        <f>G35</f>
        <v>0</v>
      </c>
      <c r="U35" s="3189"/>
      <c r="V35" s="3189">
        <f>I35</f>
        <v>0</v>
      </c>
      <c r="W35" s="3189"/>
      <c r="X35" s="756"/>
      <c r="Y35" s="778"/>
      <c r="Z35" s="756"/>
      <c r="AA35" s="756"/>
      <c r="AB35" s="756"/>
      <c r="AC35" s="756"/>
    </row>
    <row r="36" spans="1:29" ht="15.75" thickBot="1">
      <c r="A36" s="485" t="s">
        <v>2674</v>
      </c>
      <c r="B36" s="486"/>
      <c r="C36" s="1413" t="e">
        <f>R37</f>
        <v>#DIV/0!</v>
      </c>
      <c r="D36" s="1414"/>
      <c r="E36" s="1415" t="e">
        <f>R36</f>
        <v>#DIV/0!</v>
      </c>
      <c r="F36" s="1415"/>
      <c r="G36" s="1413" t="e">
        <f>T36</f>
        <v>#DIV/0!</v>
      </c>
      <c r="H36" s="1414"/>
      <c r="I36" s="1415" t="e">
        <f>V36</f>
        <v>#DIV/0!</v>
      </c>
      <c r="J36" s="1414"/>
      <c r="K36" s="781"/>
      <c r="L36" s="1143"/>
      <c r="M36" s="1144"/>
      <c r="N36" s="1131"/>
      <c r="O36" s="1144"/>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6"/>
      <c r="Y36" s="756"/>
      <c r="Z36" s="756"/>
      <c r="AA36" s="756"/>
      <c r="AB36" s="756"/>
      <c r="AC36" s="756"/>
    </row>
    <row r="37" spans="1:29" ht="15.75" thickBot="1">
      <c r="A37" s="491" t="s">
        <v>2675</v>
      </c>
      <c r="B37" s="492"/>
      <c r="C37" s="1417" t="e">
        <f>R37</f>
        <v>#DIV/0!</v>
      </c>
      <c r="D37" s="1417"/>
      <c r="E37" s="1417"/>
      <c r="F37" s="1417"/>
      <c r="G37" s="1417"/>
      <c r="H37" s="1417"/>
      <c r="I37" s="1417"/>
      <c r="J37" s="1417"/>
      <c r="K37" s="782"/>
      <c r="L37" s="1143"/>
      <c r="M37" s="1144"/>
      <c r="N37" s="1144"/>
      <c r="O37" s="1144"/>
      <c r="P37" s="3190" t="str">
        <f>A37</f>
        <v>估价对象XX用房的比较价值（楼面单价，元/平方米）</v>
      </c>
      <c r="Q37" s="3191"/>
      <c r="R37" s="3192" t="e">
        <f>IF(F1="售价",ROUND(AVERAGE(R36:V36),0),ROUND(AVERAGE(R36:V36),1))</f>
        <v>#DIV/0!</v>
      </c>
      <c r="S37" s="3192"/>
      <c r="T37" s="3192"/>
      <c r="U37" s="3192"/>
      <c r="V37" s="3192"/>
      <c r="W37" s="3192"/>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2679</v>
      </c>
      <c r="B45" s="756"/>
      <c r="C45" s="761"/>
      <c r="D45" s="761"/>
      <c r="E45" s="761"/>
      <c r="F45" s="762"/>
      <c r="G45" s="762"/>
      <c r="H45" s="761"/>
      <c r="I45" s="761"/>
      <c r="J45" s="761"/>
      <c r="K45" s="763"/>
      <c r="L45" s="764"/>
      <c r="M45" s="761"/>
      <c r="N45" s="761"/>
      <c r="O45" s="761"/>
      <c r="P45" s="502"/>
      <c r="Q45" s="503"/>
    </row>
    <row r="46" spans="1:29" s="507" customFormat="1" ht="15">
      <c r="A46" s="504" t="s">
        <v>2553</v>
      </c>
      <c r="B46" s="505"/>
      <c r="C46" s="1574" t="str">
        <f>YEAR(C7)&amp;"-"&amp;MONTH(C7)</f>
        <v>2018-4</v>
      </c>
      <c r="D46" s="1575">
        <f>EDATE(C46,-1)</f>
        <v>43160</v>
      </c>
      <c r="E46" s="1575">
        <f t="shared" ref="E46:O46" si="16">EDATE(D46,-1)</f>
        <v>43132</v>
      </c>
      <c r="F46" s="1575">
        <f t="shared" si="16"/>
        <v>43101</v>
      </c>
      <c r="G46" s="1575">
        <f t="shared" si="16"/>
        <v>43070</v>
      </c>
      <c r="H46" s="1575">
        <f t="shared" si="16"/>
        <v>43040</v>
      </c>
      <c r="I46" s="1575">
        <f t="shared" si="16"/>
        <v>43009</v>
      </c>
      <c r="J46" s="1575">
        <f t="shared" si="16"/>
        <v>42979</v>
      </c>
      <c r="K46" s="1575">
        <f t="shared" si="16"/>
        <v>42948</v>
      </c>
      <c r="L46" s="1575">
        <f t="shared" si="16"/>
        <v>42917</v>
      </c>
      <c r="M46" s="1575">
        <f t="shared" si="16"/>
        <v>42887</v>
      </c>
      <c r="N46" s="1575">
        <f t="shared" si="16"/>
        <v>42856</v>
      </c>
      <c r="O46" s="1575">
        <f t="shared" si="16"/>
        <v>42826</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2593</v>
      </c>
      <c r="B51" s="527" t="s">
        <v>2559</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2694</v>
      </c>
      <c r="C65" s="659" t="s">
        <v>2680</v>
      </c>
      <c r="D65" s="659" t="s">
        <v>2681</v>
      </c>
      <c r="E65" s="659" t="s">
        <v>2682</v>
      </c>
      <c r="F65" s="659" t="s">
        <v>2683</v>
      </c>
      <c r="G65" s="659" t="s">
        <v>2684</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2734</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2568</v>
      </c>
      <c r="B77" s="527" t="s">
        <v>2621</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2738</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2746</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2748</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2332</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2650</v>
      </c>
      <c r="B4" s="401"/>
      <c r="C4" s="3166" t="s">
        <v>2651</v>
      </c>
      <c r="D4" s="3167"/>
      <c r="E4" s="3168" t="s">
        <v>2652</v>
      </c>
      <c r="F4" s="3169"/>
      <c r="G4" s="3166" t="s">
        <v>2653</v>
      </c>
      <c r="H4" s="3167"/>
      <c r="I4" s="3166" t="s">
        <v>2654</v>
      </c>
      <c r="J4" s="3167"/>
      <c r="K4" s="609" t="s">
        <v>2655</v>
      </c>
      <c r="L4" s="1130"/>
      <c r="M4" s="1131"/>
      <c r="N4" s="1131"/>
      <c r="O4" s="1131"/>
      <c r="P4" s="3170" t="s">
        <v>2656</v>
      </c>
      <c r="Q4" s="3171"/>
      <c r="R4" s="3151" t="s">
        <v>2652</v>
      </c>
      <c r="S4" s="3152"/>
      <c r="T4" s="3151" t="s">
        <v>2653</v>
      </c>
      <c r="U4" s="3152"/>
      <c r="V4" s="3148" t="s">
        <v>2654</v>
      </c>
      <c r="W4" s="3148"/>
      <c r="X4" s="1813"/>
      <c r="Y4" s="3151" t="s">
        <v>2656</v>
      </c>
      <c r="Z4" s="3152"/>
      <c r="AA4" s="3145" t="s">
        <v>2652</v>
      </c>
      <c r="AB4" s="3146" t="s">
        <v>2653</v>
      </c>
      <c r="AC4" s="3145" t="s">
        <v>2654</v>
      </c>
    </row>
    <row r="5" spans="1:30" ht="15">
      <c r="A5" s="403"/>
      <c r="B5" s="404"/>
      <c r="C5" s="3157" t="s">
        <v>2547</v>
      </c>
      <c r="D5" s="3158"/>
      <c r="E5" s="3247" t="s">
        <v>2548</v>
      </c>
      <c r="F5" s="3156"/>
      <c r="G5" s="3157" t="s">
        <v>2549</v>
      </c>
      <c r="H5" s="3158"/>
      <c r="I5" s="3157" t="s">
        <v>2550</v>
      </c>
      <c r="J5" s="3158"/>
      <c r="K5" s="609"/>
      <c r="L5" s="1130"/>
      <c r="M5" s="1131"/>
      <c r="N5" s="1131"/>
      <c r="O5" s="1131"/>
      <c r="P5" s="3172"/>
      <c r="Q5" s="3173"/>
      <c r="R5" s="3153"/>
      <c r="S5" s="3154"/>
      <c r="T5" s="3153"/>
      <c r="U5" s="3154"/>
      <c r="V5" s="3148"/>
      <c r="W5" s="3148"/>
      <c r="X5" s="1813"/>
      <c r="Y5" s="3153"/>
      <c r="Z5" s="3154"/>
      <c r="AA5" s="3146"/>
      <c r="AB5" s="3146"/>
      <c r="AC5" s="3146"/>
    </row>
    <row r="6" spans="1:30" ht="15.75" thickBot="1">
      <c r="A6" s="405"/>
      <c r="B6" s="406"/>
      <c r="C6" s="3159" t="s">
        <v>2551</v>
      </c>
      <c r="D6" s="3160"/>
      <c r="E6" s="3248" t="s">
        <v>2551</v>
      </c>
      <c r="F6" s="3163"/>
      <c r="G6" s="3159" t="s">
        <v>2551</v>
      </c>
      <c r="H6" s="3160"/>
      <c r="I6" s="3159" t="s">
        <v>2551</v>
      </c>
      <c r="J6" s="3160"/>
      <c r="K6" s="609" t="s">
        <v>2552</v>
      </c>
      <c r="L6" s="1130"/>
      <c r="M6" s="1131"/>
      <c r="N6" s="1131"/>
      <c r="O6" s="1131"/>
      <c r="P6" s="3174"/>
      <c r="Q6" s="3175"/>
      <c r="R6" s="3153"/>
      <c r="S6" s="3154"/>
      <c r="T6" s="3176"/>
      <c r="U6" s="3177"/>
      <c r="V6" s="3148"/>
      <c r="W6" s="3148"/>
      <c r="X6" s="1813"/>
      <c r="Y6" s="3176"/>
      <c r="Z6" s="3177"/>
      <c r="AA6" s="3147"/>
      <c r="AB6" s="3147"/>
      <c r="AC6" s="3147"/>
    </row>
    <row r="7" spans="1:30" s="116" customFormat="1" ht="15.75" thickBot="1">
      <c r="A7" s="407" t="s">
        <v>2553</v>
      </c>
      <c r="B7" s="408"/>
      <c r="C7" s="409">
        <f>'数据-取费表'!B2</f>
        <v>43208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2"/>
      <c r="M7" s="1133"/>
      <c r="N7" s="1133"/>
      <c r="O7" s="1133"/>
      <c r="P7" s="3149" t="s">
        <v>2554</v>
      </c>
      <c r="Q7" s="3178"/>
      <c r="R7" s="767" t="s">
        <v>17</v>
      </c>
      <c r="S7" s="768">
        <f t="shared" ref="S7:S15" si="0">F7</f>
        <v>0</v>
      </c>
      <c r="T7" s="767" t="s">
        <v>17</v>
      </c>
      <c r="U7" s="768">
        <f t="shared" ref="U7:U15" si="1">H7</f>
        <v>0</v>
      </c>
      <c r="V7" s="767" t="s">
        <v>17</v>
      </c>
      <c r="W7" s="768">
        <f t="shared" ref="W7:W15" si="2">J7</f>
        <v>0</v>
      </c>
      <c r="X7" s="769"/>
      <c r="Y7" s="3149" t="s">
        <v>2554</v>
      </c>
      <c r="Z7" s="3150"/>
      <c r="AA7" s="770" t="e">
        <f>D7/F7</f>
        <v>#DIV/0!</v>
      </c>
      <c r="AB7" s="770" t="e">
        <f>D7/H7</f>
        <v>#DIV/0!</v>
      </c>
      <c r="AC7" s="770" t="e">
        <f>D7/J7</f>
        <v>#DIV/0!</v>
      </c>
    </row>
    <row r="8" spans="1:30" s="116"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149" t="s">
        <v>2557</v>
      </c>
      <c r="Q8" s="3150"/>
      <c r="R8" s="767" t="s">
        <v>17</v>
      </c>
      <c r="S8" s="768">
        <f t="shared" si="0"/>
        <v>0</v>
      </c>
      <c r="T8" s="767" t="s">
        <v>17</v>
      </c>
      <c r="U8" s="768">
        <f t="shared" si="1"/>
        <v>0</v>
      </c>
      <c r="V8" s="767" t="s">
        <v>17</v>
      </c>
      <c r="W8" s="768">
        <f t="shared" si="2"/>
        <v>0</v>
      </c>
      <c r="X8" s="769"/>
      <c r="Y8" s="3149" t="s">
        <v>2557</v>
      </c>
      <c r="Z8" s="3150"/>
      <c r="AA8" s="770" t="e">
        <f t="shared" ref="AA8:AA45" si="3">D8/F8</f>
        <v>#DIV/0!</v>
      </c>
      <c r="AB8" s="770" t="e">
        <f t="shared" ref="AB8:AB45" si="4">D8/H8</f>
        <v>#DIV/0!</v>
      </c>
      <c r="AC8" s="770" t="e">
        <f t="shared" ref="AC8:AC45" si="5">D8/J8</f>
        <v>#DIV/0!</v>
      </c>
    </row>
    <row r="9" spans="1:30" s="116" customFormat="1">
      <c r="A9" s="414" t="s">
        <v>2558</v>
      </c>
      <c r="B9" s="70" t="s">
        <v>2559</v>
      </c>
      <c r="C9" s="2701"/>
      <c r="D9" s="134">
        <v>100</v>
      </c>
      <c r="E9" s="2701"/>
      <c r="F9" s="134">
        <f>SUMIF(75:75,E9,76:76)-SUMIF(75:75,C9,76:76)+100</f>
        <v>100</v>
      </c>
      <c r="G9" s="2701"/>
      <c r="H9" s="134">
        <f>SUMIF(75:75,G9,76:76)-SUMIF(75:75,C9,76:76)+100</f>
        <v>100</v>
      </c>
      <c r="I9" s="2701"/>
      <c r="J9" s="134">
        <f>SUMIF(75:75,I9,76:76)-SUMIF(75:75,C9,76:76)+100</f>
        <v>100</v>
      </c>
      <c r="K9" s="610"/>
      <c r="L9" s="1132"/>
      <c r="M9" s="1133"/>
      <c r="N9" s="1133"/>
      <c r="O9" s="1134"/>
      <c r="P9" s="3188" t="s">
        <v>2560</v>
      </c>
      <c r="Q9" s="1795" t="str">
        <f t="shared" ref="Q9:Q15" si="6">B9</f>
        <v>用途</v>
      </c>
      <c r="R9" s="767" t="s">
        <v>17</v>
      </c>
      <c r="S9" s="768">
        <f t="shared" si="0"/>
        <v>100</v>
      </c>
      <c r="T9" s="767" t="s">
        <v>17</v>
      </c>
      <c r="U9" s="768">
        <f t="shared" si="1"/>
        <v>100</v>
      </c>
      <c r="V9" s="767" t="s">
        <v>17</v>
      </c>
      <c r="W9" s="768">
        <f t="shared" si="2"/>
        <v>100</v>
      </c>
      <c r="X9" s="769"/>
      <c r="Y9" s="3021" t="s">
        <v>2561</v>
      </c>
      <c r="Z9" s="54" t="str">
        <f t="shared" ref="Z9:Z15" si="7">Q9</f>
        <v>用途</v>
      </c>
      <c r="AA9" s="770">
        <f t="shared" si="3"/>
        <v>1</v>
      </c>
      <c r="AB9" s="770">
        <f t="shared" si="4"/>
        <v>1</v>
      </c>
      <c r="AC9" s="770">
        <f t="shared" si="5"/>
        <v>1</v>
      </c>
    </row>
    <row r="10" spans="1:30" s="426" customFormat="1" ht="27">
      <c r="A10" s="420"/>
      <c r="B10" s="421" t="s">
        <v>2562</v>
      </c>
      <c r="C10" s="431"/>
      <c r="D10" s="135">
        <v>100</v>
      </c>
      <c r="E10" s="464"/>
      <c r="F10" s="135">
        <f>ROUND(100/'数据-取费表'!G16,0)</f>
        <v>110</v>
      </c>
      <c r="G10" s="462"/>
      <c r="H10" s="135">
        <f>ROUND(100/'数据-取费表'!G16,0)</f>
        <v>110</v>
      </c>
      <c r="I10" s="462"/>
      <c r="J10" s="135">
        <f>ROUND(100/'数据-取费表'!G16,0)</f>
        <v>110</v>
      </c>
      <c r="K10" s="671"/>
      <c r="L10" s="1135"/>
      <c r="M10" s="1136"/>
      <c r="N10" s="1136"/>
      <c r="O10" s="1137"/>
      <c r="P10" s="3188"/>
      <c r="Q10" s="1795" t="str">
        <f t="shared" si="6"/>
        <v>土地使用年限（年）</v>
      </c>
      <c r="R10" s="767" t="s">
        <v>17</v>
      </c>
      <c r="S10" s="768">
        <f t="shared" si="0"/>
        <v>110</v>
      </c>
      <c r="T10" s="767" t="s">
        <v>17</v>
      </c>
      <c r="U10" s="768">
        <f t="shared" si="1"/>
        <v>110</v>
      </c>
      <c r="V10" s="767" t="s">
        <v>17</v>
      </c>
      <c r="W10" s="768">
        <f t="shared" si="2"/>
        <v>110</v>
      </c>
      <c r="X10" s="769"/>
      <c r="Y10" s="3021"/>
      <c r="Z10" s="54" t="str">
        <f t="shared" si="7"/>
        <v>土地使用年限（年）</v>
      </c>
      <c r="AA10" s="770">
        <f t="shared" si="3"/>
        <v>0.90909090909090906</v>
      </c>
      <c r="AB10" s="770">
        <f t="shared" si="4"/>
        <v>0.90909090909090906</v>
      </c>
      <c r="AC10" s="770">
        <f t="shared" si="5"/>
        <v>0.90909090909090906</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188"/>
      <c r="Q11" s="1795"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770" t="e">
        <f t="shared" si="5"/>
        <v>#N/A</v>
      </c>
    </row>
    <row r="12" spans="1:30" s="116" customFormat="1" ht="15">
      <c r="A12" s="430"/>
      <c r="B12" s="2602" t="s">
        <v>2752</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188"/>
      <c r="Q12" s="1795" t="str">
        <f t="shared" si="6"/>
        <v>配建</v>
      </c>
      <c r="R12" s="767" t="s">
        <v>17</v>
      </c>
      <c r="S12" s="768">
        <f t="shared" si="0"/>
        <v>100</v>
      </c>
      <c r="T12" s="767" t="s">
        <v>17</v>
      </c>
      <c r="U12" s="768">
        <f t="shared" si="1"/>
        <v>100</v>
      </c>
      <c r="V12" s="767" t="s">
        <v>17</v>
      </c>
      <c r="W12" s="768">
        <f t="shared" si="2"/>
        <v>100</v>
      </c>
      <c r="X12" s="769"/>
      <c r="Y12" s="3021"/>
      <c r="Z12" s="54" t="str">
        <f t="shared" si="7"/>
        <v>配建</v>
      </c>
      <c r="AA12" s="770">
        <f>D12/F12</f>
        <v>1</v>
      </c>
      <c r="AB12" s="770">
        <f>D12/H12</f>
        <v>1</v>
      </c>
      <c r="AC12" s="770">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188"/>
      <c r="Q13" s="1795">
        <f t="shared" si="6"/>
        <v>111</v>
      </c>
      <c r="R13" s="767" t="s">
        <v>17</v>
      </c>
      <c r="S13" s="768">
        <f t="shared" si="0"/>
        <v>100</v>
      </c>
      <c r="T13" s="767" t="s">
        <v>17</v>
      </c>
      <c r="U13" s="768">
        <f t="shared" si="1"/>
        <v>100</v>
      </c>
      <c r="V13" s="767" t="s">
        <v>17</v>
      </c>
      <c r="W13" s="768">
        <f t="shared" si="2"/>
        <v>100</v>
      </c>
      <c r="X13" s="769"/>
      <c r="Y13" s="3021"/>
      <c r="Z13" s="54">
        <f t="shared" si="7"/>
        <v>111</v>
      </c>
      <c r="AA13" s="770">
        <f>D13/F13</f>
        <v>1</v>
      </c>
      <c r="AB13" s="770">
        <f>D13/H13</f>
        <v>1</v>
      </c>
      <c r="AC13" s="770">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88"/>
      <c r="Q14" s="1795">
        <f t="shared" si="6"/>
        <v>111</v>
      </c>
      <c r="R14" s="767" t="s">
        <v>17</v>
      </c>
      <c r="S14" s="768">
        <f t="shared" si="0"/>
        <v>100</v>
      </c>
      <c r="T14" s="767" t="s">
        <v>17</v>
      </c>
      <c r="U14" s="768">
        <f t="shared" si="1"/>
        <v>100</v>
      </c>
      <c r="V14" s="767" t="s">
        <v>17</v>
      </c>
      <c r="W14" s="768">
        <f t="shared" si="2"/>
        <v>100</v>
      </c>
      <c r="X14" s="769"/>
      <c r="Y14" s="3021"/>
      <c r="Z14" s="54">
        <f t="shared" si="7"/>
        <v>111</v>
      </c>
      <c r="AA14" s="770">
        <f>D14/F14</f>
        <v>1</v>
      </c>
      <c r="AB14" s="770">
        <f>D14/H14</f>
        <v>1</v>
      </c>
      <c r="AC14" s="770">
        <f>D14/J14</f>
        <v>1</v>
      </c>
    </row>
    <row r="15" spans="1:30" ht="99.75">
      <c r="A15" s="439" t="s">
        <v>2564</v>
      </c>
      <c r="B15" s="68" t="s">
        <v>2089</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181" t="s">
        <v>2565</v>
      </c>
      <c r="Q15" s="1810" t="str">
        <f t="shared" si="6"/>
        <v>居住社区成熟度</v>
      </c>
      <c r="R15" s="771" t="s">
        <v>17</v>
      </c>
      <c r="S15" s="772">
        <f t="shared" si="0"/>
        <v>100</v>
      </c>
      <c r="T15" s="771" t="s">
        <v>17</v>
      </c>
      <c r="U15" s="772">
        <f t="shared" si="1"/>
        <v>100</v>
      </c>
      <c r="V15" s="771" t="s">
        <v>17</v>
      </c>
      <c r="W15" s="772">
        <f t="shared" si="2"/>
        <v>100</v>
      </c>
      <c r="X15" s="1813"/>
      <c r="Y15" s="3181" t="s">
        <v>2565</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0"/>
      <c r="M16" s="1131"/>
      <c r="N16" s="1131"/>
      <c r="O16" s="1139"/>
      <c r="P16" s="3182"/>
      <c r="Q16" s="1810"/>
      <c r="R16" s="771"/>
      <c r="S16" s="772"/>
      <c r="T16" s="771"/>
      <c r="U16" s="772"/>
      <c r="V16" s="771"/>
      <c r="W16" s="772"/>
      <c r="X16" s="1813"/>
      <c r="Y16" s="3182"/>
      <c r="Z16" s="1814"/>
      <c r="AA16" s="1811">
        <v>1</v>
      </c>
      <c r="AB16" s="1811">
        <v>1</v>
      </c>
      <c r="AC16" s="1811">
        <v>1</v>
      </c>
    </row>
    <row r="17" spans="1:29" ht="71.25">
      <c r="A17" s="427"/>
      <c r="B17" s="450" t="s">
        <v>2658</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182"/>
      <c r="Q17" s="1810" t="str">
        <f>B17</f>
        <v>商业繁华度</v>
      </c>
      <c r="R17" s="771" t="s">
        <v>17</v>
      </c>
      <c r="S17" s="772">
        <f>F17</f>
        <v>100</v>
      </c>
      <c r="T17" s="771" t="s">
        <v>17</v>
      </c>
      <c r="U17" s="772">
        <f>H17</f>
        <v>100</v>
      </c>
      <c r="V17" s="771" t="s">
        <v>17</v>
      </c>
      <c r="W17" s="772">
        <f>J17</f>
        <v>100</v>
      </c>
      <c r="X17" s="1813"/>
      <c r="Y17" s="3182"/>
      <c r="Z17" s="1814" t="str">
        <f>Q17</f>
        <v>商业繁华度</v>
      </c>
      <c r="AA17" s="1811">
        <f t="shared" si="3"/>
        <v>1</v>
      </c>
      <c r="AB17" s="1811">
        <f t="shared" si="4"/>
        <v>1</v>
      </c>
      <c r="AC17" s="1811">
        <f t="shared" si="5"/>
        <v>1</v>
      </c>
    </row>
    <row r="18" spans="1:29" ht="15">
      <c r="A18" s="427"/>
      <c r="B18" s="455"/>
      <c r="C18" s="2610"/>
      <c r="D18" s="449"/>
      <c r="E18" s="2612"/>
      <c r="F18" s="449"/>
      <c r="G18" s="2612"/>
      <c r="H18" s="447"/>
      <c r="I18" s="2611"/>
      <c r="J18" s="447"/>
      <c r="K18" s="671"/>
      <c r="L18" s="1140"/>
      <c r="M18" s="1131"/>
      <c r="N18" s="1131"/>
      <c r="O18" s="1139"/>
      <c r="P18" s="3182"/>
      <c r="Q18" s="1810"/>
      <c r="R18" s="771"/>
      <c r="S18" s="772"/>
      <c r="T18" s="771"/>
      <c r="U18" s="772"/>
      <c r="V18" s="771"/>
      <c r="W18" s="772"/>
      <c r="X18" s="1813"/>
      <c r="Y18" s="3182"/>
      <c r="Z18" s="1814"/>
      <c r="AA18" s="1811">
        <v>1</v>
      </c>
      <c r="AB18" s="1811">
        <v>1</v>
      </c>
      <c r="AC18" s="1811">
        <v>1</v>
      </c>
    </row>
    <row r="19" spans="1:29" ht="71.25">
      <c r="A19" s="427"/>
      <c r="B19" s="450" t="s">
        <v>2692</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82"/>
      <c r="Q19" s="1810" t="str">
        <f>B19</f>
        <v>办公集聚程度</v>
      </c>
      <c r="R19" s="771" t="s">
        <v>17</v>
      </c>
      <c r="S19" s="772">
        <f>F19</f>
        <v>100</v>
      </c>
      <c r="T19" s="771" t="s">
        <v>17</v>
      </c>
      <c r="U19" s="772">
        <f>H19</f>
        <v>100</v>
      </c>
      <c r="V19" s="771" t="s">
        <v>17</v>
      </c>
      <c r="W19" s="772">
        <f>J19</f>
        <v>100</v>
      </c>
      <c r="X19" s="1813"/>
      <c r="Y19" s="3182"/>
      <c r="Z19" s="1814" t="str">
        <f>Q19</f>
        <v>办公集聚程度</v>
      </c>
      <c r="AA19" s="1811">
        <f t="shared" si="3"/>
        <v>1</v>
      </c>
      <c r="AB19" s="1811">
        <f t="shared" si="4"/>
        <v>1</v>
      </c>
      <c r="AC19" s="1811">
        <f t="shared" si="5"/>
        <v>1</v>
      </c>
    </row>
    <row r="20" spans="1:29" ht="15">
      <c r="A20" s="427"/>
      <c r="B20" s="455"/>
      <c r="C20" s="446"/>
      <c r="D20" s="447"/>
      <c r="E20" s="2607"/>
      <c r="F20" s="447"/>
      <c r="G20" s="2607"/>
      <c r="H20" s="447"/>
      <c r="I20" s="2606"/>
      <c r="J20" s="447"/>
      <c r="K20" s="671"/>
      <c r="L20" s="1140"/>
      <c r="M20" s="1131"/>
      <c r="N20" s="1131"/>
      <c r="O20" s="1139"/>
      <c r="P20" s="3182"/>
      <c r="Q20" s="1810"/>
      <c r="R20" s="771"/>
      <c r="S20" s="772"/>
      <c r="T20" s="771"/>
      <c r="U20" s="772"/>
      <c r="V20" s="771"/>
      <c r="W20" s="772"/>
      <c r="X20" s="1813"/>
      <c r="Y20" s="3182"/>
      <c r="Z20" s="1814"/>
      <c r="AA20" s="1811">
        <v>1</v>
      </c>
      <c r="AB20" s="1811">
        <v>1</v>
      </c>
      <c r="AC20" s="1811">
        <v>1</v>
      </c>
    </row>
    <row r="21" spans="1:29" ht="85.5">
      <c r="A21" s="427"/>
      <c r="B21" s="450" t="s">
        <v>2714</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182"/>
      <c r="Q21" s="1810" t="str">
        <f>B21</f>
        <v>交通便捷度</v>
      </c>
      <c r="R21" s="771" t="s">
        <v>17</v>
      </c>
      <c r="S21" s="772">
        <f>F21</f>
        <v>100</v>
      </c>
      <c r="T21" s="771" t="s">
        <v>17</v>
      </c>
      <c r="U21" s="772">
        <f>H21</f>
        <v>100</v>
      </c>
      <c r="V21" s="771" t="s">
        <v>17</v>
      </c>
      <c r="W21" s="772">
        <f>J21</f>
        <v>100</v>
      </c>
      <c r="X21" s="1813"/>
      <c r="Y21" s="3182"/>
      <c r="Z21" s="1814" t="str">
        <f>Q21</f>
        <v>交通便捷度</v>
      </c>
      <c r="AA21" s="1811">
        <f t="shared" si="3"/>
        <v>1</v>
      </c>
      <c r="AB21" s="1811">
        <f t="shared" si="4"/>
        <v>1</v>
      </c>
      <c r="AC21" s="1811">
        <f t="shared" si="5"/>
        <v>1</v>
      </c>
    </row>
    <row r="22" spans="1:29" ht="15">
      <c r="A22" s="427"/>
      <c r="B22" s="1384"/>
      <c r="C22" s="446"/>
      <c r="D22" s="449"/>
      <c r="E22" s="2607"/>
      <c r="F22" s="447"/>
      <c r="G22" s="2607"/>
      <c r="H22" s="447"/>
      <c r="I22" s="2606"/>
      <c r="J22" s="447"/>
      <c r="K22" s="671"/>
      <c r="L22" s="1140"/>
      <c r="M22" s="1131"/>
      <c r="N22" s="1131"/>
      <c r="O22" s="1139"/>
      <c r="P22" s="3182"/>
      <c r="Q22" s="1810"/>
      <c r="R22" s="771"/>
      <c r="S22" s="772"/>
      <c r="T22" s="771"/>
      <c r="U22" s="772"/>
      <c r="V22" s="771"/>
      <c r="W22" s="772"/>
      <c r="X22" s="1813"/>
      <c r="Y22" s="3182"/>
      <c r="Z22" s="1814"/>
      <c r="AA22" s="1811">
        <v>1</v>
      </c>
      <c r="AB22" s="1811">
        <v>1</v>
      </c>
      <c r="AC22" s="1811">
        <v>1</v>
      </c>
    </row>
    <row r="23" spans="1:29" ht="15">
      <c r="A23" s="403"/>
      <c r="B23" s="450" t="s">
        <v>2753</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182"/>
      <c r="Q23" s="1810" t="str">
        <f t="shared" ref="Q23:Q37" si="8">B23</f>
        <v>区域土地利用方向</v>
      </c>
      <c r="R23" s="771" t="s">
        <v>17</v>
      </c>
      <c r="S23" s="772">
        <f>F23</f>
        <v>100</v>
      </c>
      <c r="T23" s="771" t="s">
        <v>17</v>
      </c>
      <c r="U23" s="772">
        <f>H23</f>
        <v>100</v>
      </c>
      <c r="V23" s="771" t="s">
        <v>17</v>
      </c>
      <c r="W23" s="772">
        <f>J23</f>
        <v>100</v>
      </c>
      <c r="X23" s="1813"/>
      <c r="Y23" s="3182"/>
      <c r="Z23" s="1814" t="str">
        <f>Q23</f>
        <v>区域土地利用方向</v>
      </c>
      <c r="AA23" s="1811">
        <f t="shared" si="3"/>
        <v>1</v>
      </c>
      <c r="AB23" s="1811">
        <f t="shared" si="4"/>
        <v>1</v>
      </c>
      <c r="AC23" s="1811">
        <f t="shared" si="5"/>
        <v>1</v>
      </c>
    </row>
    <row r="24" spans="1:29" ht="15">
      <c r="A24" s="403"/>
      <c r="B24" s="455"/>
      <c r="C24" s="615"/>
      <c r="D24" s="447"/>
      <c r="E24" s="2607"/>
      <c r="F24" s="447"/>
      <c r="G24" s="2606"/>
      <c r="H24" s="447"/>
      <c r="I24" s="2606"/>
      <c r="J24" s="447"/>
      <c r="K24" s="809"/>
      <c r="L24" s="1140"/>
      <c r="M24" s="1131"/>
      <c r="N24" s="1131"/>
      <c r="O24" s="1139"/>
      <c r="P24" s="3182"/>
      <c r="Q24" s="1810"/>
      <c r="R24" s="771"/>
      <c r="S24" s="772"/>
      <c r="T24" s="771"/>
      <c r="U24" s="772"/>
      <c r="V24" s="771"/>
      <c r="W24" s="772"/>
      <c r="X24" s="1813"/>
      <c r="Y24" s="3182"/>
      <c r="Z24" s="1814"/>
      <c r="AA24" s="1811"/>
      <c r="AB24" s="1811"/>
      <c r="AC24" s="1811"/>
    </row>
    <row r="25" spans="1:29" ht="57">
      <c r="A25" s="403"/>
      <c r="B25" s="1384" t="s">
        <v>2754</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182"/>
      <c r="Q25" s="1810" t="str">
        <f t="shared" si="8"/>
        <v>自然及人文环境状况</v>
      </c>
      <c r="R25" s="771" t="s">
        <v>17</v>
      </c>
      <c r="S25" s="772">
        <f>F25</f>
        <v>100</v>
      </c>
      <c r="T25" s="771" t="s">
        <v>17</v>
      </c>
      <c r="U25" s="772">
        <f>H25</f>
        <v>100</v>
      </c>
      <c r="V25" s="771" t="s">
        <v>17</v>
      </c>
      <c r="W25" s="772">
        <f>J25</f>
        <v>100</v>
      </c>
      <c r="X25" s="1813"/>
      <c r="Y25" s="3182"/>
      <c r="Z25" s="1814" t="str">
        <f>Q25</f>
        <v>自然及人文环境状况</v>
      </c>
      <c r="AA25" s="1811">
        <f t="shared" si="3"/>
        <v>1</v>
      </c>
      <c r="AB25" s="1811">
        <f t="shared" si="4"/>
        <v>1</v>
      </c>
      <c r="AC25" s="1811">
        <f t="shared" si="5"/>
        <v>1</v>
      </c>
    </row>
    <row r="26" spans="1:29" ht="15">
      <c r="A26" s="403"/>
      <c r="B26" s="455"/>
      <c r="C26" s="446"/>
      <c r="D26" s="447"/>
      <c r="E26" s="2613"/>
      <c r="F26" s="447"/>
      <c r="G26" s="2613"/>
      <c r="H26" s="447"/>
      <c r="I26" s="446"/>
      <c r="J26" s="447"/>
      <c r="K26" s="671"/>
      <c r="L26" s="1140"/>
      <c r="M26" s="1131"/>
      <c r="N26" s="1131"/>
      <c r="O26" s="1139"/>
      <c r="P26" s="3182"/>
      <c r="Q26" s="1810"/>
      <c r="R26" s="771"/>
      <c r="S26" s="772"/>
      <c r="T26" s="771"/>
      <c r="U26" s="772"/>
      <c r="V26" s="771"/>
      <c r="W26" s="772"/>
      <c r="X26" s="1813"/>
      <c r="Y26" s="3182"/>
      <c r="Z26" s="1814"/>
      <c r="AA26" s="1811">
        <v>1</v>
      </c>
      <c r="AB26" s="1811">
        <v>1</v>
      </c>
      <c r="AC26" s="1811">
        <v>1</v>
      </c>
    </row>
    <row r="27" spans="1:29" s="116" customFormat="1" ht="42.75">
      <c r="A27" s="648"/>
      <c r="B27" s="1384" t="s">
        <v>2659</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182"/>
      <c r="Q27" s="1795" t="str">
        <f t="shared" si="8"/>
        <v>公共配套设施</v>
      </c>
      <c r="R27" s="767" t="s">
        <v>17</v>
      </c>
      <c r="S27" s="768">
        <f>F27</f>
        <v>100</v>
      </c>
      <c r="T27" s="767" t="s">
        <v>17</v>
      </c>
      <c r="U27" s="768">
        <f>H27</f>
        <v>100</v>
      </c>
      <c r="V27" s="767" t="s">
        <v>17</v>
      </c>
      <c r="W27" s="768">
        <f>J27</f>
        <v>100</v>
      </c>
      <c r="X27" s="769"/>
      <c r="Y27" s="3182"/>
      <c r="Z27" s="54" t="str">
        <f>Q27</f>
        <v>公共配套设施</v>
      </c>
      <c r="AA27" s="1811">
        <f>D27/F27</f>
        <v>1</v>
      </c>
      <c r="AB27" s="1811">
        <f>D27/H27</f>
        <v>1</v>
      </c>
      <c r="AC27" s="1811">
        <f>D27/J27</f>
        <v>1</v>
      </c>
    </row>
    <row r="28" spans="1:29" s="116" customFormat="1" ht="15">
      <c r="A28" s="648"/>
      <c r="B28" s="455"/>
      <c r="C28" s="2702"/>
      <c r="D28" s="447"/>
      <c r="E28" s="2613"/>
      <c r="F28" s="447"/>
      <c r="G28" s="2613"/>
      <c r="H28" s="447"/>
      <c r="I28" s="446"/>
      <c r="J28" s="447"/>
      <c r="K28" s="671"/>
      <c r="L28" s="1132"/>
      <c r="M28" s="1133"/>
      <c r="N28" s="1133"/>
      <c r="O28" s="1134"/>
      <c r="P28" s="3182"/>
      <c r="Q28" s="1795"/>
      <c r="R28" s="767"/>
      <c r="S28" s="768"/>
      <c r="T28" s="767"/>
      <c r="U28" s="768"/>
      <c r="V28" s="767"/>
      <c r="W28" s="768"/>
      <c r="X28" s="769"/>
      <c r="Y28" s="3182"/>
      <c r="Z28" s="54"/>
      <c r="AA28" s="1811">
        <v>1</v>
      </c>
      <c r="AB28" s="1811">
        <v>1</v>
      </c>
      <c r="AC28" s="1811">
        <v>1</v>
      </c>
    </row>
    <row r="29" spans="1:29" s="116" customFormat="1" ht="28.5">
      <c r="A29" s="648"/>
      <c r="B29" s="1384" t="s">
        <v>2660</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182"/>
      <c r="Q29" s="1795" t="str">
        <f t="shared" ref="Q29" si="9">B29</f>
        <v>基础设施水平</v>
      </c>
      <c r="R29" s="767" t="s">
        <v>17</v>
      </c>
      <c r="S29" s="768">
        <f>F29</f>
        <v>100</v>
      </c>
      <c r="T29" s="767" t="s">
        <v>17</v>
      </c>
      <c r="U29" s="768">
        <f>H29</f>
        <v>100</v>
      </c>
      <c r="V29" s="767" t="s">
        <v>17</v>
      </c>
      <c r="W29" s="768">
        <f>J29</f>
        <v>100</v>
      </c>
      <c r="X29" s="769"/>
      <c r="Y29" s="3182"/>
      <c r="Z29" s="54" t="str">
        <f>Q29</f>
        <v>基础设施水平</v>
      </c>
      <c r="AA29" s="1811">
        <f>D29/F29</f>
        <v>1</v>
      </c>
      <c r="AB29" s="1811">
        <f>D29/H29</f>
        <v>1</v>
      </c>
      <c r="AC29" s="1811">
        <f>D29/J29</f>
        <v>1</v>
      </c>
    </row>
    <row r="30" spans="1:29" s="116" customFormat="1" ht="15">
      <c r="A30" s="648"/>
      <c r="B30" s="455"/>
      <c r="C30" s="2702"/>
      <c r="D30" s="447"/>
      <c r="E30" s="2703"/>
      <c r="F30" s="447"/>
      <c r="G30" s="2703"/>
      <c r="H30" s="447"/>
      <c r="I30" s="2703"/>
      <c r="J30" s="447"/>
      <c r="K30" s="671"/>
      <c r="L30" s="1132"/>
      <c r="M30" s="1133"/>
      <c r="N30" s="1133"/>
      <c r="O30" s="1134"/>
      <c r="P30" s="3182"/>
      <c r="Q30" s="1795"/>
      <c r="R30" s="767"/>
      <c r="S30" s="768"/>
      <c r="T30" s="767"/>
      <c r="U30" s="768"/>
      <c r="V30" s="767"/>
      <c r="W30" s="768"/>
      <c r="X30" s="769"/>
      <c r="Y30" s="3182"/>
      <c r="Z30" s="54"/>
      <c r="AA30" s="1811">
        <v>1</v>
      </c>
      <c r="AB30" s="1811">
        <v>1</v>
      </c>
      <c r="AC30" s="1811">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182"/>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82"/>
      <c r="Z31" s="1814" t="str">
        <f t="shared" ref="Z31:Z45" si="13">Q31</f>
        <v>临街状况</v>
      </c>
      <c r="AA31" s="1811">
        <f t="shared" si="3"/>
        <v>1</v>
      </c>
      <c r="AB31" s="1811">
        <f t="shared" si="4"/>
        <v>1</v>
      </c>
      <c r="AC31" s="1811">
        <f t="shared" si="5"/>
        <v>1</v>
      </c>
    </row>
    <row r="32" spans="1:29" ht="27">
      <c r="A32" s="427"/>
      <c r="B32" s="1384"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182"/>
      <c r="Q32" s="1810" t="str">
        <f t="shared" si="8"/>
        <v>毗邻道路的类型与等级</v>
      </c>
      <c r="R32" s="771" t="s">
        <v>17</v>
      </c>
      <c r="S32" s="772">
        <f t="shared" si="10"/>
        <v>100</v>
      </c>
      <c r="T32" s="771" t="s">
        <v>17</v>
      </c>
      <c r="U32" s="772">
        <f t="shared" si="11"/>
        <v>100</v>
      </c>
      <c r="V32" s="771" t="s">
        <v>17</v>
      </c>
      <c r="W32" s="772">
        <f t="shared" si="12"/>
        <v>100</v>
      </c>
      <c r="X32" s="1813"/>
      <c r="Y32" s="3182"/>
      <c r="Z32" s="1814" t="str">
        <f t="shared" si="13"/>
        <v>毗邻道路的类型与等级</v>
      </c>
      <c r="AA32" s="1811">
        <f t="shared" si="3"/>
        <v>1</v>
      </c>
      <c r="AB32" s="1811">
        <f t="shared" si="4"/>
        <v>1</v>
      </c>
      <c r="AC32" s="1811">
        <f t="shared" si="5"/>
        <v>1</v>
      </c>
    </row>
    <row r="33" spans="1:29" ht="15">
      <c r="A33" s="427"/>
      <c r="B33" s="455"/>
      <c r="C33" s="446"/>
      <c r="D33" s="447"/>
      <c r="E33" s="2613"/>
      <c r="F33" s="447"/>
      <c r="G33" s="2613"/>
      <c r="H33" s="447"/>
      <c r="I33" s="446"/>
      <c r="J33" s="447"/>
      <c r="K33" s="612"/>
      <c r="L33" s="1140"/>
      <c r="M33" s="1131"/>
      <c r="N33" s="1131"/>
      <c r="O33" s="1139"/>
      <c r="P33" s="3182"/>
      <c r="Q33" s="1810"/>
      <c r="R33" s="771"/>
      <c r="S33" s="772"/>
      <c r="T33" s="771"/>
      <c r="U33" s="772"/>
      <c r="V33" s="771"/>
      <c r="W33" s="772"/>
      <c r="X33" s="1813"/>
      <c r="Y33" s="3182"/>
      <c r="Z33" s="1814"/>
      <c r="AA33" s="1811">
        <v>1</v>
      </c>
      <c r="AB33" s="1811">
        <v>1</v>
      </c>
      <c r="AC33" s="1811">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82"/>
      <c r="Q34" s="1810" t="str">
        <f t="shared" si="8"/>
        <v>土地级别</v>
      </c>
      <c r="R34" s="771" t="s">
        <v>17</v>
      </c>
      <c r="S34" s="772">
        <f t="shared" si="10"/>
        <v>100</v>
      </c>
      <c r="T34" s="771" t="s">
        <v>17</v>
      </c>
      <c r="U34" s="772">
        <f t="shared" si="11"/>
        <v>100</v>
      </c>
      <c r="V34" s="771" t="s">
        <v>17</v>
      </c>
      <c r="W34" s="772">
        <f t="shared" si="12"/>
        <v>100</v>
      </c>
      <c r="X34" s="1813"/>
      <c r="Y34" s="3182"/>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82"/>
      <c r="Q35" s="1810">
        <f t="shared" si="8"/>
        <v>111</v>
      </c>
      <c r="R35" s="771" t="s">
        <v>17</v>
      </c>
      <c r="S35" s="772">
        <f t="shared" si="10"/>
        <v>100</v>
      </c>
      <c r="T35" s="771" t="s">
        <v>17</v>
      </c>
      <c r="U35" s="772">
        <f t="shared" si="11"/>
        <v>100</v>
      </c>
      <c r="V35" s="771" t="s">
        <v>17</v>
      </c>
      <c r="W35" s="772">
        <f t="shared" si="12"/>
        <v>100</v>
      </c>
      <c r="X35" s="1813"/>
      <c r="Y35" s="3182"/>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64" t="s">
        <v>2570</v>
      </c>
      <c r="Q36" s="1810">
        <f t="shared" si="8"/>
        <v>111</v>
      </c>
      <c r="R36" s="771" t="s">
        <v>17</v>
      </c>
      <c r="S36" s="772">
        <f t="shared" si="10"/>
        <v>100</v>
      </c>
      <c r="T36" s="771" t="s">
        <v>17</v>
      </c>
      <c r="U36" s="772">
        <f t="shared" si="11"/>
        <v>100</v>
      </c>
      <c r="V36" s="771" t="s">
        <v>17</v>
      </c>
      <c r="W36" s="772">
        <f t="shared" si="12"/>
        <v>100</v>
      </c>
      <c r="X36" s="1813"/>
      <c r="Y36" s="3186" t="s">
        <v>2570</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186"/>
      <c r="Q37" s="1810">
        <f t="shared" si="8"/>
        <v>111</v>
      </c>
      <c r="R37" s="774" t="s">
        <v>17</v>
      </c>
      <c r="S37" s="775">
        <f t="shared" si="10"/>
        <v>100</v>
      </c>
      <c r="T37" s="774" t="s">
        <v>17</v>
      </c>
      <c r="U37" s="775">
        <f t="shared" si="11"/>
        <v>100</v>
      </c>
      <c r="V37" s="774" t="s">
        <v>17</v>
      </c>
      <c r="W37" s="775">
        <f t="shared" si="12"/>
        <v>100</v>
      </c>
      <c r="X37" s="776"/>
      <c r="Y37" s="3186"/>
      <c r="Z37" s="777">
        <f t="shared" si="13"/>
        <v>111</v>
      </c>
      <c r="AA37" s="1811">
        <f t="shared" si="3"/>
        <v>1</v>
      </c>
      <c r="AB37" s="1811">
        <f t="shared" si="4"/>
        <v>1</v>
      </c>
      <c r="AC37" s="1811">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186"/>
      <c r="Q38" s="1810" t="str">
        <f>B38</f>
        <v>宗地面积</v>
      </c>
      <c r="R38" s="771" t="s">
        <v>17</v>
      </c>
      <c r="S38" s="772" t="e">
        <f t="shared" si="10"/>
        <v>#N/A</v>
      </c>
      <c r="T38" s="771" t="s">
        <v>17</v>
      </c>
      <c r="U38" s="772" t="e">
        <f t="shared" si="11"/>
        <v>#N/A</v>
      </c>
      <c r="V38" s="771" t="s">
        <v>17</v>
      </c>
      <c r="W38" s="772" t="e">
        <f t="shared" si="12"/>
        <v>#N/A</v>
      </c>
      <c r="X38" s="1813"/>
      <c r="Y38" s="3186"/>
      <c r="Z38" s="1814" t="str">
        <f t="shared" si="13"/>
        <v>宗地面积</v>
      </c>
      <c r="AA38" s="1811" t="e">
        <f t="shared" si="3"/>
        <v>#N/A</v>
      </c>
      <c r="AB38" s="1811" t="e">
        <f t="shared" si="4"/>
        <v>#N/A</v>
      </c>
      <c r="AC38" s="1811" t="e">
        <f t="shared" si="5"/>
        <v>#N/A</v>
      </c>
    </row>
    <row r="39" spans="1:29" ht="15">
      <c r="A39" s="471"/>
      <c r="B39" s="421" t="s">
        <v>2757</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0"/>
      <c r="M39" s="1131"/>
      <c r="N39" s="1131"/>
      <c r="O39" s="1139"/>
      <c r="P39" s="3186"/>
      <c r="Q39" s="1810" t="str">
        <f t="shared" ref="Q39:Q45" si="14">B39</f>
        <v>宗地形状</v>
      </c>
      <c r="R39" s="771" t="s">
        <v>17</v>
      </c>
      <c r="S39" s="772">
        <f t="shared" si="10"/>
        <v>100</v>
      </c>
      <c r="T39" s="771" t="s">
        <v>17</v>
      </c>
      <c r="U39" s="772">
        <f t="shared" si="11"/>
        <v>100</v>
      </c>
      <c r="V39" s="771" t="s">
        <v>17</v>
      </c>
      <c r="W39" s="772">
        <f t="shared" si="12"/>
        <v>100</v>
      </c>
      <c r="X39" s="1813"/>
      <c r="Y39" s="3186"/>
      <c r="Z39" s="1814" t="str">
        <f t="shared" si="13"/>
        <v>宗地形状</v>
      </c>
      <c r="AA39" s="1811">
        <f t="shared" si="3"/>
        <v>1</v>
      </c>
      <c r="AB39" s="1811">
        <f t="shared" si="4"/>
        <v>1</v>
      </c>
      <c r="AC39" s="1811">
        <f t="shared" si="5"/>
        <v>1</v>
      </c>
    </row>
    <row r="40" spans="1:29" ht="15">
      <c r="A40" s="471"/>
      <c r="B40" s="421" t="s">
        <v>2758</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0"/>
      <c r="M40" s="1131"/>
      <c r="N40" s="1131"/>
      <c r="O40" s="1139"/>
      <c r="P40" s="3186"/>
      <c r="Q40" s="1810" t="str">
        <f t="shared" si="14"/>
        <v>临街宽度及深度</v>
      </c>
      <c r="R40" s="771" t="s">
        <v>17</v>
      </c>
      <c r="S40" s="772">
        <f t="shared" si="10"/>
        <v>100</v>
      </c>
      <c r="T40" s="771" t="s">
        <v>17</v>
      </c>
      <c r="U40" s="772">
        <f t="shared" si="11"/>
        <v>100</v>
      </c>
      <c r="V40" s="771" t="s">
        <v>17</v>
      </c>
      <c r="W40" s="772">
        <f t="shared" si="12"/>
        <v>100</v>
      </c>
      <c r="X40" s="1813"/>
      <c r="Y40" s="3186"/>
      <c r="Z40" s="1814" t="str">
        <f t="shared" si="13"/>
        <v>临街宽度及深度</v>
      </c>
      <c r="AA40" s="1811">
        <f t="shared" si="3"/>
        <v>1</v>
      </c>
      <c r="AB40" s="1811">
        <f t="shared" si="4"/>
        <v>1</v>
      </c>
      <c r="AC40" s="1811">
        <f t="shared" si="5"/>
        <v>1</v>
      </c>
    </row>
    <row r="41" spans="1:29" s="116" customFormat="1" ht="15">
      <c r="A41" s="472"/>
      <c r="B41" s="421" t="s">
        <v>2759</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2"/>
      <c r="M41" s="1133"/>
      <c r="N41" s="1133"/>
      <c r="O41" s="1134"/>
      <c r="P41" s="3186"/>
      <c r="Q41" s="1810" t="str">
        <f t="shared" si="14"/>
        <v>宗地开发程度</v>
      </c>
      <c r="R41" s="767" t="s">
        <v>17</v>
      </c>
      <c r="S41" s="768">
        <f t="shared" si="10"/>
        <v>100</v>
      </c>
      <c r="T41" s="767" t="s">
        <v>17</v>
      </c>
      <c r="U41" s="768">
        <f t="shared" si="11"/>
        <v>100</v>
      </c>
      <c r="V41" s="767" t="s">
        <v>17</v>
      </c>
      <c r="W41" s="768">
        <f t="shared" si="12"/>
        <v>100</v>
      </c>
      <c r="X41" s="769"/>
      <c r="Y41" s="3186"/>
      <c r="Z41" s="54" t="str">
        <f t="shared" si="13"/>
        <v>宗地开发程度</v>
      </c>
      <c r="AA41" s="770">
        <f t="shared" si="3"/>
        <v>1</v>
      </c>
      <c r="AB41" s="770">
        <f t="shared" si="4"/>
        <v>1</v>
      </c>
      <c r="AC41" s="770">
        <f t="shared" si="5"/>
        <v>1</v>
      </c>
    </row>
    <row r="42" spans="1:29" ht="15">
      <c r="A42" s="471"/>
      <c r="B42" s="421" t="s">
        <v>2760</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0"/>
      <c r="M42" s="1131"/>
      <c r="N42" s="1131"/>
      <c r="O42" s="1139"/>
      <c r="P42" s="3186" t="s">
        <v>2570</v>
      </c>
      <c r="Q42" s="1810" t="str">
        <f t="shared" si="14"/>
        <v>工程地质条件</v>
      </c>
      <c r="R42" s="771" t="s">
        <v>17</v>
      </c>
      <c r="S42" s="772">
        <f t="shared" si="10"/>
        <v>100</v>
      </c>
      <c r="T42" s="771" t="s">
        <v>17</v>
      </c>
      <c r="U42" s="772">
        <f t="shared" si="11"/>
        <v>100</v>
      </c>
      <c r="V42" s="771" t="s">
        <v>17</v>
      </c>
      <c r="W42" s="772">
        <f t="shared" si="12"/>
        <v>100</v>
      </c>
      <c r="X42" s="1813"/>
      <c r="Y42" s="3186" t="s">
        <v>2570</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186"/>
      <c r="Q43" s="1810">
        <f t="shared" si="14"/>
        <v>111</v>
      </c>
      <c r="R43" s="771" t="s">
        <v>17</v>
      </c>
      <c r="S43" s="772">
        <f t="shared" si="10"/>
        <v>100</v>
      </c>
      <c r="T43" s="771" t="s">
        <v>17</v>
      </c>
      <c r="U43" s="772">
        <f t="shared" si="11"/>
        <v>100</v>
      </c>
      <c r="V43" s="771" t="s">
        <v>17</v>
      </c>
      <c r="W43" s="772">
        <f t="shared" si="12"/>
        <v>100</v>
      </c>
      <c r="X43" s="1813"/>
      <c r="Y43" s="3186"/>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186"/>
      <c r="Q44" s="1810">
        <f t="shared" si="14"/>
        <v>111</v>
      </c>
      <c r="R44" s="771" t="s">
        <v>17</v>
      </c>
      <c r="S44" s="772">
        <f t="shared" si="10"/>
        <v>100</v>
      </c>
      <c r="T44" s="771" t="s">
        <v>17</v>
      </c>
      <c r="U44" s="772">
        <f t="shared" si="11"/>
        <v>100</v>
      </c>
      <c r="V44" s="771" t="s">
        <v>17</v>
      </c>
      <c r="W44" s="772">
        <f t="shared" si="12"/>
        <v>100</v>
      </c>
      <c r="X44" s="1813"/>
      <c r="Y44" s="3186"/>
      <c r="Z44" s="1814">
        <f t="shared" si="13"/>
        <v>111</v>
      </c>
      <c r="AA44" s="1811">
        <f t="shared" si="3"/>
        <v>1</v>
      </c>
      <c r="AB44" s="1811">
        <f t="shared" si="4"/>
        <v>1</v>
      </c>
      <c r="AC44" s="1811">
        <f t="shared" si="5"/>
        <v>1</v>
      </c>
    </row>
    <row r="45" spans="1:29" s="470" customFormat="1" ht="15.75" thickBot="1">
      <c r="A45" s="467"/>
      <c r="B45" s="1387">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186"/>
      <c r="Q45" s="1810">
        <f t="shared" si="14"/>
        <v>111</v>
      </c>
      <c r="R45" s="774" t="s">
        <v>17</v>
      </c>
      <c r="S45" s="775">
        <f t="shared" si="10"/>
        <v>100</v>
      </c>
      <c r="T45" s="774" t="s">
        <v>17</v>
      </c>
      <c r="U45" s="775">
        <f t="shared" si="11"/>
        <v>100</v>
      </c>
      <c r="V45" s="774" t="s">
        <v>17</v>
      </c>
      <c r="W45" s="775">
        <f t="shared" si="12"/>
        <v>100</v>
      </c>
      <c r="X45" s="776"/>
      <c r="Y45" s="3186"/>
      <c r="Z45" s="777">
        <f t="shared" si="13"/>
        <v>111</v>
      </c>
      <c r="AA45" s="1811">
        <f t="shared" si="3"/>
        <v>1</v>
      </c>
      <c r="AB45" s="1811">
        <f t="shared" si="4"/>
        <v>1</v>
      </c>
      <c r="AC45" s="1811">
        <f t="shared" si="5"/>
        <v>1</v>
      </c>
    </row>
    <row r="46" spans="1:29" ht="15">
      <c r="A46" s="478" t="s">
        <v>2725</v>
      </c>
      <c r="B46" s="2706" t="s">
        <v>2761</v>
      </c>
      <c r="C46" s="681" t="s">
        <v>1</v>
      </c>
      <c r="D46" s="480"/>
      <c r="E46" s="481"/>
      <c r="F46" s="482"/>
      <c r="G46" s="483"/>
      <c r="H46" s="484"/>
      <c r="I46" s="481"/>
      <c r="J46" s="484"/>
      <c r="K46" s="780"/>
      <c r="L46" s="1143"/>
      <c r="M46" s="1144"/>
      <c r="N46" s="1131"/>
      <c r="O46" s="1144"/>
      <c r="P46" s="3188" t="str">
        <f>A46</f>
        <v>成交单价</v>
      </c>
      <c r="Q46" s="3188"/>
      <c r="R46" s="3148">
        <f>E46</f>
        <v>0</v>
      </c>
      <c r="S46" s="3148"/>
      <c r="T46" s="3148">
        <f>G46</f>
        <v>0</v>
      </c>
      <c r="U46" s="3148"/>
      <c r="V46" s="3148">
        <f>I46</f>
        <v>0</v>
      </c>
      <c r="W46" s="3148"/>
      <c r="X46" s="756"/>
      <c r="Y46" s="778"/>
      <c r="Z46" s="756"/>
      <c r="AA46" s="756"/>
      <c r="AB46" s="756"/>
      <c r="AC46" s="756"/>
    </row>
    <row r="47" spans="1:29" ht="15.75" thickBot="1">
      <c r="A47" s="485" t="s">
        <v>2674</v>
      </c>
      <c r="B47" s="682"/>
      <c r="C47" s="489" t="e">
        <f>R48</f>
        <v>#DIV/0!</v>
      </c>
      <c r="D47" s="488"/>
      <c r="E47" s="489" t="e">
        <f>R47</f>
        <v>#DIV/0!</v>
      </c>
      <c r="F47" s="490"/>
      <c r="G47" s="487" t="e">
        <f>T47</f>
        <v>#DIV/0!</v>
      </c>
      <c r="H47" s="488"/>
      <c r="I47" s="489" t="e">
        <f>V47</f>
        <v>#DIV/0!</v>
      </c>
      <c r="J47" s="488"/>
      <c r="K47" s="781"/>
      <c r="L47" s="1143"/>
      <c r="M47" s="1144"/>
      <c r="N47" s="1144"/>
      <c r="O47" s="1144"/>
      <c r="P47" s="3188" t="str">
        <f>A47</f>
        <v>比较价值（元/平方米）</v>
      </c>
      <c r="Q47" s="3188"/>
      <c r="R47" s="3265" t="e">
        <f>ROUND(PRODUCT(R46,AA7:AA45),0)</f>
        <v>#DIV/0!</v>
      </c>
      <c r="S47" s="3265"/>
      <c r="T47" s="3265" t="e">
        <f>ROUND(PRODUCT(T46,AB7:AB45),0)</f>
        <v>#DIV/0!</v>
      </c>
      <c r="U47" s="3265"/>
      <c r="V47" s="3265" t="e">
        <f>ROUND(PRODUCT(V46,AC7:AC45),0)</f>
        <v>#DIV/0!</v>
      </c>
      <c r="W47" s="3265"/>
      <c r="X47" s="756"/>
      <c r="Y47" s="756"/>
      <c r="Z47" s="756"/>
      <c r="AA47" s="756"/>
      <c r="AB47" s="756"/>
      <c r="AC47" s="756"/>
    </row>
    <row r="48" spans="1:29" ht="15.75" thickBot="1">
      <c r="A48" s="491" t="s">
        <v>2762</v>
      </c>
      <c r="B48" s="492"/>
      <c r="C48" s="493" t="e">
        <f>R48</f>
        <v>#DIV/0!</v>
      </c>
      <c r="D48" s="493"/>
      <c r="E48" s="493"/>
      <c r="F48" s="493"/>
      <c r="G48" s="493"/>
      <c r="H48" s="493"/>
      <c r="I48" s="493"/>
      <c r="J48" s="493"/>
      <c r="K48" s="782"/>
      <c r="L48" s="1143"/>
      <c r="M48" s="1144"/>
      <c r="N48" s="1144"/>
      <c r="O48" s="1144"/>
      <c r="P48" s="3190" t="str">
        <f>A48</f>
        <v>估价对象XX用房的比较价值（楼面单价，元/平方米）</v>
      </c>
      <c r="Q48" s="3191"/>
      <c r="R48" s="3266" t="e">
        <f>ROUND(AVERAGE(R47:V47),0)</f>
        <v>#DIV/0!</v>
      </c>
      <c r="S48" s="3266"/>
      <c r="T48" s="3266"/>
      <c r="U48" s="3266"/>
      <c r="V48" s="3266"/>
      <c r="W48" s="3266"/>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2763</v>
      </c>
      <c r="B55" s="684" t="s">
        <v>2764</v>
      </c>
      <c r="C55" s="2707" t="s">
        <v>2765</v>
      </c>
      <c r="D55" s="2708" t="s">
        <v>2766</v>
      </c>
      <c r="E55" s="685" t="s">
        <v>2767</v>
      </c>
      <c r="F55" s="1107" t="s">
        <v>2768</v>
      </c>
      <c r="G55" s="3166" t="s">
        <v>2769</v>
      </c>
      <c r="H55" s="3267"/>
      <c r="I55" s="143" t="s">
        <v>2770</v>
      </c>
      <c r="J55" s="2709">
        <f>项目基本情况!F35</f>
        <v>0</v>
      </c>
      <c r="K55" s="2710" t="s">
        <v>2771</v>
      </c>
      <c r="L55" s="1106"/>
      <c r="M55" s="1144"/>
      <c r="N55" s="1144"/>
      <c r="O55" s="1144"/>
    </row>
    <row r="56" spans="1:15" s="691" customFormat="1">
      <c r="A56" s="687" t="s">
        <v>2772</v>
      </c>
      <c r="B56" s="688" t="e">
        <f>C48</f>
        <v>#DIV/0!</v>
      </c>
      <c r="C56" s="689">
        <v>1</v>
      </c>
      <c r="D56" s="1163">
        <v>1</v>
      </c>
      <c r="E56" s="689">
        <f>'数据-汇总表'!E8+'数据-汇总表'!E9</f>
        <v>9285.3700000000008</v>
      </c>
      <c r="F56" s="1103" t="e">
        <f t="shared" ref="F56:F65" si="15">ROUND(B56*E56/10000,0)</f>
        <v>#DIV/0!</v>
      </c>
      <c r="G56" s="3165"/>
      <c r="H56" s="3188"/>
      <c r="I56" s="1108">
        <v>1</v>
      </c>
      <c r="J56" s="1111">
        <v>1</v>
      </c>
      <c r="K56" s="1145"/>
      <c r="L56" s="941"/>
      <c r="M56" s="941"/>
      <c r="N56" s="941"/>
      <c r="O56" s="941"/>
    </row>
    <row r="57" spans="1:15" s="691" customFormat="1">
      <c r="A57" s="692" t="s">
        <v>2773</v>
      </c>
      <c r="B57" s="261" t="e">
        <f>ROUND($C$48*C57*D57,0)</f>
        <v>#DIV/0!</v>
      </c>
      <c r="C57" s="199">
        <f t="shared" ref="C57:C65" si="16">IF($C$55="北京市系数",I57,J57)</f>
        <v>0.7</v>
      </c>
      <c r="D57" s="1164">
        <v>0.25</v>
      </c>
      <c r="E57" s="693"/>
      <c r="F57" s="1103" t="e">
        <f t="shared" si="15"/>
        <v>#DIV/0!</v>
      </c>
      <c r="G57" s="3268" t="s">
        <v>2774</v>
      </c>
      <c r="H57" s="1104" t="str">
        <f>项目基本情况!B37</f>
        <v>六级</v>
      </c>
      <c r="I57" s="1108">
        <f>SUMIF(修正!A45:A56,H57,修正!B45:B56)</f>
        <v>0.7</v>
      </c>
      <c r="J57" s="1112"/>
      <c r="K57" s="1144"/>
      <c r="L57" s="941"/>
      <c r="M57" s="941"/>
      <c r="N57" s="941"/>
      <c r="O57" s="941"/>
    </row>
    <row r="58" spans="1:15" s="691" customFormat="1">
      <c r="A58" s="692" t="s">
        <v>2775</v>
      </c>
      <c r="B58" s="261" t="e">
        <f t="shared" ref="B58:B65" si="17">ROUND($C$48*C58*D58,0)</f>
        <v>#DIV/0!</v>
      </c>
      <c r="C58" s="199">
        <f t="shared" si="16"/>
        <v>0.4</v>
      </c>
      <c r="D58" s="1164">
        <v>0.25</v>
      </c>
      <c r="E58" s="693"/>
      <c r="F58" s="1103" t="e">
        <f t="shared" si="15"/>
        <v>#DIV/0!</v>
      </c>
      <c r="G58" s="3268"/>
      <c r="H58" s="1104" t="str">
        <f>项目基本情况!B37</f>
        <v>六级</v>
      </c>
      <c r="I58" s="1108">
        <f>SUMIF(修正!A45:A56,H58,修正!C45:C56)</f>
        <v>0.4</v>
      </c>
      <c r="J58" s="1112"/>
      <c r="K58" s="1145"/>
      <c r="L58" s="941"/>
      <c r="M58" s="941"/>
      <c r="N58" s="941"/>
      <c r="O58" s="941"/>
    </row>
    <row r="59" spans="1:15" s="691" customFormat="1">
      <c r="A59" s="692" t="s">
        <v>2776</v>
      </c>
      <c r="B59" s="261" t="e">
        <f t="shared" si="17"/>
        <v>#DIV/0!</v>
      </c>
      <c r="C59" s="199">
        <f t="shared" si="16"/>
        <v>0.28000000000000003</v>
      </c>
      <c r="D59" s="1164">
        <v>0.25</v>
      </c>
      <c r="E59" s="693"/>
      <c r="F59" s="1103" t="e">
        <f t="shared" si="15"/>
        <v>#DIV/0!</v>
      </c>
      <c r="G59" s="3268"/>
      <c r="H59" s="1104" t="str">
        <f>项目基本情况!B37</f>
        <v>六级</v>
      </c>
      <c r="I59" s="1108">
        <f>SUMIF(修正!A45:A56,H59,修正!D45:D56)</f>
        <v>0.28000000000000003</v>
      </c>
      <c r="J59" s="1112"/>
      <c r="K59" s="1144"/>
      <c r="L59" s="941"/>
      <c r="M59" s="941"/>
      <c r="N59" s="941"/>
      <c r="O59" s="941"/>
    </row>
    <row r="60" spans="1:15" s="691" customFormat="1">
      <c r="A60" s="692" t="s">
        <v>2777</v>
      </c>
      <c r="B60" s="261" t="e">
        <f t="shared" si="17"/>
        <v>#DIV/0!</v>
      </c>
      <c r="C60" s="199">
        <f t="shared" si="16"/>
        <v>0.25</v>
      </c>
      <c r="D60" s="1164">
        <v>0.25</v>
      </c>
      <c r="E60" s="693"/>
      <c r="F60" s="1103" t="e">
        <f t="shared" si="15"/>
        <v>#DIV/0!</v>
      </c>
      <c r="G60" s="3268"/>
      <c r="H60" s="1104" t="str">
        <f>项目基本情况!B37</f>
        <v>六级</v>
      </c>
      <c r="I60" s="1108">
        <f>SUMIF(修正!A45:A56,H60,修正!E45:E56)</f>
        <v>0.25</v>
      </c>
      <c r="J60" s="1112"/>
      <c r="K60" s="1145"/>
      <c r="L60" s="941"/>
      <c r="M60" s="941"/>
      <c r="N60" s="941"/>
      <c r="O60" s="941"/>
    </row>
    <row r="61" spans="1:15" s="691" customFormat="1">
      <c r="A61" s="692" t="s">
        <v>2778</v>
      </c>
      <c r="B61" s="261" t="e">
        <f t="shared" si="17"/>
        <v>#DIV/0!</v>
      </c>
      <c r="C61" s="199">
        <f t="shared" si="16"/>
        <v>0</v>
      </c>
      <c r="D61" s="1164">
        <v>0.25</v>
      </c>
      <c r="E61" s="260">
        <f>'数据-汇总表'!E11</f>
        <v>0</v>
      </c>
      <c r="F61" s="1103" t="e">
        <f t="shared" si="15"/>
        <v>#DIV/0!</v>
      </c>
      <c r="G61" s="2711" t="s">
        <v>2779</v>
      </c>
      <c r="H61" s="1104">
        <f>项目基本情况!C37</f>
        <v>0</v>
      </c>
      <c r="I61" s="1108">
        <f>SUMIF(修正!A45:A56,H61,修正!F45:F56)</f>
        <v>0</v>
      </c>
      <c r="J61" s="1112"/>
      <c r="K61" s="1144"/>
      <c r="L61" s="941"/>
      <c r="M61" s="941"/>
      <c r="N61" s="941"/>
      <c r="O61" s="941"/>
    </row>
    <row r="62" spans="1:15" s="691" customFormat="1">
      <c r="A62" s="692" t="s">
        <v>2780</v>
      </c>
      <c r="B62" s="261" t="e">
        <f t="shared" si="17"/>
        <v>#DIV/0!</v>
      </c>
      <c r="C62" s="199">
        <f t="shared" si="16"/>
        <v>0</v>
      </c>
      <c r="D62" s="1164">
        <v>0.25</v>
      </c>
      <c r="E62" s="260">
        <f>'数据-汇总表'!E12</f>
        <v>0</v>
      </c>
      <c r="F62" s="1103" t="e">
        <f t="shared" si="15"/>
        <v>#DIV/0!</v>
      </c>
      <c r="G62" s="1109" t="s">
        <v>2781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2782</v>
      </c>
      <c r="B63" s="261" t="e">
        <f t="shared" si="17"/>
        <v>#DIV/0!</v>
      </c>
      <c r="C63" s="199">
        <f t="shared" si="16"/>
        <v>0</v>
      </c>
      <c r="D63" s="1164">
        <v>0.25</v>
      </c>
      <c r="E63" s="260">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2784</v>
      </c>
      <c r="B64" s="261" t="e">
        <f t="shared" si="17"/>
        <v>#DIV/0!</v>
      </c>
      <c r="C64" s="199">
        <f t="shared" si="16"/>
        <v>0.2</v>
      </c>
      <c r="D64" s="1164">
        <v>0.25</v>
      </c>
      <c r="E64" s="260">
        <f>'数据-汇总表'!E14</f>
        <v>0</v>
      </c>
      <c r="F64" s="1103" t="e">
        <f t="shared" si="15"/>
        <v>#DIV/0!</v>
      </c>
      <c r="G64" s="2711" t="s">
        <v>2774</v>
      </c>
      <c r="H64" s="1104" t="str">
        <f>项目基本情况!B37</f>
        <v>六级</v>
      </c>
      <c r="I64" s="1108">
        <f>SUMIF(修正!A45:A56,H64,修正!H45:H56)</f>
        <v>0.2</v>
      </c>
      <c r="J64" s="1112"/>
      <c r="K64" s="1145"/>
      <c r="L64" s="941"/>
      <c r="M64" s="941"/>
      <c r="N64" s="941"/>
      <c r="O64" s="941"/>
    </row>
    <row r="65" spans="1:17" s="691" customFormat="1" ht="15" thickBot="1">
      <c r="A65" s="692" t="s">
        <v>2785</v>
      </c>
      <c r="B65" s="261" t="e">
        <f t="shared" si="17"/>
        <v>#DIV/0!</v>
      </c>
      <c r="C65" s="199">
        <f t="shared" si="16"/>
        <v>0</v>
      </c>
      <c r="D65" s="1164">
        <v>0.25</v>
      </c>
      <c r="E65" s="260">
        <f>'数据-汇总表'!E15</f>
        <v>0</v>
      </c>
      <c r="F65" s="1103" t="e">
        <f t="shared" si="15"/>
        <v>#DIV/0!</v>
      </c>
      <c r="G65" s="2712" t="s">
        <v>2779</v>
      </c>
      <c r="H65" s="1114">
        <f>项目基本情况!C37</f>
        <v>0</v>
      </c>
      <c r="I65" s="1110">
        <f>SUMIF(修正!A45:A56,H65,修正!H45:H56)</f>
        <v>0</v>
      </c>
      <c r="J65" s="1113"/>
      <c r="K65" s="1144"/>
      <c r="L65" s="941"/>
      <c r="M65" s="941"/>
      <c r="N65" s="941"/>
      <c r="O65" s="941"/>
    </row>
    <row r="66" spans="1:17" s="691" customFormat="1" ht="13.5" thickBot="1">
      <c r="A66" s="694" t="s">
        <v>2786</v>
      </c>
      <c r="B66" s="695" t="s">
        <v>28</v>
      </c>
      <c r="C66" s="695" t="s">
        <v>29</v>
      </c>
      <c r="D66" s="695" t="s">
        <v>1029</v>
      </c>
      <c r="E66" s="695">
        <f>IF(B46="楼面地价",SUM(E56:E65),'数据-汇总表'!D3)</f>
        <v>9285.3700000000008</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2018-4-1</v>
      </c>
      <c r="D68" s="758">
        <f>EDATE(C68,-3)</f>
        <v>43101</v>
      </c>
      <c r="E68" s="758">
        <f>EDATE(D68,-3)</f>
        <v>43009</v>
      </c>
      <c r="F68" s="758">
        <f t="shared" ref="F68:O68" si="18">EDATE(E68,-3)</f>
        <v>42917</v>
      </c>
      <c r="G68" s="758">
        <f t="shared" si="18"/>
        <v>42826</v>
      </c>
      <c r="H68" s="758">
        <f t="shared" si="18"/>
        <v>42736</v>
      </c>
      <c r="I68" s="758">
        <f t="shared" si="18"/>
        <v>42644</v>
      </c>
      <c r="J68" s="758">
        <f t="shared" si="18"/>
        <v>42552</v>
      </c>
      <c r="K68" s="758">
        <f t="shared" si="18"/>
        <v>42461</v>
      </c>
      <c r="L68" s="758">
        <f t="shared" si="18"/>
        <v>42370</v>
      </c>
      <c r="M68" s="758">
        <f t="shared" si="18"/>
        <v>42278</v>
      </c>
      <c r="N68" s="758">
        <f t="shared" si="18"/>
        <v>42186</v>
      </c>
      <c r="O68" s="758">
        <f t="shared" si="18"/>
        <v>42095</v>
      </c>
    </row>
    <row r="69" spans="1:17" ht="21.75" thickBot="1">
      <c r="A69" s="760" t="s">
        <v>2679</v>
      </c>
      <c r="B69" s="756"/>
      <c r="C69" s="761"/>
      <c r="D69" s="761"/>
      <c r="E69" s="761"/>
      <c r="F69" s="762"/>
      <c r="G69" s="762"/>
      <c r="H69" s="761"/>
      <c r="I69" s="761"/>
      <c r="J69" s="1159"/>
      <c r="K69" s="1160"/>
      <c r="L69" s="1161"/>
      <c r="M69" s="1159"/>
      <c r="N69" s="1159"/>
      <c r="O69" s="1159"/>
      <c r="P69" s="502"/>
      <c r="Q69" s="503"/>
    </row>
    <row r="70" spans="1:17" s="507" customFormat="1" ht="15">
      <c r="A70" s="2713" t="s">
        <v>2787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6"/>
    </row>
    <row r="71" spans="1:17" s="116" customFormat="1" ht="30" customHeight="1">
      <c r="A71" s="2714" t="s">
        <v>2788</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7"/>
      <c r="N71" s="594"/>
      <c r="O71" s="1568"/>
      <c r="P71" s="503"/>
    </row>
    <row r="72" spans="1:17" s="116" customFormat="1" ht="15.75" thickBot="1">
      <c r="A72" s="514" t="s">
        <v>2590</v>
      </c>
      <c r="B72" s="515"/>
      <c r="C72" s="516"/>
      <c r="D72" s="517"/>
      <c r="E72" s="517"/>
      <c r="F72" s="517"/>
      <c r="G72" s="517"/>
      <c r="H72" s="517"/>
      <c r="I72" s="517"/>
      <c r="J72" s="517"/>
      <c r="K72" s="517"/>
      <c r="L72" s="517"/>
      <c r="M72" s="518"/>
      <c r="N72" s="517"/>
      <c r="O72" s="1162"/>
      <c r="P72" s="503"/>
      <c r="Q72" s="503"/>
    </row>
    <row r="73" spans="1:17" s="116" customFormat="1" ht="15">
      <c r="A73" s="520" t="s">
        <v>2555</v>
      </c>
      <c r="B73" s="509"/>
      <c r="C73" s="521" t="s">
        <v>2657</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2593</v>
      </c>
      <c r="B75" s="527" t="s">
        <v>2559</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2562</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2696</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2755</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2797</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2798</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2799</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2800</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2332</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166" t="s">
        <v>2651</v>
      </c>
      <c r="D4" s="3167"/>
      <c r="E4" s="3168" t="s">
        <v>2652</v>
      </c>
      <c r="F4" s="3169"/>
      <c r="G4" s="3166" t="s">
        <v>2653</v>
      </c>
      <c r="H4" s="3167"/>
      <c r="I4" s="3166" t="s">
        <v>2654</v>
      </c>
      <c r="J4" s="3167"/>
      <c r="K4" s="609" t="s">
        <v>2655</v>
      </c>
      <c r="L4" s="1130"/>
      <c r="M4" s="1131"/>
      <c r="N4" s="1131"/>
      <c r="O4" s="1131"/>
      <c r="P4" s="3170" t="s">
        <v>2656</v>
      </c>
      <c r="Q4" s="3171"/>
      <c r="R4" s="3151" t="s">
        <v>2652</v>
      </c>
      <c r="S4" s="3152"/>
      <c r="T4" s="3151" t="s">
        <v>2653</v>
      </c>
      <c r="U4" s="3152"/>
      <c r="V4" s="3148" t="s">
        <v>2654</v>
      </c>
      <c r="W4" s="3148"/>
      <c r="X4" s="1813"/>
      <c r="Y4" s="3151" t="s">
        <v>2656</v>
      </c>
      <c r="Z4" s="3152"/>
      <c r="AA4" s="3145" t="s">
        <v>2652</v>
      </c>
      <c r="AB4" s="3146" t="s">
        <v>2653</v>
      </c>
      <c r="AC4" s="3145" t="s">
        <v>2654</v>
      </c>
    </row>
    <row r="5" spans="1:29" ht="15">
      <c r="A5" s="403"/>
      <c r="B5" s="404"/>
      <c r="C5" s="3157" t="s">
        <v>2547</v>
      </c>
      <c r="D5" s="3158"/>
      <c r="E5" s="3247" t="s">
        <v>2548</v>
      </c>
      <c r="F5" s="3156"/>
      <c r="G5" s="3157" t="s">
        <v>2549</v>
      </c>
      <c r="H5" s="3158"/>
      <c r="I5" s="3157" t="s">
        <v>2550</v>
      </c>
      <c r="J5" s="3158"/>
      <c r="K5" s="609"/>
      <c r="L5" s="1130"/>
      <c r="M5" s="1131"/>
      <c r="N5" s="1131"/>
      <c r="O5" s="1131"/>
      <c r="P5" s="3172"/>
      <c r="Q5" s="3173"/>
      <c r="R5" s="3153"/>
      <c r="S5" s="3154"/>
      <c r="T5" s="3153"/>
      <c r="U5" s="3154"/>
      <c r="V5" s="3148"/>
      <c r="W5" s="3148"/>
      <c r="X5" s="1813"/>
      <c r="Y5" s="3153"/>
      <c r="Z5" s="3154"/>
      <c r="AA5" s="3146"/>
      <c r="AB5" s="3146"/>
      <c r="AC5" s="3146"/>
    </row>
    <row r="6" spans="1:29" ht="15.75" thickBot="1">
      <c r="A6" s="405"/>
      <c r="B6" s="406"/>
      <c r="C6" s="3269" t="s">
        <v>2802</v>
      </c>
      <c r="D6" s="3270"/>
      <c r="E6" s="3271" t="s">
        <v>2802</v>
      </c>
      <c r="F6" s="3272"/>
      <c r="G6" s="3269" t="s">
        <v>2802</v>
      </c>
      <c r="H6" s="3270"/>
      <c r="I6" s="3269" t="s">
        <v>2802</v>
      </c>
      <c r="J6" s="3270"/>
      <c r="K6" s="609" t="s">
        <v>2552</v>
      </c>
      <c r="L6" s="1130"/>
      <c r="M6" s="1131"/>
      <c r="N6" s="1131"/>
      <c r="O6" s="1131"/>
      <c r="P6" s="3174"/>
      <c r="Q6" s="3175"/>
      <c r="R6" s="3153"/>
      <c r="S6" s="3154"/>
      <c r="T6" s="3176"/>
      <c r="U6" s="3177"/>
      <c r="V6" s="3148"/>
      <c r="W6" s="3148"/>
      <c r="X6" s="1813"/>
      <c r="Y6" s="3176"/>
      <c r="Z6" s="3177"/>
      <c r="AA6" s="3147"/>
      <c r="AB6" s="3147"/>
      <c r="AC6" s="3147"/>
    </row>
    <row r="7" spans="1:29" s="116" customFormat="1" ht="15.75" thickBot="1">
      <c r="A7" s="407" t="s">
        <v>2553</v>
      </c>
      <c r="B7" s="408"/>
      <c r="C7" s="409">
        <f>'数据-取费表'!B2</f>
        <v>43208</v>
      </c>
      <c r="D7" s="410">
        <v>100</v>
      </c>
      <c r="E7" s="411"/>
      <c r="F7" s="412">
        <f>SUMIF(65:65,YEAR(E7)&amp;"-"&amp;INT((MONTH(E7)+2)/3),66:66)</f>
        <v>0</v>
      </c>
      <c r="G7" s="2698"/>
      <c r="H7" s="410">
        <f>SUMIF(65:65,YEAR(G7)&amp;"-"&amp;INT((MONTH(G7)+2)/3),66:66)</f>
        <v>0</v>
      </c>
      <c r="I7" s="2698"/>
      <c r="J7" s="410">
        <f>SUMIF(65:65,YEAR(I7)&amp;"-"&amp;INT((MONTH(I7)+2)/3),66:66)</f>
        <v>0</v>
      </c>
      <c r="K7" s="610"/>
      <c r="L7" s="1132"/>
      <c r="M7" s="1133"/>
      <c r="N7" s="1133"/>
      <c r="O7" s="1133"/>
      <c r="P7" s="3149" t="s">
        <v>2554</v>
      </c>
      <c r="Q7" s="3178"/>
      <c r="R7" s="767" t="s">
        <v>17</v>
      </c>
      <c r="S7" s="768">
        <f t="shared" ref="S7:S15" si="0">F7</f>
        <v>0</v>
      </c>
      <c r="T7" s="767" t="s">
        <v>17</v>
      </c>
      <c r="U7" s="768">
        <f t="shared" ref="U7:U15" si="1">H7</f>
        <v>0</v>
      </c>
      <c r="V7" s="767" t="s">
        <v>17</v>
      </c>
      <c r="W7" s="768">
        <f t="shared" ref="W7:W15" si="2">J7</f>
        <v>0</v>
      </c>
      <c r="X7" s="769"/>
      <c r="Y7" s="3149" t="s">
        <v>2554</v>
      </c>
      <c r="Z7" s="3150"/>
      <c r="AA7" s="770" t="e">
        <f>D7/F7</f>
        <v>#DIV/0!</v>
      </c>
      <c r="AB7" s="770" t="e">
        <f>D7/H7</f>
        <v>#DIV/0!</v>
      </c>
      <c r="AC7" s="770"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149" t="s">
        <v>2557</v>
      </c>
      <c r="Q8" s="3150"/>
      <c r="R8" s="767" t="s">
        <v>17</v>
      </c>
      <c r="S8" s="768">
        <f t="shared" si="0"/>
        <v>0</v>
      </c>
      <c r="T8" s="767" t="s">
        <v>17</v>
      </c>
      <c r="U8" s="768">
        <f t="shared" si="1"/>
        <v>0</v>
      </c>
      <c r="V8" s="767" t="s">
        <v>17</v>
      </c>
      <c r="W8" s="768">
        <f t="shared" si="2"/>
        <v>0</v>
      </c>
      <c r="X8" s="769"/>
      <c r="Y8" s="3149" t="s">
        <v>2557</v>
      </c>
      <c r="Z8" s="3150"/>
      <c r="AA8" s="770" t="e">
        <f t="shared" ref="AA8:AA40" si="3">D8/F8</f>
        <v>#DIV/0!</v>
      </c>
      <c r="AB8" s="770" t="e">
        <f t="shared" ref="AB8:AB40" si="4">D8/H8</f>
        <v>#DIV/0!</v>
      </c>
      <c r="AC8" s="770" t="e">
        <f t="shared" ref="AC8:AC40" si="5">D8/J8</f>
        <v>#DIV/0!</v>
      </c>
    </row>
    <row r="9" spans="1:29" s="116" customFormat="1">
      <c r="A9" s="414" t="s">
        <v>2558</v>
      </c>
      <c r="B9" s="70" t="s">
        <v>2559</v>
      </c>
      <c r="C9" s="2701"/>
      <c r="D9" s="134">
        <v>100</v>
      </c>
      <c r="E9" s="2701"/>
      <c r="F9" s="134">
        <f>SUMIF(70:70,E9,71:71)-SUMIF(70:70,C9,71:71)+100</f>
        <v>100</v>
      </c>
      <c r="G9" s="2701"/>
      <c r="H9" s="134">
        <f>SUMIF(70:70,G9,71:71)-SUMIF(70:70,C9,71:71)+100</f>
        <v>100</v>
      </c>
      <c r="I9" s="2701"/>
      <c r="J9" s="134">
        <f>SUMIF(70:70,I9,71:71)-SUMIF(70:70,C9,71:71)+100</f>
        <v>100</v>
      </c>
      <c r="K9" s="610"/>
      <c r="L9" s="1132"/>
      <c r="M9" s="1133"/>
      <c r="N9" s="1133"/>
      <c r="O9" s="1134"/>
      <c r="P9" s="3188" t="s">
        <v>2560</v>
      </c>
      <c r="Q9" s="1795" t="str">
        <f t="shared" ref="Q9:Q15" si="6">B9</f>
        <v>用途</v>
      </c>
      <c r="R9" s="767" t="s">
        <v>17</v>
      </c>
      <c r="S9" s="768">
        <f t="shared" si="0"/>
        <v>100</v>
      </c>
      <c r="T9" s="767" t="s">
        <v>17</v>
      </c>
      <c r="U9" s="768">
        <f t="shared" si="1"/>
        <v>100</v>
      </c>
      <c r="V9" s="767" t="s">
        <v>17</v>
      </c>
      <c r="W9" s="768">
        <f t="shared" si="2"/>
        <v>100</v>
      </c>
      <c r="X9" s="769"/>
      <c r="Y9" s="3021" t="s">
        <v>2561</v>
      </c>
      <c r="Z9" s="54" t="str">
        <f t="shared" ref="Z9:Z15" si="7">Q9</f>
        <v>用途</v>
      </c>
      <c r="AA9" s="770">
        <f t="shared" si="3"/>
        <v>1</v>
      </c>
      <c r="AB9" s="770">
        <f t="shared" si="4"/>
        <v>1</v>
      </c>
      <c r="AC9" s="770">
        <f t="shared" si="5"/>
        <v>1</v>
      </c>
    </row>
    <row r="10" spans="1:29" s="426" customFormat="1" ht="27">
      <c r="A10" s="420"/>
      <c r="B10" s="421" t="s">
        <v>2562</v>
      </c>
      <c r="C10" s="431"/>
      <c r="D10" s="135">
        <v>100</v>
      </c>
      <c r="E10" s="431"/>
      <c r="F10" s="135">
        <f>ROUND(100/'数据-取费表'!G16,0)</f>
        <v>110</v>
      </c>
      <c r="G10" s="431"/>
      <c r="H10" s="135">
        <f>ROUND(100/'数据-取费表'!G16,0)</f>
        <v>110</v>
      </c>
      <c r="I10" s="431"/>
      <c r="J10" s="135">
        <f>ROUND(100/'数据-取费表'!G16,0)</f>
        <v>110</v>
      </c>
      <c r="K10" s="671"/>
      <c r="L10" s="1135"/>
      <c r="M10" s="1136"/>
      <c r="N10" s="1136"/>
      <c r="O10" s="1137"/>
      <c r="P10" s="3188"/>
      <c r="Q10" s="1795" t="str">
        <f t="shared" si="6"/>
        <v>土地使用年限（年）</v>
      </c>
      <c r="R10" s="767" t="s">
        <v>17</v>
      </c>
      <c r="S10" s="768">
        <f t="shared" si="0"/>
        <v>110</v>
      </c>
      <c r="T10" s="767" t="s">
        <v>17</v>
      </c>
      <c r="U10" s="768">
        <f t="shared" si="1"/>
        <v>110</v>
      </c>
      <c r="V10" s="767" t="s">
        <v>17</v>
      </c>
      <c r="W10" s="768">
        <f t="shared" si="2"/>
        <v>110</v>
      </c>
      <c r="X10" s="769"/>
      <c r="Y10" s="3021"/>
      <c r="Z10" s="54" t="str">
        <f t="shared" si="7"/>
        <v>土地使用年限（年）</v>
      </c>
      <c r="AA10" s="770">
        <f t="shared" si="3"/>
        <v>0.90909090909090906</v>
      </c>
      <c r="AB10" s="770">
        <f t="shared" si="4"/>
        <v>0.90909090909090906</v>
      </c>
      <c r="AC10" s="770">
        <f t="shared" si="5"/>
        <v>0.90909090909090906</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188"/>
      <c r="Q11" s="1795"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770"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188"/>
      <c r="Q12" s="1795">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188"/>
      <c r="Q13" s="1795">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88"/>
      <c r="Q14" s="1795">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770">
        <f t="shared" si="5"/>
        <v>1</v>
      </c>
    </row>
    <row r="15" spans="1:29" ht="57">
      <c r="A15" s="439" t="s">
        <v>2564</v>
      </c>
      <c r="B15" s="628" t="s">
        <v>2803</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181" t="s">
        <v>2565</v>
      </c>
      <c r="Q15" s="1810" t="str">
        <f t="shared" si="6"/>
        <v>产业集聚程度</v>
      </c>
      <c r="R15" s="771" t="s">
        <v>17</v>
      </c>
      <c r="S15" s="772">
        <f t="shared" si="0"/>
        <v>100</v>
      </c>
      <c r="T15" s="771" t="s">
        <v>17</v>
      </c>
      <c r="U15" s="772">
        <f t="shared" si="1"/>
        <v>100</v>
      </c>
      <c r="V15" s="771" t="s">
        <v>17</v>
      </c>
      <c r="W15" s="772">
        <f t="shared" si="2"/>
        <v>100</v>
      </c>
      <c r="X15" s="1813"/>
      <c r="Y15" s="3181" t="s">
        <v>2565</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0"/>
      <c r="M16" s="1131"/>
      <c r="N16" s="1131"/>
      <c r="O16" s="1139"/>
      <c r="P16" s="3182"/>
      <c r="Q16" s="1810"/>
      <c r="R16" s="771"/>
      <c r="S16" s="772"/>
      <c r="T16" s="771"/>
      <c r="U16" s="772"/>
      <c r="V16" s="771"/>
      <c r="W16" s="772"/>
      <c r="X16" s="1813"/>
      <c r="Y16" s="3182"/>
      <c r="Z16" s="1814"/>
      <c r="AA16" s="1811">
        <v>1</v>
      </c>
      <c r="AB16" s="1811">
        <v>1</v>
      </c>
      <c r="AC16" s="1811">
        <v>1</v>
      </c>
    </row>
    <row r="17" spans="1:29" ht="85.5">
      <c r="A17" s="427"/>
      <c r="B17" s="630" t="s">
        <v>2714</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182"/>
      <c r="Q17" s="1810" t="str">
        <f>B17</f>
        <v>交通便捷度</v>
      </c>
      <c r="R17" s="771" t="s">
        <v>17</v>
      </c>
      <c r="S17" s="772">
        <f>F17</f>
        <v>100</v>
      </c>
      <c r="T17" s="771" t="s">
        <v>17</v>
      </c>
      <c r="U17" s="772">
        <f>H17</f>
        <v>100</v>
      </c>
      <c r="V17" s="771" t="s">
        <v>17</v>
      </c>
      <c r="W17" s="772">
        <f>J17</f>
        <v>100</v>
      </c>
      <c r="X17" s="1813"/>
      <c r="Y17" s="3182"/>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0"/>
      <c r="M18" s="1131"/>
      <c r="N18" s="1131"/>
      <c r="O18" s="1139"/>
      <c r="P18" s="3182"/>
      <c r="Q18" s="1810"/>
      <c r="R18" s="771"/>
      <c r="S18" s="772"/>
      <c r="T18" s="771"/>
      <c r="U18" s="772"/>
      <c r="V18" s="771"/>
      <c r="W18" s="772"/>
      <c r="X18" s="1813"/>
      <c r="Y18" s="3182"/>
      <c r="Z18" s="1814"/>
      <c r="AA18" s="1811">
        <v>1</v>
      </c>
      <c r="AB18" s="1811">
        <v>1</v>
      </c>
      <c r="AC18" s="1811">
        <v>1</v>
      </c>
    </row>
    <row r="19" spans="1:29" ht="15">
      <c r="A19" s="427"/>
      <c r="B19" s="630" t="s">
        <v>2753</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182"/>
      <c r="Q19" s="1810" t="str">
        <f t="shared" ref="Q19:Q33" si="8">B19</f>
        <v>区域土地利用方向</v>
      </c>
      <c r="R19" s="771" t="s">
        <v>17</v>
      </c>
      <c r="S19" s="772">
        <f>F19</f>
        <v>100</v>
      </c>
      <c r="T19" s="771" t="s">
        <v>17</v>
      </c>
      <c r="U19" s="772">
        <f>H19</f>
        <v>100</v>
      </c>
      <c r="V19" s="771" t="s">
        <v>17</v>
      </c>
      <c r="W19" s="772">
        <f>J19</f>
        <v>100</v>
      </c>
      <c r="X19" s="1813"/>
      <c r="Y19" s="3182"/>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09"/>
      <c r="L20" s="1140"/>
      <c r="M20" s="1131"/>
      <c r="N20" s="1131"/>
      <c r="O20" s="1139"/>
      <c r="P20" s="3182"/>
      <c r="Q20" s="1810"/>
      <c r="R20" s="771"/>
      <c r="S20" s="772"/>
      <c r="T20" s="771"/>
      <c r="U20" s="772"/>
      <c r="V20" s="771"/>
      <c r="W20" s="772"/>
      <c r="X20" s="1813"/>
      <c r="Y20" s="3182"/>
      <c r="Z20" s="1814"/>
      <c r="AA20" s="1811"/>
      <c r="AB20" s="1811"/>
      <c r="AC20" s="1811"/>
    </row>
    <row r="21" spans="1:29" ht="71.25">
      <c r="A21" s="403"/>
      <c r="B21" s="630" t="s">
        <v>2804</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182"/>
      <c r="Q21" s="1810" t="str">
        <f t="shared" si="8"/>
        <v>环境状况</v>
      </c>
      <c r="R21" s="771" t="s">
        <v>17</v>
      </c>
      <c r="S21" s="772">
        <f>F21</f>
        <v>100</v>
      </c>
      <c r="T21" s="771" t="s">
        <v>17</v>
      </c>
      <c r="U21" s="772">
        <f>H21</f>
        <v>100</v>
      </c>
      <c r="V21" s="771" t="s">
        <v>17</v>
      </c>
      <c r="W21" s="772">
        <f>J21</f>
        <v>100</v>
      </c>
      <c r="X21" s="1813"/>
      <c r="Y21" s="3182"/>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0"/>
      <c r="M22" s="1131"/>
      <c r="N22" s="1131"/>
      <c r="O22" s="1139"/>
      <c r="P22" s="3182"/>
      <c r="Q22" s="1810"/>
      <c r="R22" s="771"/>
      <c r="S22" s="772"/>
      <c r="T22" s="771"/>
      <c r="U22" s="772"/>
      <c r="V22" s="771"/>
      <c r="W22" s="772"/>
      <c r="X22" s="1813"/>
      <c r="Y22" s="3182"/>
      <c r="Z22" s="1814"/>
      <c r="AA22" s="1811">
        <v>1</v>
      </c>
      <c r="AB22" s="1811">
        <v>1</v>
      </c>
      <c r="AC22" s="1811">
        <v>1</v>
      </c>
    </row>
    <row r="23" spans="1:29" s="116" customFormat="1" ht="42.75">
      <c r="A23" s="648"/>
      <c r="B23" s="632" t="s">
        <v>2659</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182"/>
      <c r="Q23" s="1795" t="str">
        <f t="shared" si="8"/>
        <v>公共配套设施</v>
      </c>
      <c r="R23" s="767" t="s">
        <v>17</v>
      </c>
      <c r="S23" s="768">
        <f>F23</f>
        <v>100</v>
      </c>
      <c r="T23" s="767" t="s">
        <v>17</v>
      </c>
      <c r="U23" s="768">
        <f>H23</f>
        <v>100</v>
      </c>
      <c r="V23" s="767" t="s">
        <v>17</v>
      </c>
      <c r="W23" s="768">
        <f>J23</f>
        <v>100</v>
      </c>
      <c r="X23" s="769"/>
      <c r="Y23" s="3182"/>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2"/>
      <c r="M24" s="1133"/>
      <c r="N24" s="1133"/>
      <c r="O24" s="1134"/>
      <c r="P24" s="3182"/>
      <c r="Q24" s="1795"/>
      <c r="R24" s="767"/>
      <c r="S24" s="768"/>
      <c r="T24" s="767"/>
      <c r="U24" s="768"/>
      <c r="V24" s="767"/>
      <c r="W24" s="768"/>
      <c r="X24" s="769"/>
      <c r="Y24" s="3182"/>
      <c r="Z24" s="54"/>
      <c r="AA24" s="770">
        <v>1</v>
      </c>
      <c r="AB24" s="770">
        <v>1</v>
      </c>
      <c r="AC24" s="770">
        <v>1</v>
      </c>
    </row>
    <row r="25" spans="1:29" s="116" customFormat="1" ht="28.5">
      <c r="A25" s="648"/>
      <c r="B25" s="632" t="s">
        <v>2660</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182"/>
      <c r="Q25" s="1795" t="str">
        <f t="shared" ref="Q25" si="9">B25</f>
        <v>基础设施水平</v>
      </c>
      <c r="R25" s="767" t="s">
        <v>17</v>
      </c>
      <c r="S25" s="768">
        <f>F25</f>
        <v>100</v>
      </c>
      <c r="T25" s="767" t="s">
        <v>17</v>
      </c>
      <c r="U25" s="768">
        <f>H25</f>
        <v>100</v>
      </c>
      <c r="V25" s="767" t="s">
        <v>17</v>
      </c>
      <c r="W25" s="768">
        <f>J25</f>
        <v>100</v>
      </c>
      <c r="X25" s="769"/>
      <c r="Y25" s="3182"/>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2"/>
      <c r="M26" s="1133"/>
      <c r="N26" s="1133"/>
      <c r="O26" s="1134"/>
      <c r="P26" s="3182"/>
      <c r="Q26" s="1795"/>
      <c r="R26" s="767"/>
      <c r="S26" s="768"/>
      <c r="T26" s="767"/>
      <c r="U26" s="768"/>
      <c r="V26" s="767"/>
      <c r="W26" s="768"/>
      <c r="X26" s="769"/>
      <c r="Y26" s="3182"/>
      <c r="Z26" s="54"/>
      <c r="AA26" s="770">
        <v>1</v>
      </c>
      <c r="AB26" s="770">
        <v>1</v>
      </c>
      <c r="AC26" s="770">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182"/>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82"/>
      <c r="Z27" s="1814" t="str">
        <f t="shared" ref="Z27:Z40" si="13">Q27</f>
        <v>临街状况</v>
      </c>
      <c r="AA27" s="1811">
        <f t="shared" si="3"/>
        <v>1</v>
      </c>
      <c r="AB27" s="1811">
        <f t="shared" si="4"/>
        <v>1</v>
      </c>
      <c r="AC27" s="1811">
        <f t="shared" si="5"/>
        <v>1</v>
      </c>
    </row>
    <row r="28" spans="1:29" ht="27">
      <c r="A28" s="427"/>
      <c r="B28" s="632"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182"/>
      <c r="Q28" s="1810" t="str">
        <f t="shared" si="8"/>
        <v>毗邻道路的类型与等级</v>
      </c>
      <c r="R28" s="771" t="s">
        <v>17</v>
      </c>
      <c r="S28" s="772">
        <f t="shared" si="10"/>
        <v>100</v>
      </c>
      <c r="T28" s="771" t="s">
        <v>17</v>
      </c>
      <c r="U28" s="772">
        <f t="shared" si="11"/>
        <v>100</v>
      </c>
      <c r="V28" s="771" t="s">
        <v>17</v>
      </c>
      <c r="W28" s="772">
        <f t="shared" si="12"/>
        <v>100</v>
      </c>
      <c r="X28" s="1813"/>
      <c r="Y28" s="3182"/>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0"/>
      <c r="M29" s="1131"/>
      <c r="N29" s="1131"/>
      <c r="O29" s="1139"/>
      <c r="P29" s="3182"/>
      <c r="Q29" s="1810"/>
      <c r="R29" s="771"/>
      <c r="S29" s="772"/>
      <c r="T29" s="771"/>
      <c r="U29" s="772"/>
      <c r="V29" s="771"/>
      <c r="W29" s="772"/>
      <c r="X29" s="1813"/>
      <c r="Y29" s="3182"/>
      <c r="Z29" s="1814"/>
      <c r="AA29" s="1811">
        <v>1</v>
      </c>
      <c r="AB29" s="1811">
        <v>1</v>
      </c>
      <c r="AC29" s="1811">
        <v>1</v>
      </c>
    </row>
    <row r="30" spans="1:29" ht="15">
      <c r="A30" s="427"/>
      <c r="B30" s="653" t="s">
        <v>2755</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182"/>
      <c r="Q30" s="1810" t="str">
        <f t="shared" si="8"/>
        <v>土地级别</v>
      </c>
      <c r="R30" s="771" t="s">
        <v>17</v>
      </c>
      <c r="S30" s="772">
        <f t="shared" si="10"/>
        <v>100</v>
      </c>
      <c r="T30" s="771" t="s">
        <v>17</v>
      </c>
      <c r="U30" s="772">
        <f t="shared" si="11"/>
        <v>100</v>
      </c>
      <c r="V30" s="771" t="s">
        <v>17</v>
      </c>
      <c r="W30" s="772">
        <f t="shared" si="12"/>
        <v>100</v>
      </c>
      <c r="X30" s="1813"/>
      <c r="Y30" s="3182"/>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82"/>
      <c r="Q31" s="1810">
        <f t="shared" si="8"/>
        <v>111</v>
      </c>
      <c r="R31" s="771" t="s">
        <v>17</v>
      </c>
      <c r="S31" s="772">
        <f t="shared" si="10"/>
        <v>100</v>
      </c>
      <c r="T31" s="771" t="s">
        <v>17</v>
      </c>
      <c r="U31" s="772">
        <f t="shared" si="11"/>
        <v>100</v>
      </c>
      <c r="V31" s="771" t="s">
        <v>17</v>
      </c>
      <c r="W31" s="772">
        <f t="shared" si="12"/>
        <v>100</v>
      </c>
      <c r="X31" s="1813"/>
      <c r="Y31" s="3182"/>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64" t="s">
        <v>2570</v>
      </c>
      <c r="Q32" s="1810">
        <f t="shared" si="8"/>
        <v>111</v>
      </c>
      <c r="R32" s="771" t="s">
        <v>17</v>
      </c>
      <c r="S32" s="772">
        <f t="shared" si="10"/>
        <v>100</v>
      </c>
      <c r="T32" s="771" t="s">
        <v>17</v>
      </c>
      <c r="U32" s="772">
        <f t="shared" si="11"/>
        <v>100</v>
      </c>
      <c r="V32" s="771" t="s">
        <v>17</v>
      </c>
      <c r="W32" s="772">
        <f t="shared" si="12"/>
        <v>100</v>
      </c>
      <c r="X32" s="1813"/>
      <c r="Y32" s="3186" t="s">
        <v>2570</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186"/>
      <c r="Q33" s="1810">
        <f t="shared" si="8"/>
        <v>111</v>
      </c>
      <c r="R33" s="774" t="s">
        <v>17</v>
      </c>
      <c r="S33" s="775">
        <f t="shared" si="10"/>
        <v>100</v>
      </c>
      <c r="T33" s="774" t="s">
        <v>17</v>
      </c>
      <c r="U33" s="775">
        <f t="shared" si="11"/>
        <v>100</v>
      </c>
      <c r="V33" s="774" t="s">
        <v>17</v>
      </c>
      <c r="W33" s="775">
        <f t="shared" si="12"/>
        <v>100</v>
      </c>
      <c r="X33" s="776"/>
      <c r="Y33" s="3186"/>
      <c r="Z33" s="777">
        <f t="shared" si="13"/>
        <v>111</v>
      </c>
      <c r="AA33" s="1811">
        <f t="shared" si="3"/>
        <v>1</v>
      </c>
      <c r="AB33" s="1811">
        <f t="shared" si="4"/>
        <v>1</v>
      </c>
      <c r="AC33" s="1811">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186"/>
      <c r="Q34" s="1810" t="str">
        <f>B34</f>
        <v>宗地面积</v>
      </c>
      <c r="R34" s="771" t="s">
        <v>17</v>
      </c>
      <c r="S34" s="772" t="e">
        <f t="shared" si="10"/>
        <v>#N/A</v>
      </c>
      <c r="T34" s="771" t="s">
        <v>17</v>
      </c>
      <c r="U34" s="772" t="e">
        <f t="shared" si="11"/>
        <v>#N/A</v>
      </c>
      <c r="V34" s="771" t="s">
        <v>17</v>
      </c>
      <c r="W34" s="772" t="e">
        <f t="shared" si="12"/>
        <v>#N/A</v>
      </c>
      <c r="X34" s="1813"/>
      <c r="Y34" s="3186"/>
      <c r="Z34" s="1814" t="str">
        <f t="shared" si="13"/>
        <v>宗地面积</v>
      </c>
      <c r="AA34" s="1811" t="e">
        <f t="shared" si="3"/>
        <v>#N/A</v>
      </c>
      <c r="AB34" s="1811" t="e">
        <f t="shared" si="4"/>
        <v>#N/A</v>
      </c>
      <c r="AC34" s="1811" t="e">
        <f t="shared" si="5"/>
        <v>#N/A</v>
      </c>
    </row>
    <row r="35" spans="1:29" ht="15">
      <c r="A35" s="471"/>
      <c r="B35" s="421" t="s">
        <v>2757</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0"/>
      <c r="M35" s="1131"/>
      <c r="N35" s="1131"/>
      <c r="O35" s="1139"/>
      <c r="P35" s="3186"/>
      <c r="Q35" s="1810" t="str">
        <f t="shared" ref="Q35:Q40" si="14">B35</f>
        <v>宗地形状</v>
      </c>
      <c r="R35" s="771" t="s">
        <v>17</v>
      </c>
      <c r="S35" s="772">
        <f t="shared" si="10"/>
        <v>100</v>
      </c>
      <c r="T35" s="771" t="s">
        <v>17</v>
      </c>
      <c r="U35" s="772">
        <f t="shared" si="11"/>
        <v>100</v>
      </c>
      <c r="V35" s="771" t="s">
        <v>17</v>
      </c>
      <c r="W35" s="772">
        <f t="shared" si="12"/>
        <v>100</v>
      </c>
      <c r="X35" s="1813"/>
      <c r="Y35" s="3186"/>
      <c r="Z35" s="1814" t="str">
        <f t="shared" si="13"/>
        <v>宗地形状</v>
      </c>
      <c r="AA35" s="1811">
        <f t="shared" si="3"/>
        <v>1</v>
      </c>
      <c r="AB35" s="1811">
        <f t="shared" si="4"/>
        <v>1</v>
      </c>
      <c r="AC35" s="1811">
        <f t="shared" si="5"/>
        <v>1</v>
      </c>
    </row>
    <row r="36" spans="1:29" s="116"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2"/>
      <c r="M36" s="1133"/>
      <c r="N36" s="1133"/>
      <c r="O36" s="1134"/>
      <c r="P36" s="3186"/>
      <c r="Q36" s="1810" t="str">
        <f t="shared" si="14"/>
        <v>宗地开发程度</v>
      </c>
      <c r="R36" s="767" t="s">
        <v>17</v>
      </c>
      <c r="S36" s="768">
        <f t="shared" si="10"/>
        <v>100</v>
      </c>
      <c r="T36" s="767" t="s">
        <v>17</v>
      </c>
      <c r="U36" s="768">
        <f t="shared" si="11"/>
        <v>100</v>
      </c>
      <c r="V36" s="767" t="s">
        <v>17</v>
      </c>
      <c r="W36" s="768">
        <f t="shared" si="12"/>
        <v>100</v>
      </c>
      <c r="X36" s="769"/>
      <c r="Y36" s="3186"/>
      <c r="Z36" s="54" t="str">
        <f t="shared" si="13"/>
        <v>宗地开发程度</v>
      </c>
      <c r="AA36" s="770">
        <f t="shared" si="3"/>
        <v>1</v>
      </c>
      <c r="AB36" s="770">
        <f t="shared" si="4"/>
        <v>1</v>
      </c>
      <c r="AC36" s="770">
        <f t="shared" si="5"/>
        <v>1</v>
      </c>
    </row>
    <row r="37" spans="1:29" ht="15">
      <c r="A37" s="471"/>
      <c r="B37" s="421" t="s">
        <v>2760</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0"/>
      <c r="M37" s="1131"/>
      <c r="N37" s="1131"/>
      <c r="O37" s="1139"/>
      <c r="P37" s="3186" t="s">
        <v>2570</v>
      </c>
      <c r="Q37" s="1810" t="str">
        <f t="shared" si="14"/>
        <v>工程地质条件</v>
      </c>
      <c r="R37" s="771" t="s">
        <v>17</v>
      </c>
      <c r="S37" s="772">
        <f t="shared" si="10"/>
        <v>100</v>
      </c>
      <c r="T37" s="771" t="s">
        <v>17</v>
      </c>
      <c r="U37" s="772">
        <f t="shared" si="11"/>
        <v>100</v>
      </c>
      <c r="V37" s="771" t="s">
        <v>17</v>
      </c>
      <c r="W37" s="772">
        <f t="shared" si="12"/>
        <v>100</v>
      </c>
      <c r="X37" s="1813"/>
      <c r="Y37" s="3186" t="s">
        <v>2570</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186"/>
      <c r="Q38" s="1810">
        <f t="shared" si="14"/>
        <v>111</v>
      </c>
      <c r="R38" s="771" t="s">
        <v>17</v>
      </c>
      <c r="S38" s="772">
        <f t="shared" si="10"/>
        <v>100</v>
      </c>
      <c r="T38" s="771" t="s">
        <v>17</v>
      </c>
      <c r="U38" s="772">
        <f t="shared" si="11"/>
        <v>100</v>
      </c>
      <c r="V38" s="771" t="s">
        <v>17</v>
      </c>
      <c r="W38" s="772">
        <f t="shared" si="12"/>
        <v>100</v>
      </c>
      <c r="X38" s="1813"/>
      <c r="Y38" s="3186"/>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186"/>
      <c r="Q39" s="1810">
        <f t="shared" si="14"/>
        <v>111</v>
      </c>
      <c r="R39" s="771" t="s">
        <v>17</v>
      </c>
      <c r="S39" s="772">
        <f t="shared" si="10"/>
        <v>100</v>
      </c>
      <c r="T39" s="771" t="s">
        <v>17</v>
      </c>
      <c r="U39" s="772">
        <f t="shared" si="11"/>
        <v>100</v>
      </c>
      <c r="V39" s="771" t="s">
        <v>17</v>
      </c>
      <c r="W39" s="772">
        <f t="shared" si="12"/>
        <v>100</v>
      </c>
      <c r="X39" s="1813"/>
      <c r="Y39" s="3186"/>
      <c r="Z39" s="1814">
        <f t="shared" si="13"/>
        <v>111</v>
      </c>
      <c r="AA39" s="1811">
        <f t="shared" si="3"/>
        <v>1</v>
      </c>
      <c r="AB39" s="1811">
        <f t="shared" si="4"/>
        <v>1</v>
      </c>
      <c r="AC39" s="1811">
        <f t="shared" si="5"/>
        <v>1</v>
      </c>
    </row>
    <row r="40" spans="1:29" s="470" customFormat="1" ht="15.75" thickBot="1">
      <c r="A40" s="467"/>
      <c r="B40" s="1387">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186"/>
      <c r="Q40" s="1810">
        <f t="shared" si="14"/>
        <v>111</v>
      </c>
      <c r="R40" s="774" t="s">
        <v>17</v>
      </c>
      <c r="S40" s="775">
        <f t="shared" si="10"/>
        <v>100</v>
      </c>
      <c r="T40" s="774" t="s">
        <v>17</v>
      </c>
      <c r="U40" s="775">
        <f t="shared" si="11"/>
        <v>100</v>
      </c>
      <c r="V40" s="774" t="s">
        <v>17</v>
      </c>
      <c r="W40" s="775">
        <f t="shared" si="12"/>
        <v>100</v>
      </c>
      <c r="X40" s="776"/>
      <c r="Y40" s="3186"/>
      <c r="Z40" s="777">
        <f t="shared" si="13"/>
        <v>111</v>
      </c>
      <c r="AA40" s="1811">
        <f t="shared" si="3"/>
        <v>1</v>
      </c>
      <c r="AB40" s="1811">
        <f t="shared" si="4"/>
        <v>1</v>
      </c>
      <c r="AC40" s="1811">
        <f t="shared" si="5"/>
        <v>1</v>
      </c>
    </row>
    <row r="41" spans="1:29" ht="15">
      <c r="A41" s="478" t="s">
        <v>2725</v>
      </c>
      <c r="B41" s="2706" t="s">
        <v>2805</v>
      </c>
      <c r="C41" s="681" t="s">
        <v>1</v>
      </c>
      <c r="D41" s="480"/>
      <c r="E41" s="481"/>
      <c r="F41" s="482"/>
      <c r="G41" s="483"/>
      <c r="H41" s="484"/>
      <c r="I41" s="481"/>
      <c r="J41" s="484"/>
      <c r="K41" s="780"/>
      <c r="L41" s="1143"/>
      <c r="M41" s="1131"/>
      <c r="N41" s="1131"/>
      <c r="O41" s="1144"/>
      <c r="P41" s="3188" t="str">
        <f>A41</f>
        <v>成交单价</v>
      </c>
      <c r="Q41" s="3188"/>
      <c r="R41" s="3148">
        <f>E41</f>
        <v>0</v>
      </c>
      <c r="S41" s="3148"/>
      <c r="T41" s="3148">
        <f>G41</f>
        <v>0</v>
      </c>
      <c r="U41" s="3148"/>
      <c r="V41" s="3148">
        <f>I41</f>
        <v>0</v>
      </c>
      <c r="W41" s="3148"/>
      <c r="X41" s="756"/>
      <c r="Y41" s="778"/>
      <c r="Z41" s="756"/>
      <c r="AA41" s="756"/>
      <c r="AB41" s="756"/>
      <c r="AC41" s="756"/>
    </row>
    <row r="42" spans="1:29" ht="15.75" thickBot="1">
      <c r="A42" s="485" t="s">
        <v>2674</v>
      </c>
      <c r="B42" s="682"/>
      <c r="C42" s="489" t="e">
        <f>R43</f>
        <v>#DIV/0!</v>
      </c>
      <c r="D42" s="488"/>
      <c r="E42" s="489" t="e">
        <f>R42</f>
        <v>#DIV/0!</v>
      </c>
      <c r="F42" s="490"/>
      <c r="G42" s="487" t="e">
        <f>T42</f>
        <v>#DIV/0!</v>
      </c>
      <c r="H42" s="488"/>
      <c r="I42" s="489" t="e">
        <f>V42</f>
        <v>#DIV/0!</v>
      </c>
      <c r="J42" s="488"/>
      <c r="K42" s="781"/>
      <c r="L42" s="1143"/>
      <c r="M42" s="1131"/>
      <c r="N42" s="1131"/>
      <c r="O42" s="1144"/>
      <c r="P42" s="3188" t="str">
        <f>A42</f>
        <v>比较价值（元/平方米）</v>
      </c>
      <c r="Q42" s="3188"/>
      <c r="R42" s="3265" t="e">
        <f>ROUND(PRODUCT(R41,AA7:AA40),0)</f>
        <v>#DIV/0!</v>
      </c>
      <c r="S42" s="3265"/>
      <c r="T42" s="3265" t="e">
        <f>ROUND(PRODUCT(T41,AB7:AB40),0)</f>
        <v>#DIV/0!</v>
      </c>
      <c r="U42" s="3265"/>
      <c r="V42" s="3265" t="e">
        <f>ROUND(PRODUCT(V41,AC7:AC40),0)</f>
        <v>#DIV/0!</v>
      </c>
      <c r="W42" s="3265"/>
      <c r="X42" s="756"/>
      <c r="Y42" s="756"/>
      <c r="Z42" s="756"/>
      <c r="AA42" s="756"/>
      <c r="AB42" s="756"/>
      <c r="AC42" s="756"/>
    </row>
    <row r="43" spans="1:29" ht="15.75" thickBot="1">
      <c r="A43" s="491" t="s">
        <v>2675</v>
      </c>
      <c r="B43" s="492"/>
      <c r="C43" s="493" t="e">
        <f>R43</f>
        <v>#DIV/0!</v>
      </c>
      <c r="D43" s="493"/>
      <c r="E43" s="493"/>
      <c r="F43" s="493"/>
      <c r="G43" s="493"/>
      <c r="H43" s="493"/>
      <c r="I43" s="493"/>
      <c r="J43" s="493"/>
      <c r="K43" s="782"/>
      <c r="L43" s="1143"/>
      <c r="M43" s="1131"/>
      <c r="N43" s="1131"/>
      <c r="O43" s="1144"/>
      <c r="P43" s="3190" t="str">
        <f>A43</f>
        <v>估价对象XX用房的比较价值（楼面单价，元/平方米）</v>
      </c>
      <c r="Q43" s="3191"/>
      <c r="R43" s="3266" t="e">
        <f>ROUND(AVERAGE(R42:V42),0)</f>
        <v>#DIV/0!</v>
      </c>
      <c r="S43" s="3266"/>
      <c r="T43" s="3266"/>
      <c r="U43" s="3266"/>
      <c r="V43" s="3266"/>
      <c r="W43" s="3266"/>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2763</v>
      </c>
      <c r="B50" s="684" t="s">
        <v>2764</v>
      </c>
      <c r="C50" s="2707" t="s">
        <v>2765</v>
      </c>
      <c r="D50" s="2708" t="s">
        <v>2766</v>
      </c>
      <c r="E50" s="685" t="s">
        <v>2767</v>
      </c>
      <c r="F50" s="686" t="s">
        <v>2768</v>
      </c>
      <c r="G50" s="3166" t="s">
        <v>2769</v>
      </c>
      <c r="H50" s="3267"/>
      <c r="I50" s="1814" t="s">
        <v>2806</v>
      </c>
      <c r="J50" s="1814">
        <f>项目基本情况!F35</f>
        <v>0</v>
      </c>
      <c r="K50" s="2710" t="s">
        <v>2771</v>
      </c>
      <c r="L50" s="1106"/>
      <c r="M50" s="1144"/>
      <c r="N50" s="1144"/>
      <c r="O50" s="1144"/>
    </row>
    <row r="51" spans="1:17" s="691" customFormat="1">
      <c r="A51" s="687" t="s">
        <v>2772</v>
      </c>
      <c r="B51" s="688" t="e">
        <f>C43</f>
        <v>#DIV/0!</v>
      </c>
      <c r="C51" s="689">
        <v>1</v>
      </c>
      <c r="D51" s="1163">
        <v>1</v>
      </c>
      <c r="E51" s="689">
        <f>'数据-汇总表'!E8+'数据-汇总表'!E9</f>
        <v>9285.3700000000008</v>
      </c>
      <c r="F51" s="690" t="e">
        <f t="shared" ref="F51:F60" si="15">ROUND(B51*E51/10000,0)</f>
        <v>#DIV/0!</v>
      </c>
      <c r="G51" s="3165"/>
      <c r="H51" s="3188"/>
      <c r="I51" s="942">
        <v>1</v>
      </c>
      <c r="J51" s="942">
        <v>1</v>
      </c>
      <c r="K51" s="1145"/>
      <c r="L51" s="941"/>
      <c r="M51" s="941"/>
      <c r="N51" s="941"/>
      <c r="O51" s="941"/>
    </row>
    <row r="52" spans="1:17" s="691" customFormat="1">
      <c r="A52" s="692" t="s">
        <v>2773</v>
      </c>
      <c r="B52" s="261" t="e">
        <f>ROUND($C$43*C52*D52,0)</f>
        <v>#DIV/0!</v>
      </c>
      <c r="C52" s="199">
        <f t="shared" ref="C52:C60" si="16">IF($C$50="北京市系数",I52,J52)</f>
        <v>0.7</v>
      </c>
      <c r="D52" s="1164">
        <v>0.25</v>
      </c>
      <c r="E52" s="693"/>
      <c r="F52" s="690" t="e">
        <f t="shared" si="15"/>
        <v>#DIV/0!</v>
      </c>
      <c r="G52" s="3268" t="s">
        <v>2774</v>
      </c>
      <c r="H52" s="1104" t="str">
        <f>项目基本情况!B37</f>
        <v>六级</v>
      </c>
      <c r="I52" s="942">
        <f>SUMIF(修正!A45:A56,H52,修正!B45:B56)</f>
        <v>0.7</v>
      </c>
      <c r="J52" s="943"/>
      <c r="K52" s="1144"/>
      <c r="L52" s="941"/>
      <c r="M52" s="941"/>
      <c r="N52" s="941"/>
      <c r="O52" s="941"/>
    </row>
    <row r="53" spans="1:17" s="691" customFormat="1">
      <c r="A53" s="692" t="s">
        <v>2775</v>
      </c>
      <c r="B53" s="261" t="e">
        <f t="shared" ref="B53:B60" si="17">ROUND($C$43*C53*D53,0)</f>
        <v>#DIV/0!</v>
      </c>
      <c r="C53" s="199">
        <f t="shared" si="16"/>
        <v>0.4</v>
      </c>
      <c r="D53" s="1164">
        <v>0.25</v>
      </c>
      <c r="E53" s="693"/>
      <c r="F53" s="690" t="e">
        <f t="shared" si="15"/>
        <v>#DIV/0!</v>
      </c>
      <c r="G53" s="3268"/>
      <c r="H53" s="1104" t="str">
        <f>项目基本情况!B37</f>
        <v>六级</v>
      </c>
      <c r="I53" s="942">
        <f>SUMIF(修正!A45:A56,H53,修正!C45:C56)</f>
        <v>0.4</v>
      </c>
      <c r="J53" s="943"/>
      <c r="K53" s="1145"/>
      <c r="L53" s="941"/>
      <c r="M53" s="941"/>
      <c r="N53" s="941"/>
      <c r="O53" s="941"/>
    </row>
    <row r="54" spans="1:17" s="691" customFormat="1">
      <c r="A54" s="692" t="s">
        <v>2776</v>
      </c>
      <c r="B54" s="261" t="e">
        <f t="shared" si="17"/>
        <v>#DIV/0!</v>
      </c>
      <c r="C54" s="199">
        <f t="shared" si="16"/>
        <v>0.28000000000000003</v>
      </c>
      <c r="D54" s="1164">
        <v>0.25</v>
      </c>
      <c r="E54" s="693"/>
      <c r="F54" s="690" t="e">
        <f t="shared" si="15"/>
        <v>#DIV/0!</v>
      </c>
      <c r="G54" s="3268"/>
      <c r="H54" s="1104" t="str">
        <f>项目基本情况!B37</f>
        <v>六级</v>
      </c>
      <c r="I54" s="942">
        <f>SUMIF(修正!A45:A56,H54,修正!D45:D56)</f>
        <v>0.28000000000000003</v>
      </c>
      <c r="J54" s="943"/>
      <c r="K54" s="1144"/>
      <c r="L54" s="941"/>
      <c r="M54" s="941"/>
      <c r="N54" s="941"/>
      <c r="O54" s="941"/>
    </row>
    <row r="55" spans="1:17" s="691" customFormat="1">
      <c r="A55" s="692" t="s">
        <v>2777</v>
      </c>
      <c r="B55" s="261" t="e">
        <f t="shared" si="17"/>
        <v>#DIV/0!</v>
      </c>
      <c r="C55" s="199">
        <f t="shared" si="16"/>
        <v>0.25</v>
      </c>
      <c r="D55" s="1164">
        <v>0.25</v>
      </c>
      <c r="E55" s="693"/>
      <c r="F55" s="690" t="e">
        <f t="shared" si="15"/>
        <v>#DIV/0!</v>
      </c>
      <c r="G55" s="3268"/>
      <c r="H55" s="1104" t="str">
        <f>项目基本情况!B37</f>
        <v>六级</v>
      </c>
      <c r="I55" s="942">
        <f>SUMIF(修正!A45:A56,H55,修正!E45:E56)</f>
        <v>0.25</v>
      </c>
      <c r="J55" s="943"/>
      <c r="K55" s="1145"/>
      <c r="L55" s="941"/>
      <c r="M55" s="941"/>
      <c r="N55" s="941"/>
      <c r="O55" s="941"/>
    </row>
    <row r="56" spans="1:17" s="691" customFormat="1">
      <c r="A56" s="692" t="s">
        <v>2778</v>
      </c>
      <c r="B56" s="261" t="e">
        <f t="shared" si="17"/>
        <v>#DIV/0!</v>
      </c>
      <c r="C56" s="199">
        <f t="shared" si="16"/>
        <v>0</v>
      </c>
      <c r="D56" s="1164">
        <v>0.25</v>
      </c>
      <c r="E56" s="260">
        <f>'数据-汇总表'!E11</f>
        <v>0</v>
      </c>
      <c r="F56" s="690" t="e">
        <f t="shared" si="15"/>
        <v>#DIV/0!</v>
      </c>
      <c r="G56" s="2711" t="s">
        <v>2779</v>
      </c>
      <c r="H56" s="1104">
        <f>项目基本情况!C37</f>
        <v>0</v>
      </c>
      <c r="I56" s="942">
        <f>SUMIF(修正!A45:A56,H56,修正!F45:F56)</f>
        <v>0</v>
      </c>
      <c r="J56" s="943"/>
      <c r="K56" s="1144"/>
      <c r="L56" s="941"/>
      <c r="M56" s="941"/>
      <c r="N56" s="941"/>
      <c r="O56" s="941"/>
    </row>
    <row r="57" spans="1:17" s="691" customFormat="1">
      <c r="A57" s="692" t="s">
        <v>2780</v>
      </c>
      <c r="B57" s="261" t="e">
        <f t="shared" si="17"/>
        <v>#DIV/0!</v>
      </c>
      <c r="C57" s="199">
        <f t="shared" si="16"/>
        <v>0</v>
      </c>
      <c r="D57" s="1164">
        <v>0.25</v>
      </c>
      <c r="E57" s="260">
        <f>'数据-汇总表'!E12</f>
        <v>0</v>
      </c>
      <c r="F57" s="690" t="e">
        <f t="shared" si="15"/>
        <v>#DIV/0!</v>
      </c>
      <c r="G57" s="1109" t="s">
        <v>2781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2782</v>
      </c>
      <c r="B58" s="261" t="e">
        <f t="shared" si="17"/>
        <v>#DIV/0!</v>
      </c>
      <c r="C58" s="199">
        <f t="shared" si="16"/>
        <v>0</v>
      </c>
      <c r="D58" s="1164">
        <v>0.25</v>
      </c>
      <c r="E58" s="260">
        <f>'数据-汇总表'!E13</f>
        <v>0</v>
      </c>
      <c r="F58" s="690"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2784</v>
      </c>
      <c r="B59" s="261" t="e">
        <f t="shared" si="17"/>
        <v>#DIV/0!</v>
      </c>
      <c r="C59" s="199">
        <f t="shared" si="16"/>
        <v>0.2</v>
      </c>
      <c r="D59" s="1164">
        <v>0.25</v>
      </c>
      <c r="E59" s="260">
        <f>'数据-汇总表'!E14</f>
        <v>0</v>
      </c>
      <c r="F59" s="690" t="e">
        <f t="shared" si="15"/>
        <v>#DIV/0!</v>
      </c>
      <c r="G59" s="2711" t="s">
        <v>2774</v>
      </c>
      <c r="H59" s="1104" t="str">
        <f>项目基本情况!B37</f>
        <v>六级</v>
      </c>
      <c r="I59" s="942">
        <f>SUMIF(修正!A45:A56,H59,修正!H45:H56)</f>
        <v>0.2</v>
      </c>
      <c r="J59" s="943"/>
      <c r="K59" s="1145"/>
      <c r="L59" s="941"/>
      <c r="M59" s="941"/>
      <c r="N59" s="941"/>
      <c r="O59" s="941"/>
    </row>
    <row r="60" spans="1:17" s="691" customFormat="1" ht="15" thickBot="1">
      <c r="A60" s="692" t="s">
        <v>2785</v>
      </c>
      <c r="B60" s="261" t="e">
        <f t="shared" si="17"/>
        <v>#DIV/0!</v>
      </c>
      <c r="C60" s="199">
        <f t="shared" si="16"/>
        <v>0</v>
      </c>
      <c r="D60" s="1164">
        <v>0.25</v>
      </c>
      <c r="E60" s="260">
        <f>'数据-汇总表'!E15</f>
        <v>0</v>
      </c>
      <c r="F60" s="690" t="e">
        <f t="shared" si="15"/>
        <v>#DIV/0!</v>
      </c>
      <c r="G60" s="2712" t="s">
        <v>2779</v>
      </c>
      <c r="H60" s="1114">
        <f>项目基本情况!C37</f>
        <v>0</v>
      </c>
      <c r="I60" s="942">
        <f>SUMIF(修正!A45:A56,H60,修正!H45:H56)</f>
        <v>0</v>
      </c>
      <c r="J60" s="943"/>
      <c r="K60" s="1144"/>
      <c r="L60" s="941"/>
      <c r="M60" s="941"/>
      <c r="N60" s="941"/>
      <c r="O60" s="941"/>
    </row>
    <row r="61" spans="1:17" s="691" customFormat="1" ht="15" thickBot="1">
      <c r="A61" s="694" t="s">
        <v>2786</v>
      </c>
      <c r="B61" s="695" t="s">
        <v>28</v>
      </c>
      <c r="C61" s="695" t="s">
        <v>29</v>
      </c>
      <c r="D61" s="695" t="s">
        <v>1029</v>
      </c>
      <c r="E61" s="695">
        <f>IF(B41="楼面地价",SUM(E51:E60),'数据-汇总表'!D3)</f>
        <v>12718.02</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2018-4-1</v>
      </c>
      <c r="D63" s="758">
        <f>EDATE(C63,-3)</f>
        <v>43101</v>
      </c>
      <c r="E63" s="758">
        <f>EDATE(D63,-3)</f>
        <v>43009</v>
      </c>
      <c r="F63" s="758">
        <f t="shared" ref="F63:O63" si="18">EDATE(E63,-3)</f>
        <v>42917</v>
      </c>
      <c r="G63" s="758">
        <f t="shared" si="18"/>
        <v>42826</v>
      </c>
      <c r="H63" s="758">
        <f t="shared" si="18"/>
        <v>42736</v>
      </c>
      <c r="I63" s="758">
        <f t="shared" si="18"/>
        <v>42644</v>
      </c>
      <c r="J63" s="758">
        <f t="shared" si="18"/>
        <v>42552</v>
      </c>
      <c r="K63" s="758">
        <f t="shared" si="18"/>
        <v>42461</v>
      </c>
      <c r="L63" s="758">
        <f t="shared" si="18"/>
        <v>42370</v>
      </c>
      <c r="M63" s="758">
        <f t="shared" si="18"/>
        <v>42278</v>
      </c>
      <c r="N63" s="758">
        <f t="shared" si="18"/>
        <v>42186</v>
      </c>
      <c r="O63" s="758">
        <f t="shared" si="18"/>
        <v>42095</v>
      </c>
    </row>
    <row r="64" spans="1:17" ht="21.75" thickBot="1">
      <c r="A64" s="760" t="s">
        <v>2679</v>
      </c>
      <c r="B64" s="756"/>
      <c r="C64" s="761"/>
      <c r="D64" s="761"/>
      <c r="E64" s="761"/>
      <c r="F64" s="762"/>
      <c r="G64" s="762"/>
      <c r="H64" s="761"/>
      <c r="I64" s="761"/>
      <c r="J64" s="761"/>
      <c r="K64" s="763"/>
      <c r="L64" s="764"/>
      <c r="M64" s="761"/>
      <c r="N64" s="761"/>
      <c r="O64" s="1159"/>
      <c r="P64" s="502"/>
      <c r="Q64" s="503"/>
    </row>
    <row r="65" spans="1:17" s="507" customFormat="1" ht="15">
      <c r="A65" s="2713" t="s">
        <v>2787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6"/>
    </row>
    <row r="66" spans="1:17" s="116" customFormat="1" ht="30.75" customHeight="1">
      <c r="A66" s="2718" t="s">
        <v>2807</v>
      </c>
      <c r="B66" s="331" t="str">
        <f>"北京市平均增长率"&amp;TEXT(基准地价修正!P24,"0.00%")</f>
        <v>北京市平均增长率1.24%</v>
      </c>
      <c r="C66" s="602">
        <v>100</v>
      </c>
      <c r="D66" s="594"/>
      <c r="E66" s="594"/>
      <c r="F66" s="594"/>
      <c r="G66" s="594"/>
      <c r="H66" s="594"/>
      <c r="I66" s="594"/>
      <c r="J66" s="594"/>
      <c r="K66" s="594"/>
      <c r="L66" s="594"/>
      <c r="M66" s="1567"/>
      <c r="N66" s="1567"/>
      <c r="O66" s="1569"/>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2593</v>
      </c>
      <c r="B70" s="527" t="s">
        <v>2559</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2562</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2696</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2755</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2797</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2799</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2800</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3" t="s">
        <v>614</v>
      </c>
      <c r="C61" s="815" t="s">
        <v>615</v>
      </c>
      <c r="D61" s="815" t="s">
        <v>616</v>
      </c>
      <c r="E61" s="892">
        <v>0.5</v>
      </c>
      <c r="F61" s="879">
        <v>80</v>
      </c>
    </row>
    <row r="62" spans="1:8" s="875" customFormat="1" ht="24">
      <c r="A62" s="879">
        <v>2</v>
      </c>
      <c r="B62" s="3273"/>
      <c r="C62" s="815" t="s">
        <v>617</v>
      </c>
      <c r="D62" s="815" t="s">
        <v>618</v>
      </c>
      <c r="E62" s="892">
        <v>0.5</v>
      </c>
      <c r="F62" s="879">
        <v>80</v>
      </c>
    </row>
    <row r="63" spans="1:8" s="875" customFormat="1" ht="36">
      <c r="A63" s="879">
        <v>3</v>
      </c>
      <c r="B63" s="3273"/>
      <c r="C63" s="815" t="s">
        <v>619</v>
      </c>
      <c r="D63" s="815" t="s">
        <v>620</v>
      </c>
      <c r="E63" s="892">
        <v>0.5</v>
      </c>
      <c r="F63" s="879">
        <v>80</v>
      </c>
    </row>
    <row r="64" spans="1:8" s="875" customFormat="1" ht="36">
      <c r="A64" s="879">
        <v>4</v>
      </c>
      <c r="B64" s="3273"/>
      <c r="C64" s="815" t="s">
        <v>621</v>
      </c>
      <c r="D64" s="815" t="s">
        <v>622</v>
      </c>
      <c r="E64" s="892">
        <v>0.4</v>
      </c>
      <c r="F64" s="879">
        <v>60</v>
      </c>
    </row>
    <row r="65" spans="1:6" s="875" customFormat="1" ht="36">
      <c r="A65" s="879">
        <v>5</v>
      </c>
      <c r="B65" s="3273"/>
      <c r="C65" s="815" t="s">
        <v>623</v>
      </c>
      <c r="D65" s="815" t="s">
        <v>624</v>
      </c>
      <c r="E65" s="892">
        <v>0.2</v>
      </c>
      <c r="F65" s="879">
        <v>30</v>
      </c>
    </row>
    <row r="66" spans="1:6" s="875" customFormat="1" ht="36">
      <c r="A66" s="879">
        <v>6</v>
      </c>
      <c r="B66" s="3273"/>
      <c r="C66" s="815" t="s">
        <v>625</v>
      </c>
      <c r="D66" s="815" t="s">
        <v>626</v>
      </c>
      <c r="E66" s="892">
        <v>0.3</v>
      </c>
      <c r="F66" s="879">
        <v>50</v>
      </c>
    </row>
    <row r="67" spans="1:6" s="875" customFormat="1" ht="36">
      <c r="A67" s="879">
        <v>7</v>
      </c>
      <c r="B67" s="3273"/>
      <c r="C67" s="815" t="s">
        <v>627</v>
      </c>
      <c r="D67" s="815" t="s">
        <v>628</v>
      </c>
      <c r="E67" s="892">
        <v>0.2</v>
      </c>
      <c r="F67" s="879">
        <v>30</v>
      </c>
    </row>
    <row r="68" spans="1:6" s="875" customFormat="1" ht="36">
      <c r="A68" s="879">
        <v>8</v>
      </c>
      <c r="B68" s="3273"/>
      <c r="C68" s="815" t="s">
        <v>629</v>
      </c>
      <c r="D68" s="815" t="s">
        <v>630</v>
      </c>
      <c r="E68" s="892">
        <v>0.2</v>
      </c>
      <c r="F68" s="879">
        <v>30</v>
      </c>
    </row>
    <row r="69" spans="1:6" s="875" customFormat="1" ht="36">
      <c r="A69" s="879">
        <v>9</v>
      </c>
      <c r="B69" s="3273"/>
      <c r="C69" s="815" t="s">
        <v>631</v>
      </c>
      <c r="D69" s="815" t="s">
        <v>632</v>
      </c>
      <c r="E69" s="892">
        <v>0.2</v>
      </c>
      <c r="F69" s="879">
        <v>30</v>
      </c>
    </row>
    <row r="70" spans="1:6" s="875" customFormat="1" ht="48">
      <c r="A70" s="879">
        <v>10</v>
      </c>
      <c r="B70" s="3273"/>
      <c r="C70" s="815" t="s">
        <v>633</v>
      </c>
      <c r="D70" s="815" t="s">
        <v>634</v>
      </c>
      <c r="E70" s="892">
        <v>0.2</v>
      </c>
      <c r="F70" s="879">
        <v>30</v>
      </c>
    </row>
    <row r="71" spans="1:6" s="875" customFormat="1" ht="48">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24">
      <c r="A73" s="879">
        <v>13</v>
      </c>
      <c r="B73" s="3273"/>
      <c r="C73" s="815" t="s">
        <v>639</v>
      </c>
      <c r="D73" s="815" t="s">
        <v>640</v>
      </c>
      <c r="E73" s="892">
        <v>0.4</v>
      </c>
      <c r="F73" s="879">
        <v>60</v>
      </c>
    </row>
    <row r="74" spans="1:6" s="875" customFormat="1" ht="24">
      <c r="A74" s="879">
        <v>14</v>
      </c>
      <c r="B74" s="3273"/>
      <c r="C74" s="815" t="s">
        <v>641</v>
      </c>
      <c r="D74" s="815" t="s">
        <v>642</v>
      </c>
      <c r="E74" s="892">
        <v>0.2</v>
      </c>
      <c r="F74" s="879">
        <v>30</v>
      </c>
    </row>
    <row r="75" spans="1:6" s="875" customFormat="1" ht="24">
      <c r="A75" s="879">
        <v>15</v>
      </c>
      <c r="B75" s="3273"/>
      <c r="C75" s="815" t="s">
        <v>643</v>
      </c>
      <c r="D75" s="815" t="s">
        <v>644</v>
      </c>
      <c r="E75" s="892">
        <v>0.2</v>
      </c>
      <c r="F75" s="879">
        <v>30</v>
      </c>
    </row>
    <row r="76" spans="1:6" s="875" customFormat="1" ht="24">
      <c r="A76" s="879">
        <v>16</v>
      </c>
      <c r="B76" s="3273" t="s">
        <v>645</v>
      </c>
      <c r="C76" s="815" t="s">
        <v>646</v>
      </c>
      <c r="D76" s="815" t="s">
        <v>647</v>
      </c>
      <c r="E76" s="892">
        <v>0.5</v>
      </c>
      <c r="F76" s="879">
        <v>80</v>
      </c>
    </row>
    <row r="77" spans="1:6" s="875" customFormat="1" ht="24">
      <c r="A77" s="879">
        <v>17</v>
      </c>
      <c r="B77" s="3273"/>
      <c r="C77" s="815" t="s">
        <v>648</v>
      </c>
      <c r="D77" s="815" t="s">
        <v>649</v>
      </c>
      <c r="E77" s="892">
        <v>0.5</v>
      </c>
      <c r="F77" s="879">
        <v>80</v>
      </c>
    </row>
    <row r="78" spans="1:6" s="875" customFormat="1" ht="24">
      <c r="A78" s="879">
        <v>18</v>
      </c>
      <c r="B78" s="3273"/>
      <c r="C78" s="815" t="s">
        <v>650</v>
      </c>
      <c r="D78" s="815" t="s">
        <v>651</v>
      </c>
      <c r="E78" s="892">
        <v>0.2</v>
      </c>
      <c r="F78" s="879">
        <v>30</v>
      </c>
    </row>
    <row r="79" spans="1:6" s="875" customFormat="1" ht="24">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48">
      <c r="A82" s="879">
        <v>22</v>
      </c>
      <c r="B82" s="3273"/>
      <c r="C82" s="815" t="s">
        <v>658</v>
      </c>
      <c r="D82" s="815" t="s">
        <v>659</v>
      </c>
      <c r="E82" s="892">
        <v>0.2</v>
      </c>
      <c r="F82" s="879">
        <v>30</v>
      </c>
    </row>
    <row r="83" spans="1:6" s="875" customFormat="1" ht="48">
      <c r="A83" s="879">
        <v>23</v>
      </c>
      <c r="B83" s="3273"/>
      <c r="C83" s="815" t="s">
        <v>660</v>
      </c>
      <c r="D83" s="815" t="s">
        <v>661</v>
      </c>
      <c r="E83" s="892">
        <v>0.2</v>
      </c>
      <c r="F83" s="879">
        <v>30</v>
      </c>
    </row>
    <row r="84" spans="1:6" s="875" customFormat="1" ht="36">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24">
      <c r="A89" s="879">
        <v>29</v>
      </c>
      <c r="B89" s="3273"/>
      <c r="C89" s="815" t="s">
        <v>672</v>
      </c>
      <c r="D89" s="815" t="s">
        <v>673</v>
      </c>
      <c r="E89" s="892">
        <v>0.2</v>
      </c>
      <c r="F89" s="879">
        <v>30</v>
      </c>
    </row>
    <row r="90" spans="1:6" s="875" customFormat="1" ht="24">
      <c r="A90" s="879">
        <v>30</v>
      </c>
      <c r="B90" s="3273"/>
      <c r="C90" s="815" t="s">
        <v>674</v>
      </c>
      <c r="D90" s="815" t="s">
        <v>675</v>
      </c>
      <c r="E90" s="892">
        <v>0.2</v>
      </c>
      <c r="F90" s="879">
        <v>30</v>
      </c>
    </row>
    <row r="91" spans="1:6" s="875" customFormat="1" ht="36">
      <c r="A91" s="879">
        <v>31</v>
      </c>
      <c r="B91" s="3273"/>
      <c r="C91" s="815" t="s">
        <v>676</v>
      </c>
      <c r="D91" s="815" t="s">
        <v>677</v>
      </c>
      <c r="E91" s="892">
        <v>0.2</v>
      </c>
      <c r="F91" s="879">
        <v>30</v>
      </c>
    </row>
    <row r="92" spans="1:6" s="875" customFormat="1" ht="24">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48">
      <c r="A94" s="879">
        <v>34</v>
      </c>
      <c r="B94" s="3273"/>
      <c r="C94" s="879" t="s">
        <v>683</v>
      </c>
      <c r="D94" s="815" t="s">
        <v>684</v>
      </c>
      <c r="E94" s="892">
        <v>0.2</v>
      </c>
      <c r="F94" s="879">
        <v>30</v>
      </c>
    </row>
    <row r="95" spans="1:6" s="875" customFormat="1" ht="36">
      <c r="A95" s="879">
        <v>35</v>
      </c>
      <c r="B95" s="3273"/>
      <c r="C95" s="879" t="s">
        <v>685</v>
      </c>
      <c r="D95" s="815" t="s">
        <v>686</v>
      </c>
      <c r="E95" s="892">
        <v>0.2</v>
      </c>
      <c r="F95" s="879">
        <v>30</v>
      </c>
    </row>
    <row r="96" spans="1:6" s="875" customFormat="1" ht="48">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24">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3" t="s">
        <v>708</v>
      </c>
      <c r="C105" s="879" t="s">
        <v>709</v>
      </c>
      <c r="D105" s="815" t="s">
        <v>710</v>
      </c>
      <c r="E105" s="892">
        <v>0.2</v>
      </c>
      <c r="F105" s="879">
        <v>30</v>
      </c>
    </row>
    <row r="106" spans="1:6" s="875" customFormat="1" ht="36">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36">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3" t="s">
        <v>724</v>
      </c>
      <c r="C111" s="879" t="s">
        <v>725</v>
      </c>
      <c r="D111" s="815" t="s">
        <v>726</v>
      </c>
      <c r="E111" s="892">
        <v>0.2</v>
      </c>
      <c r="F111" s="879">
        <v>30</v>
      </c>
    </row>
    <row r="112" spans="1:6" s="875" customFormat="1" ht="24">
      <c r="A112" s="879">
        <v>52</v>
      </c>
      <c r="B112" s="3273"/>
      <c r="C112" s="879" t="s">
        <v>727</v>
      </c>
      <c r="D112" s="815" t="s">
        <v>728</v>
      </c>
      <c r="E112" s="892">
        <v>0.2</v>
      </c>
      <c r="F112" s="879">
        <v>30</v>
      </c>
    </row>
    <row r="113" spans="1:6" s="875" customFormat="1" ht="24">
      <c r="A113" s="879">
        <v>53</v>
      </c>
      <c r="B113" s="32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1.8267</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3007</v>
      </c>
    </row>
    <row r="2" spans="1:5" ht="15.75">
      <c r="A2" s="2912" t="s">
        <v>2999</v>
      </c>
      <c r="B2" s="2913">
        <f ca="1">SUMIF(B6:B13,"&lt;&gt;#ref!",B6:B13)</f>
        <v>37462</v>
      </c>
      <c r="C2" s="2912" t="s">
        <v>3000</v>
      </c>
      <c r="D2" s="2912" t="s">
        <v>3001</v>
      </c>
      <c r="E2" s="2913" t="e">
        <f ca="1">SUM(E6:E13)</f>
        <v>#REF!</v>
      </c>
    </row>
    <row r="3" spans="1:5" ht="15.75">
      <c r="A3" s="2912" t="s">
        <v>3002</v>
      </c>
      <c r="B3" s="2913" t="e">
        <f ca="1">ROUND(B2*10000/E2,0)</f>
        <v>#REF!</v>
      </c>
      <c r="C3" s="2912" t="s">
        <v>3008</v>
      </c>
      <c r="D3" s="2914"/>
      <c r="E3" s="2914"/>
    </row>
    <row r="4" spans="1:5" ht="15.75">
      <c r="A4" s="2915"/>
      <c r="B4" s="2914"/>
      <c r="C4" s="2914"/>
      <c r="D4" s="2914"/>
      <c r="E4" s="2914"/>
    </row>
    <row r="5" spans="1:5" ht="28.5">
      <c r="A5" s="2916" t="s">
        <v>3003</v>
      </c>
      <c r="B5" s="2912" t="s">
        <v>3004</v>
      </c>
      <c r="C5" s="2913"/>
      <c r="D5" s="2914"/>
      <c r="E5" s="2912" t="s">
        <v>3005</v>
      </c>
    </row>
    <row r="6" spans="1:5" ht="15.75">
      <c r="A6" s="2917" t="s">
        <v>3006</v>
      </c>
      <c r="B6" s="2913">
        <f ca="1">SUMIF(INDIRECT("'"&amp;A6&amp;"'"&amp;"!A:A"),"总价",INDIRECT("'"&amp;A6&amp;"'"&amp;"!B:B"))</f>
        <v>37462</v>
      </c>
      <c r="C6" s="2912" t="s">
        <v>3000</v>
      </c>
      <c r="D6" s="2914"/>
      <c r="E6" s="2577">
        <f ca="1">SUMIF(INDIRECT("'"&amp;A6&amp;"'"&amp;"!C:C"),"建筑面积",INDIRECT("'"&amp;A6&amp;"'"&amp;"!D:D"))</f>
        <v>28056.880000000001</v>
      </c>
    </row>
    <row r="7" spans="1:5" ht="15.75">
      <c r="A7" s="2917"/>
      <c r="B7" s="2913" t="e">
        <f ca="1">SUMIF(INDIRECT("'"&amp;A7&amp;"'"&amp;"!A:A"),"总价",INDIRECT("'"&amp;A7&amp;"'"&amp;"!B:B"))</f>
        <v>#REF!</v>
      </c>
      <c r="C7" s="2912" t="s">
        <v>3000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3000</v>
      </c>
      <c r="D8" s="2914"/>
      <c r="E8" s="2577" t="e">
        <f t="shared" ca="1" si="0"/>
        <v>#REF!</v>
      </c>
    </row>
    <row r="9" spans="1:5" ht="15.75">
      <c r="A9" s="2917"/>
      <c r="B9" s="2913" t="e">
        <f t="shared" ca="1" si="1"/>
        <v>#REF!</v>
      </c>
      <c r="C9" s="2912" t="s">
        <v>3000</v>
      </c>
      <c r="D9" s="2914"/>
      <c r="E9" s="2577" t="e">
        <f t="shared" ca="1" si="0"/>
        <v>#REF!</v>
      </c>
    </row>
    <row r="10" spans="1:5" ht="15.75">
      <c r="A10" s="2917"/>
      <c r="B10" s="2913" t="e">
        <f t="shared" ca="1" si="1"/>
        <v>#REF!</v>
      </c>
      <c r="C10" s="2912" t="s">
        <v>3000</v>
      </c>
      <c r="D10" s="2914"/>
      <c r="E10" s="2577" t="e">
        <f t="shared" ca="1" si="0"/>
        <v>#REF!</v>
      </c>
    </row>
    <row r="11" spans="1:5" ht="15.75">
      <c r="A11" s="2917"/>
      <c r="B11" s="2913" t="e">
        <f t="shared" ca="1" si="1"/>
        <v>#REF!</v>
      </c>
      <c r="C11" s="2912" t="s">
        <v>3000</v>
      </c>
      <c r="D11" s="2914"/>
      <c r="E11" s="2577" t="e">
        <f t="shared" ca="1" si="0"/>
        <v>#REF!</v>
      </c>
    </row>
    <row r="12" spans="1:5" ht="15.75">
      <c r="A12" s="2917"/>
      <c r="B12" s="2913" t="e">
        <f t="shared" ca="1" si="1"/>
        <v>#REF!</v>
      </c>
      <c r="C12" s="2912" t="s">
        <v>3000</v>
      </c>
      <c r="D12" s="2914"/>
      <c r="E12" s="2577" t="e">
        <f t="shared" ca="1" si="0"/>
        <v>#REF!</v>
      </c>
    </row>
    <row r="13" spans="1:5" ht="15.75">
      <c r="A13" s="2917"/>
      <c r="B13" s="2913" t="e">
        <f t="shared" ca="1" si="1"/>
        <v>#REF!</v>
      </c>
      <c r="C13" s="2912" t="s">
        <v>3000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1"/>
      <c r="B4" s="2959" t="s">
        <v>1630</v>
      </c>
      <c r="C4" s="2959"/>
      <c r="D4" s="2959"/>
      <c r="E4" s="1961"/>
    </row>
    <row r="5" spans="1:5" ht="16.5" thickTop="1">
      <c r="A5" s="1959"/>
      <c r="B5" s="2957" t="s">
        <v>1622</v>
      </c>
      <c r="C5" s="1962" t="s">
        <v>1623</v>
      </c>
      <c r="D5" s="1040">
        <f ca="1">结果表!H101</f>
        <v>71259</v>
      </c>
      <c r="E5" s="1959"/>
    </row>
    <row r="6" spans="1:5" ht="15.75">
      <c r="A6" s="1959"/>
      <c r="B6" s="2957"/>
      <c r="C6" s="1962" t="s">
        <v>1624</v>
      </c>
      <c r="D6" s="1040" t="str">
        <f ca="1">NUMBERSTRING(INT(D5*10000),2)&amp;"元整"</f>
        <v>柒亿壹仟贰佰伍拾玖万元整</v>
      </c>
      <c r="E6" s="1959"/>
    </row>
    <row r="7" spans="1:5" ht="15.75">
      <c r="A7" s="1959"/>
      <c r="B7" s="2962"/>
      <c r="C7" s="1963" t="s">
        <v>1625</v>
      </c>
      <c r="D7" s="1041">
        <f ca="1">结果表!H102</f>
        <v>25398</v>
      </c>
      <c r="E7" s="1959"/>
    </row>
    <row r="8" spans="1:5" ht="15.75">
      <c r="A8" s="1959"/>
      <c r="B8" s="2963" t="str">
        <f>结果表!E103</f>
        <v>2.估价师知悉的法定优先受偿款</v>
      </c>
      <c r="C8" s="1964" t="s">
        <v>1626</v>
      </c>
      <c r="D8" s="1041">
        <f>结果表!H103</f>
        <v>0</v>
      </c>
      <c r="E8" s="1959"/>
    </row>
    <row r="9" spans="1:5" ht="15.75">
      <c r="A9" s="1959"/>
      <c r="B9" s="2965"/>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56" t="str">
        <f>结果表!E107</f>
        <v>3.房地产抵押价值</v>
      </c>
      <c r="C13" s="1967" t="s">
        <v>1623</v>
      </c>
      <c r="D13" s="1043">
        <f ca="1">结果表!H107</f>
        <v>71259</v>
      </c>
      <c r="E13" s="1959"/>
    </row>
    <row r="14" spans="1:5" ht="15.75">
      <c r="A14" s="1959"/>
      <c r="B14" s="2957"/>
      <c r="C14" s="1962" t="s">
        <v>1624</v>
      </c>
      <c r="D14" s="1040" t="str">
        <f ca="1">NUMBERSTRING(INT(D13*10000),2)&amp;"元整"</f>
        <v>柒亿壹仟贰佰伍拾玖万元整</v>
      </c>
      <c r="E14" s="1959"/>
    </row>
    <row r="15" spans="1:5" ht="15">
      <c r="A15" s="1959"/>
      <c r="B15" s="2962"/>
      <c r="C15" s="1963" t="s">
        <v>1634</v>
      </c>
      <c r="D15" s="1052">
        <f ca="1">结果表!H108</f>
        <v>25398</v>
      </c>
      <c r="E15" s="1959"/>
    </row>
    <row r="16" spans="1:5" ht="15">
      <c r="A16" s="1959"/>
      <c r="B16" s="2963" t="str">
        <f>结果表!E109</f>
        <v>——</v>
      </c>
      <c r="C16" s="1967" t="s">
        <v>1635</v>
      </c>
      <c r="D16" s="1968" t="str">
        <f>结果表!H109</f>
        <v>——</v>
      </c>
      <c r="E16" s="1959"/>
    </row>
    <row r="17" spans="1:5" ht="15.75">
      <c r="A17" s="1959"/>
      <c r="B17" s="2964"/>
      <c r="C17" s="1962" t="s">
        <v>1636</v>
      </c>
      <c r="D17" s="1040" t="e">
        <f>NUMBERSTRING(INT(D16*10000),2)&amp;"元整"</f>
        <v>#VALUE!</v>
      </c>
      <c r="E17" s="1959"/>
    </row>
    <row r="18" spans="1:5" ht="15">
      <c r="A18" s="1959"/>
      <c r="B18" s="2965"/>
      <c r="C18" s="1963" t="s">
        <v>1625</v>
      </c>
      <c r="D18" s="1052" t="str">
        <f>结果表!H110</f>
        <v>——</v>
      </c>
      <c r="E18" s="1959"/>
    </row>
    <row r="19" spans="1:5" ht="15.75">
      <c r="A19" s="1959"/>
      <c r="B19" s="2956" t="str">
        <f>结果表!E111</f>
        <v>——</v>
      </c>
      <c r="C19" s="1967" t="s">
        <v>1623</v>
      </c>
      <c r="D19" s="1041" t="str">
        <f>结果表!H111</f>
        <v>——</v>
      </c>
      <c r="E19" s="1959"/>
    </row>
    <row r="20" spans="1:5" ht="15.75">
      <c r="A20" s="1959"/>
      <c r="B20" s="2957"/>
      <c r="C20" s="1962" t="s">
        <v>1636</v>
      </c>
      <c r="D20" s="1040" t="e">
        <f>NUMBERSTRING(INT(D19*10000),2)&amp;"元整"</f>
        <v>#VALUE!</v>
      </c>
      <c r="E20" s="1959"/>
    </row>
    <row r="21" spans="1:5" ht="15.75" thickBot="1">
      <c r="A21" s="1959"/>
      <c r="B21" s="2958"/>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M50" sqref="M50"/>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9" t="s">
        <v>1150</v>
      </c>
      <c r="C1" s="3279"/>
      <c r="D1" s="3279"/>
      <c r="E1" s="3279"/>
      <c r="F1" s="3279"/>
      <c r="G1" s="3275" t="s">
        <v>1151</v>
      </c>
      <c r="H1" s="3275"/>
      <c r="I1" s="3275"/>
      <c r="J1" s="3275"/>
      <c r="K1" s="3275"/>
      <c r="L1" s="3275"/>
      <c r="N1" s="3275" t="s">
        <v>1152</v>
      </c>
      <c r="O1" s="3275"/>
      <c r="P1" s="3275"/>
      <c r="Q1" s="3275"/>
      <c r="R1" s="1446"/>
      <c r="S1" s="3275" t="s">
        <v>1153</v>
      </c>
      <c r="T1" s="3275"/>
      <c r="U1" s="3275"/>
      <c r="V1" s="3275"/>
      <c r="X1" s="3274" t="s">
        <v>1154</v>
      </c>
      <c r="Y1" s="3275"/>
      <c r="Z1" s="3275"/>
      <c r="AA1" s="3275"/>
      <c r="AB1" s="3275"/>
      <c r="AD1" s="3274" t="s">
        <v>1155</v>
      </c>
      <c r="AE1" s="3275"/>
      <c r="AF1" s="3275"/>
      <c r="AG1" s="3275"/>
      <c r="AH1" s="3275"/>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3040</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1.4274</v>
      </c>
      <c r="Y3" s="2938">
        <f>ROUND(SUMPRODUCT(PRODUCT(1+O3:O$21)),4)</f>
        <v>1.2685</v>
      </c>
      <c r="Z3" s="2938">
        <f t="shared" ref="Z3:Z19" si="0">Y3</f>
        <v>1.2685</v>
      </c>
      <c r="AA3" s="2938">
        <f>ROUND(SUMPRODUCT(PRODUCT(1+P3:P$21)),4)</f>
        <v>1.4825999999999999</v>
      </c>
      <c r="AB3" s="2938">
        <f>ROUND(SUMPRODUCT(PRODUCT(1+Q3:Q$21)),4)</f>
        <v>1.2309000000000001</v>
      </c>
      <c r="AD3" s="2939">
        <f>ROUND(AVERAGE(I3:I$22)/100,4)</f>
        <v>2.1899999999999999E-2</v>
      </c>
      <c r="AE3" s="2939">
        <f>ROUND(AVERAGE(J3:J$22)/100,4)</f>
        <v>1.47E-2</v>
      </c>
      <c r="AF3" s="2939">
        <f t="shared" ref="AF3:AF20" si="1">AE3</f>
        <v>1.47E-2</v>
      </c>
      <c r="AG3" s="2939">
        <f>ROUND(AVERAGE(K3:K$22)/100,4)</f>
        <v>2.4299999999999999E-2</v>
      </c>
      <c r="AH3" s="2939">
        <f>ROUND(AVERAGE(L3:L$22)/100,4)</f>
        <v>1.2500000000000001E-2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41">
        <v>2018</v>
      </c>
      <c r="H5" s="1730">
        <v>2</v>
      </c>
      <c r="I5" s="2926">
        <v>0</v>
      </c>
      <c r="J5" s="2926">
        <v>0</v>
      </c>
      <c r="K5" s="2926">
        <v>0</v>
      </c>
      <c r="L5" s="2926">
        <v>0</v>
      </c>
      <c r="N5" s="1467">
        <f t="shared" ref="N5" si="7">I5/100</f>
        <v>0</v>
      </c>
      <c r="O5" s="1467">
        <f t="shared" ref="O5" si="8">J5/100</f>
        <v>0</v>
      </c>
      <c r="P5" s="1467">
        <f t="shared" ref="P5" si="9">K5/100</f>
        <v>0</v>
      </c>
      <c r="Q5" s="1467">
        <f t="shared" ref="Q5" si="10">L5/100</f>
        <v>0</v>
      </c>
      <c r="R5" s="1732"/>
      <c r="S5" s="1733"/>
      <c r="T5" s="1732"/>
      <c r="U5" s="1732"/>
      <c r="V5" s="1732"/>
      <c r="W5" s="2930" t="s">
        <v>3041</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3039</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42">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3036</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8">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4"/>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23"/>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4"/>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280">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277"/>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277"/>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278"/>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276">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277"/>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277"/>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278"/>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276">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277"/>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277"/>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278"/>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281">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282"/>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282"/>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283"/>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276">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277"/>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277"/>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278"/>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276">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277">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277">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278">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276">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277">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277">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278">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276">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277">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277">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278">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276">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277">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277">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278">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276">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277">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277">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278">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276">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277">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277">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278">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276">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277">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277">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278">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276">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277">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277">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278">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276">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277">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277">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278">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276">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277">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277">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278">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49279</v>
      </c>
      <c r="C2" s="2" t="s">
        <v>133</v>
      </c>
      <c r="D2" s="242"/>
      <c r="E2" s="242"/>
      <c r="F2" s="242"/>
      <c r="G2" s="242"/>
    </row>
    <row r="3" spans="1:7" s="243" customFormat="1" ht="18" customHeight="1" thickBot="1">
      <c r="A3" s="246" t="s">
        <v>85</v>
      </c>
      <c r="B3" s="247">
        <f ca="1">ROUND(B2*10000/'数据-汇总表'!E3,0)</f>
        <v>17564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561</v>
      </c>
      <c r="D10" s="1032">
        <f>'数据-汇总表'!E6</f>
        <v>28056.880000000005</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561</v>
      </c>
      <c r="D19" s="1036">
        <f>'数据-汇总表'!E3</f>
        <v>28056.880000000005</v>
      </c>
      <c r="E19" s="254">
        <f>'数据-取费表'!B31</f>
        <v>200</v>
      </c>
      <c r="F19" s="274"/>
      <c r="G19" s="1" t="s">
        <v>1074</v>
      </c>
    </row>
    <row r="20" spans="1:7" s="257" customFormat="1" ht="13.5" customHeight="1">
      <c r="A20" s="948" t="s">
        <v>1057</v>
      </c>
      <c r="B20" s="253" t="s">
        <v>104</v>
      </c>
      <c r="C20" s="275">
        <f>ROUND((C5+C19)*F20,0)</f>
        <v>635</v>
      </c>
      <c r="D20" s="275"/>
      <c r="E20" s="275"/>
      <c r="F20" s="276">
        <f>'数据-取费表'!B37</f>
        <v>0.03</v>
      </c>
      <c r="G20" s="1289" t="s">
        <v>1068</v>
      </c>
    </row>
    <row r="21" spans="1:7" s="257" customFormat="1" ht="13.5" customHeight="1">
      <c r="A21" s="948" t="s">
        <v>1059</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2089</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2004</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55</v>
      </c>
      <c r="D24" s="281"/>
      <c r="E24" s="281"/>
      <c r="F24" s="282"/>
      <c r="G24" s="283" t="s">
        <v>109</v>
      </c>
    </row>
    <row r="25" spans="1:7" s="257" customFormat="1" ht="24">
      <c r="A25" s="951" t="s">
        <v>793</v>
      </c>
      <c r="B25" s="258" t="s">
        <v>1058</v>
      </c>
      <c r="C25" s="1355">
        <f ca="1">ROUND(IF('数据-取费表'!B22&lt;=1,C20*F22*'数据-取费表'!B23/2,C20*(POWER((1+F22),'数据-取费表'!B23/2)-1)),0)</f>
        <v>30</v>
      </c>
      <c r="D25" s="281"/>
      <c r="E25" s="284"/>
      <c r="F25" s="282"/>
      <c r="G25" s="285" t="s">
        <v>110</v>
      </c>
    </row>
    <row r="26" spans="1:7" s="257" customFormat="1">
      <c r="A26" s="951" t="s">
        <v>795</v>
      </c>
      <c r="B26" s="258" t="s">
        <v>1060</v>
      </c>
      <c r="C26" s="281">
        <f ca="1">ROUND(IF('数据-取费表'!B22&lt;=1,F21*F22*'数据-取费表'!B23/2,F21*(POWER((1+F22),'数据-取费表'!B23/2)-1)),4)</f>
        <v>1.4E-3</v>
      </c>
      <c r="D26" s="281"/>
      <c r="E26" s="284"/>
      <c r="F26" s="282"/>
      <c r="G26" s="286"/>
    </row>
    <row r="27" spans="1:7" s="257" customFormat="1" ht="24.75">
      <c r="A27" s="948" t="s">
        <v>787</v>
      </c>
      <c r="B27" s="287" t="s">
        <v>112</v>
      </c>
      <c r="C27" s="288">
        <f>C28</f>
        <v>6542</v>
      </c>
      <c r="D27" s="278">
        <f>C29</f>
        <v>8.9999999999999993E-3</v>
      </c>
      <c r="E27" s="279" t="s">
        <v>126</v>
      </c>
      <c r="F27" s="289">
        <f>'数据-取费表'!Q16</f>
        <v>0.3</v>
      </c>
      <c r="G27" s="290" t="s">
        <v>1069</v>
      </c>
    </row>
    <row r="28" spans="1:7" s="257" customFormat="1" ht="13.5" customHeight="1">
      <c r="A28" s="951" t="s">
        <v>794</v>
      </c>
      <c r="B28" s="291" t="s">
        <v>1062</v>
      </c>
      <c r="C28" s="292">
        <f>ROUND((C5+C19+C20)*F27*'数据-取费表'!B21/'数据-取费表'!B20,0)</f>
        <v>6542</v>
      </c>
      <c r="D28" s="278"/>
      <c r="E28" s="279"/>
      <c r="F28" s="289"/>
      <c r="G28" s="290"/>
    </row>
    <row r="29" spans="1:7" s="257" customFormat="1" ht="13.5" customHeight="1">
      <c r="A29" s="951" t="s">
        <v>792</v>
      </c>
      <c r="B29" s="291" t="s">
        <v>1063</v>
      </c>
      <c r="C29" s="281">
        <f>ROUND(C21*F27*'数据-取费表'!B21/'数据-取费表'!B20,4)</f>
        <v>8.9999999999999993E-3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33550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10823</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9820</v>
      </c>
      <c r="D34" s="260"/>
      <c r="E34" s="263"/>
      <c r="F34" s="300">
        <f>IF('数据-取费表'!B24=0,1,'数据-取费表'!N16)</f>
        <v>1</v>
      </c>
      <c r="G34" s="262" t="s">
        <v>116</v>
      </c>
    </row>
    <row r="35" spans="1:7" ht="13.5" customHeight="1">
      <c r="A35" s="951" t="s">
        <v>796</v>
      </c>
      <c r="B35" s="258" t="s">
        <v>60</v>
      </c>
      <c r="C35" s="263">
        <f>ROUND(C34*F35,0)</f>
        <v>295</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561</v>
      </c>
      <c r="D37" s="260">
        <f>'数据-汇总表'!E3</f>
        <v>28056.880000000005</v>
      </c>
      <c r="E37" s="292">
        <f>'数据-取费表'!B35</f>
        <v>200</v>
      </c>
      <c r="F37" s="302"/>
      <c r="G37" s="304" t="s">
        <v>119</v>
      </c>
    </row>
    <row r="38" spans="1:7" ht="13.5" customHeight="1">
      <c r="A38" s="951" t="s">
        <v>799</v>
      </c>
      <c r="B38" s="258" t="s">
        <v>63</v>
      </c>
      <c r="C38" s="263">
        <f>ROUND(C34*F38,0)</f>
        <v>147</v>
      </c>
      <c r="D38" s="263"/>
      <c r="E38" s="263"/>
      <c r="F38" s="302">
        <f>'数据-取费表'!B36</f>
        <v>1.4999999999999999E-2</v>
      </c>
      <c r="G38" s="262" t="s">
        <v>117</v>
      </c>
    </row>
    <row r="39" spans="1:7" s="257" customFormat="1" ht="13.5" customHeight="1">
      <c r="A39" s="948" t="s">
        <v>783</v>
      </c>
      <c r="B39" s="253" t="s">
        <v>104</v>
      </c>
      <c r="C39" s="275">
        <f>ROUND(C33*F20,0)</f>
        <v>325</v>
      </c>
      <c r="D39" s="275"/>
      <c r="E39" s="275"/>
      <c r="F39" s="276"/>
      <c r="G39" s="1289" t="s">
        <v>1071</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529</v>
      </c>
      <c r="D41" s="278">
        <f ca="1">C44</f>
        <v>1.4E-3</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514</v>
      </c>
      <c r="D42" s="281"/>
      <c r="E42" s="281"/>
      <c r="F42" s="282"/>
      <c r="G42" s="3197" t="s">
        <v>121</v>
      </c>
    </row>
    <row r="43" spans="1:7" ht="13.5" customHeight="1">
      <c r="A43" s="951" t="s">
        <v>792</v>
      </c>
      <c r="B43" s="258" t="s">
        <v>1064</v>
      </c>
      <c r="C43" s="281">
        <f ca="1">ROUND(IF('数据-取费表'!B22&lt;=1,C39*F22*'数据-取费表'!B21/2,C39*(POWER((1+F22),'数据-取费表'!B21/2)-1)),0)</f>
        <v>15</v>
      </c>
      <c r="D43" s="281"/>
      <c r="E43" s="281"/>
      <c r="F43" s="282"/>
      <c r="G43" s="3198"/>
    </row>
    <row r="44" spans="1:7" ht="13.5" customHeight="1">
      <c r="A44" s="951" t="s">
        <v>793</v>
      </c>
      <c r="B44" s="258" t="s">
        <v>1066</v>
      </c>
      <c r="C44" s="281">
        <f ca="1">ROUND(IF('数据-取费表'!B22&lt;=1,C40*F22*'数据-取费表'!B21/2,C40*(POWER((1+F22),'数据-取费表'!B21/2)-1)),4)</f>
        <v>1.4E-3</v>
      </c>
      <c r="D44" s="281"/>
      <c r="E44" s="281"/>
      <c r="F44" s="282"/>
      <c r="G44" s="3199"/>
    </row>
    <row r="45" spans="1:7" s="257" customFormat="1" ht="13.5" customHeight="1">
      <c r="A45" s="948" t="s">
        <v>786</v>
      </c>
      <c r="B45" s="287" t="s">
        <v>112</v>
      </c>
      <c r="C45" s="288">
        <f>C46</f>
        <v>3344</v>
      </c>
      <c r="D45" s="278">
        <f>C47</f>
        <v>8.9999999999999993E-3</v>
      </c>
      <c r="E45" s="279" t="s">
        <v>129</v>
      </c>
      <c r="F45" s="289"/>
      <c r="G45" s="290" t="s">
        <v>1072</v>
      </c>
    </row>
    <row r="46" spans="1:7" s="257" customFormat="1" ht="13.5" customHeight="1">
      <c r="A46" s="951" t="s">
        <v>794</v>
      </c>
      <c r="B46" s="291" t="s">
        <v>1065</v>
      </c>
      <c r="C46" s="292">
        <f>ROUND((C33+C39)*F27,0)</f>
        <v>3344</v>
      </c>
      <c r="D46" s="306"/>
      <c r="E46" s="279"/>
      <c r="F46" s="289"/>
      <c r="G46" s="290"/>
    </row>
    <row r="47" spans="1:7" s="257" customFormat="1" ht="13.5" customHeight="1">
      <c r="A47" s="951" t="s">
        <v>792</v>
      </c>
      <c r="B47" s="291" t="s">
        <v>1067</v>
      </c>
      <c r="C47" s="281">
        <f>ROUND(C40*F27,4)</f>
        <v>8.9999999999999993E-3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16557</v>
      </c>
      <c r="D49" s="275"/>
      <c r="E49" s="275"/>
      <c r="F49" s="307"/>
      <c r="G49" s="277" t="s">
        <v>1073</v>
      </c>
    </row>
    <row r="50" spans="1:7" s="301" customFormat="1" ht="24">
      <c r="A50" s="948" t="s">
        <v>789</v>
      </c>
      <c r="B50" s="253" t="s">
        <v>124</v>
      </c>
      <c r="C50" s="275"/>
      <c r="D50" s="275"/>
      <c r="E50" s="275"/>
      <c r="F50" s="307">
        <f>IF('数据-取费表'!B24=0,'数据-取费表'!N16,1)</f>
        <v>0.95</v>
      </c>
      <c r="G50" s="290" t="s">
        <v>125</v>
      </c>
    </row>
    <row r="51" spans="1:7" ht="16.5" customHeight="1">
      <c r="A51" s="948" t="s">
        <v>790</v>
      </c>
      <c r="B51" s="253" t="s">
        <v>132</v>
      </c>
      <c r="C51" s="275">
        <f ca="1">ROUND(C49*F50,0)</f>
        <v>15729</v>
      </c>
      <c r="D51" s="275"/>
      <c r="E51" s="275"/>
      <c r="F51" s="307"/>
      <c r="G51" s="277" t="s">
        <v>64</v>
      </c>
    </row>
    <row r="52" spans="1:7" s="251" customFormat="1" ht="16.5" thickBot="1">
      <c r="A52" s="308" t="s">
        <v>65</v>
      </c>
      <c r="B52" s="309"/>
      <c r="C52" s="310">
        <f ca="1">C31+C51</f>
        <v>49279</v>
      </c>
      <c r="D52" s="309"/>
      <c r="E52" s="309"/>
      <c r="F52" s="309"/>
      <c r="G52" s="311"/>
    </row>
    <row r="55" spans="1:7" ht="15">
      <c r="B55" s="313" t="s">
        <v>66</v>
      </c>
      <c r="C55" s="314"/>
    </row>
    <row r="56" spans="1:7">
      <c r="B56" s="316" t="s">
        <v>67</v>
      </c>
      <c r="C56" s="317">
        <f ca="1">ROUND(C51/C52,3)</f>
        <v>0.31900000000000001</v>
      </c>
    </row>
    <row r="57" spans="1:7">
      <c r="B57" s="316" t="s">
        <v>68</v>
      </c>
      <c r="C57" s="318">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4" t="s">
        <v>156</v>
      </c>
      <c r="B1" s="3284"/>
      <c r="C1" s="3284"/>
      <c r="D1" s="3284"/>
      <c r="E1" s="3284"/>
      <c r="F1" s="328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5" t="s">
        <v>169</v>
      </c>
      <c r="B2" s="3285"/>
      <c r="C2" s="3285"/>
      <c r="D2" s="3285"/>
      <c r="E2" s="3285"/>
      <c r="F2" s="328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4" t="s">
        <v>871</v>
      </c>
      <c r="B1" s="328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43208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P7"/>
  <sheetViews>
    <sheetView workbookViewId="0">
      <selection activeCell="N30" sqref="N30"/>
    </sheetView>
  </sheetViews>
  <sheetFormatPr defaultRowHeight="13.5"/>
  <cols>
    <col min="14" max="14" width="14.75" customWidth="1"/>
  </cols>
  <sheetData>
    <row r="3" spans="14:16">
      <c r="N3" s="3660" t="s">
        <v>3283</v>
      </c>
      <c r="O3" s="3661"/>
      <c r="P3" s="3661"/>
    </row>
    <row r="4" spans="14:16">
      <c r="N4" s="3662" t="s">
        <v>3148</v>
      </c>
      <c r="O4" s="3663">
        <f>'比较法-商业 (租金)'!C49</f>
        <v>6.8</v>
      </c>
      <c r="P4" s="3662" t="s">
        <v>3284</v>
      </c>
    </row>
    <row r="5" spans="14:16">
      <c r="N5" s="3662" t="s">
        <v>3149</v>
      </c>
      <c r="O5" s="3663">
        <f>O4*P5</f>
        <v>3.4</v>
      </c>
      <c r="P5" s="3663">
        <f>典型户型修正!E18/100</f>
        <v>0.5</v>
      </c>
    </row>
    <row r="6" spans="14:16">
      <c r="N6" s="3662" t="s">
        <v>3150</v>
      </c>
      <c r="O6" s="3663">
        <f>O4*P6</f>
        <v>2.72</v>
      </c>
      <c r="P6" s="3663">
        <f>典型户型修正!F18/100</f>
        <v>0.4</v>
      </c>
    </row>
    <row r="7" spans="14:16">
      <c r="N7" s="3664" t="s">
        <v>3151</v>
      </c>
      <c r="O7" s="3664">
        <f>ROUND(AVERAGE(O4:O6),1)</f>
        <v>4.3</v>
      </c>
      <c r="P7" s="3663"/>
    </row>
  </sheetData>
  <mergeCells count="1">
    <mergeCell ref="N3:P3"/>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1641</v>
      </c>
      <c r="B2" s="2967" t="s">
        <v>1642</v>
      </c>
      <c r="C2" s="2967" t="s">
        <v>1643</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4" t="s">
        <v>1638</v>
      </c>
      <c r="E3" s="1044" t="s">
        <v>1644</v>
      </c>
      <c r="F3" s="1044" t="s">
        <v>1638</v>
      </c>
      <c r="G3" s="1044" t="s">
        <v>1639</v>
      </c>
      <c r="H3" s="1044" t="s">
        <v>1638</v>
      </c>
      <c r="I3" s="1044" t="s">
        <v>1639</v>
      </c>
    </row>
    <row r="4" spans="1:9" ht="15">
      <c r="A4" s="1973" t="str">
        <f>项目基本情况!S2</f>
        <v>北京市房地产</v>
      </c>
      <c r="B4" s="1044">
        <f>项目基本情况!C17</f>
        <v>28056.880000000005</v>
      </c>
      <c r="C4" s="1044">
        <f>项目基本情况!C18</f>
        <v>12718.02</v>
      </c>
      <c r="D4" s="1044">
        <f ca="1">结果表!D118</f>
        <v>38979</v>
      </c>
      <c r="E4" s="1044">
        <f ca="1">结果表!E118</f>
        <v>13893</v>
      </c>
      <c r="F4" s="1044">
        <f ca="1">结果表!F118</f>
        <v>32280</v>
      </c>
      <c r="G4" s="1044">
        <f ca="1">结果表!G118</f>
        <v>11505</v>
      </c>
      <c r="H4" s="1044">
        <f ca="1">结果表!H118</f>
        <v>71259</v>
      </c>
      <c r="I4" s="1044">
        <f ca="1">结果表!I118</f>
        <v>25398</v>
      </c>
    </row>
    <row r="5" spans="1:9" ht="30" customHeight="1">
      <c r="A5" s="2968" t="s">
        <v>1640</v>
      </c>
      <c r="B5" s="2968"/>
      <c r="C5" s="2968"/>
      <c r="D5" s="2969" t="str">
        <f ca="1">结果表!D119</f>
        <v>叁亿捌仟玖佰柒拾玖万元整</v>
      </c>
      <c r="E5" s="2969"/>
      <c r="F5" s="2969" t="str">
        <f ca="1">结果表!F119</f>
        <v>叁亿贰仟贰佰捌拾万元整</v>
      </c>
      <c r="G5" s="2969"/>
      <c r="H5" s="2969" t="str">
        <f ca="1">结果表!H119</f>
        <v>柒亿壹仟贰佰伍拾玖万元整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1640</v>
      </c>
      <c r="B7" s="2968"/>
      <c r="C7" s="2968"/>
      <c r="D7" s="2971" t="str">
        <f>结果表!D121</f>
        <v>零元整</v>
      </c>
      <c r="E7" s="2972"/>
      <c r="F7" s="2972"/>
      <c r="G7" s="2972"/>
      <c r="H7" s="2972"/>
      <c r="I7" s="2973"/>
    </row>
    <row r="8" spans="1:9" ht="15.75">
      <c r="A8" s="2970" t="str">
        <f>结果表!A122</f>
        <v>房地产抵押价值</v>
      </c>
      <c r="B8" s="2970"/>
      <c r="C8" s="2970"/>
      <c r="D8" s="2970">
        <f ca="1">结果表!D122</f>
        <v>71259</v>
      </c>
      <c r="E8" s="2970"/>
      <c r="F8" s="2970"/>
      <c r="G8" s="2970"/>
      <c r="H8" s="2970"/>
      <c r="I8" s="2970"/>
    </row>
    <row r="9" spans="1:9" ht="15">
      <c r="A9" s="2968" t="s">
        <v>1640</v>
      </c>
      <c r="B9" s="2968"/>
      <c r="C9" s="2968"/>
      <c r="D9" s="2969" t="str">
        <f ca="1">结果表!D123</f>
        <v>柒亿壹仟贰佰伍拾玖万元整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77" t="s">
        <v>1662</v>
      </c>
      <c r="B1" s="2977"/>
      <c r="C1" s="2977"/>
      <c r="D1" s="2977"/>
    </row>
    <row r="2" spans="1:4" ht="18">
      <c r="A2" s="2978" t="s">
        <v>1646</v>
      </c>
      <c r="B2" s="2978"/>
      <c r="C2" s="2978"/>
      <c r="D2" s="2978"/>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2978" t="s">
        <v>1652</v>
      </c>
      <c r="B6" s="2978"/>
      <c r="C6" s="2978"/>
      <c r="D6" s="2978"/>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2979"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v>
      </c>
      <c r="B15" s="2980"/>
      <c r="C15" s="2980"/>
      <c r="D15" s="2980"/>
    </row>
    <row r="16" spans="1:4" ht="30" customHeight="1">
      <c r="A16" s="2983" t="s">
        <v>1656</v>
      </c>
      <c r="B16" s="2983"/>
      <c r="C16" s="2983"/>
      <c r="D16" s="2983"/>
    </row>
    <row r="17" spans="1:4" ht="144" customHeight="1">
      <c r="A17" s="2983" t="s">
        <v>1657</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1658</v>
      </c>
      <c r="B22" s="2985"/>
      <c r="C22" s="2985"/>
      <c r="D22" s="298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2991" t="s">
        <v>1669</v>
      </c>
      <c r="B15" s="2986" t="s">
        <v>136</v>
      </c>
      <c r="C15" s="2987"/>
    </row>
    <row r="16" spans="1:7" ht="13.5">
      <c r="A16" s="2992"/>
      <c r="B16" s="2986" t="s">
        <v>69</v>
      </c>
      <c r="C16" s="2987"/>
    </row>
    <row r="17" spans="1:3" ht="13.5">
      <c r="A17" s="2992"/>
      <c r="B17" s="2989" t="s">
        <v>1670</v>
      </c>
      <c r="C17" s="2000" t="s">
        <v>1669</v>
      </c>
    </row>
    <row r="18" spans="1:3" ht="13.5">
      <c r="A18" s="2992"/>
      <c r="B18" s="2989"/>
      <c r="C18" s="2000" t="s">
        <v>1671</v>
      </c>
    </row>
    <row r="19" spans="1:3" ht="13.5">
      <c r="A19" s="2992"/>
      <c r="B19" s="2989"/>
      <c r="C19" s="2000" t="s">
        <v>1672</v>
      </c>
    </row>
    <row r="20" spans="1:3" ht="13.5">
      <c r="A20" s="2993"/>
      <c r="B20" s="2988" t="s">
        <v>1673</v>
      </c>
      <c r="C20" s="2987"/>
    </row>
    <row r="21" spans="1:3" ht="13.5">
      <c r="A21" s="2001" t="s">
        <v>1674</v>
      </c>
      <c r="B21" s="2002"/>
      <c r="C21" s="2003"/>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0" t="s">
        <v>1680</v>
      </c>
    </row>
    <row r="26" spans="1:3" ht="13.5">
      <c r="A26" s="2990"/>
      <c r="B26" s="2989"/>
      <c r="C26" s="2000" t="s">
        <v>1681</v>
      </c>
    </row>
    <row r="27" spans="1:3" ht="13.5">
      <c r="A27" s="2990"/>
      <c r="B27" s="2989"/>
      <c r="C27" s="2000" t="s">
        <v>1682</v>
      </c>
    </row>
    <row r="28" spans="1:3" ht="13.5">
      <c r="A28" s="2990"/>
      <c r="B28" s="2989"/>
      <c r="C28" s="2000" t="s">
        <v>1683</v>
      </c>
    </row>
    <row r="29" spans="1:3" ht="13.5">
      <c r="A29" s="2990"/>
      <c r="B29" s="2989"/>
      <c r="C29" s="2000" t="s">
        <v>1684</v>
      </c>
    </row>
    <row r="30" spans="1:3" ht="13.5">
      <c r="A30" s="2990"/>
      <c r="B30" s="2989"/>
      <c r="C30" s="2000" t="s">
        <v>1685</v>
      </c>
    </row>
    <row r="31" spans="1:3" ht="13.5">
      <c r="A31" s="2990"/>
      <c r="B31" s="2989"/>
      <c r="C31" s="2000" t="s">
        <v>1686</v>
      </c>
    </row>
    <row r="32" spans="1:3" ht="13.5">
      <c r="A32" s="2990"/>
      <c r="B32" s="2989"/>
      <c r="C32" s="2000" t="s">
        <v>1687</v>
      </c>
    </row>
    <row r="33" spans="1:3" ht="13.5">
      <c r="A33" s="2990"/>
      <c r="B33" s="298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43209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43359</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347"/>
      <c r="D12" s="2350"/>
      <c r="E12" s="1022"/>
      <c r="F12" s="1022"/>
    </row>
    <row r="13" spans="1:6" ht="24" customHeight="1">
      <c r="A13" s="1702" t="s">
        <v>840</v>
      </c>
      <c r="B13" s="1022">
        <f ca="1">IF(C13&lt;B2,"已过期",1120070131)</f>
        <v>1120070131</v>
      </c>
      <c r="C13" s="2347">
        <v>43814</v>
      </c>
      <c r="D13" s="2350" t="s">
        <v>840</v>
      </c>
      <c r="E13" s="1022">
        <v>2014110011</v>
      </c>
      <c r="F13" s="1030">
        <v>49302</v>
      </c>
    </row>
    <row r="14" spans="1:6" ht="24" customHeight="1">
      <c r="A14" s="1702" t="s">
        <v>841</v>
      </c>
      <c r="B14" s="1022">
        <f ca="1">IF(C14&lt;B2,"已过期",1120130020)</f>
        <v>1120130020</v>
      </c>
      <c r="C14" s="2347">
        <v>43622</v>
      </c>
      <c r="D14" s="2350"/>
      <c r="E14" s="1022"/>
      <c r="F14" s="1022"/>
    </row>
    <row r="15" spans="1:6" ht="24" customHeight="1">
      <c r="A15" s="1703" t="s">
        <v>1149</v>
      </c>
      <c r="B15" s="1022">
        <v>1120070085</v>
      </c>
      <c r="C15" s="2347">
        <v>43814</v>
      </c>
      <c r="D15" s="2351" t="s">
        <v>1149</v>
      </c>
      <c r="E15" s="1022">
        <v>2004110128</v>
      </c>
      <c r="F15" s="1023">
        <v>47118</v>
      </c>
    </row>
    <row r="16" spans="1:6" ht="24" customHeight="1">
      <c r="A16" s="1702" t="s">
        <v>842</v>
      </c>
      <c r="B16" s="1022">
        <f ca="1">IF(C16&lt;B2,"已过期",1120140022)</f>
        <v>1120140022</v>
      </c>
      <c r="C16" s="2347">
        <v>44029</v>
      </c>
      <c r="D16" s="2350" t="s">
        <v>842</v>
      </c>
      <c r="E16" s="1022">
        <f ca="1">IF(F16&lt;B2,"已过期",2008110059)</f>
        <v>2008110059</v>
      </c>
      <c r="F16" s="1030">
        <v>47177</v>
      </c>
    </row>
    <row r="17" spans="1:7" ht="24" customHeight="1">
      <c r="A17" s="1702"/>
      <c r="B17" s="1022"/>
      <c r="C17" s="2347"/>
      <c r="D17" s="2350"/>
      <c r="E17" s="1022"/>
      <c r="F17" s="1030"/>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843</v>
      </c>
      <c r="E21" s="1022">
        <f ca="1">IF(F21&lt;B2,"已过期",2011110090)</f>
        <v>2011110090</v>
      </c>
      <c r="F21" s="1030">
        <v>48302</v>
      </c>
    </row>
    <row r="22" spans="1:7" ht="24" customHeight="1">
      <c r="A22" s="1702" t="s">
        <v>844</v>
      </c>
      <c r="B22" s="1022">
        <f ca="1">IF(C22&lt;B2,"已过期",1120020033)</f>
        <v>1120020033</v>
      </c>
      <c r="C22" s="2347">
        <v>43304</v>
      </c>
      <c r="D22" s="2350" t="s">
        <v>844</v>
      </c>
      <c r="E22" s="1022">
        <f ca="1">IF(F22&lt;B2,"已过期",2000110137)</f>
        <v>2000110137</v>
      </c>
      <c r="F22" s="1030">
        <v>46387</v>
      </c>
    </row>
    <row r="23" spans="1:7" ht="24" customHeight="1">
      <c r="A23" s="1702" t="s">
        <v>845</v>
      </c>
      <c r="B23" s="1022">
        <f ca="1">IF(C23&lt;B2,"已过期",1120130048)</f>
        <v>1120130048</v>
      </c>
      <c r="C23" s="2347">
        <v>43686</v>
      </c>
      <c r="D23" s="2350"/>
      <c r="E23" s="1022"/>
      <c r="F23" s="1022"/>
    </row>
    <row r="24" spans="1:7" s="1024" customFormat="1" ht="24" customHeight="1">
      <c r="A24" s="1703" t="s">
        <v>1333</v>
      </c>
      <c r="B24" s="1703" t="s">
        <v>1333</v>
      </c>
      <c r="C24" s="2348" t="s">
        <v>1333</v>
      </c>
      <c r="D24" s="2351" t="s">
        <v>1333</v>
      </c>
      <c r="E24" s="1703" t="s">
        <v>1333</v>
      </c>
      <c r="F24" s="1703" t="s">
        <v>1333</v>
      </c>
    </row>
    <row r="25" spans="1:7" ht="24" customHeight="1">
      <c r="A25" s="2994" t="s">
        <v>846</v>
      </c>
      <c r="B25" s="2994"/>
      <c r="C25" s="2994"/>
      <c r="D25" s="2994"/>
      <c r="E25" s="2994"/>
      <c r="F25" s="2994"/>
      <c r="G25" s="2994"/>
    </row>
    <row r="26" spans="1:7" s="1025" customFormat="1" ht="24" customHeight="1">
      <c r="A26" s="2995" t="s">
        <v>847</v>
      </c>
      <c r="B26" s="2995"/>
      <c r="C26" s="2996"/>
      <c r="D26" s="2997" t="s">
        <v>848</v>
      </c>
      <c r="E26" s="2995"/>
      <c r="F26" s="2995"/>
    </row>
    <row r="27" spans="1:7" s="1027" customFormat="1" ht="24" customHeight="1">
      <c r="A27" s="1026" t="s">
        <v>849</v>
      </c>
      <c r="B27" s="1021" t="s">
        <v>850</v>
      </c>
      <c r="C27" s="2346" t="s">
        <v>851</v>
      </c>
      <c r="D27" s="2354" t="s">
        <v>849</v>
      </c>
      <c r="E27" s="1021" t="s">
        <v>850</v>
      </c>
      <c r="F27" s="1021" t="s">
        <v>851</v>
      </c>
    </row>
    <row r="28" spans="1:7" s="1027" customFormat="1" ht="24" customHeight="1">
      <c r="A28" s="1028" t="s">
        <v>852</v>
      </c>
      <c r="B28" s="1029" t="s">
        <v>853</v>
      </c>
      <c r="C28" s="2352">
        <v>43725</v>
      </c>
      <c r="D28" s="2355" t="s">
        <v>854</v>
      </c>
      <c r="E28" s="1028" t="s">
        <v>855</v>
      </c>
      <c r="F28" s="1058">
        <v>44377</v>
      </c>
    </row>
    <row r="29" spans="1:7" s="1027" customFormat="1" ht="24" customHeight="1">
      <c r="A29" s="1028"/>
      <c r="B29" s="1028"/>
      <c r="C29" s="2353"/>
      <c r="D29" s="2355"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收益法</vt:lpstr>
      <vt:lpstr>比较法-商业 (租金)</vt:lpstr>
      <vt:lpstr>成本法</vt:lpstr>
      <vt:lpstr>成本法 (元)</vt:lpstr>
      <vt:lpstr>基准地价修正</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2018-04-19T08:07:26Z</dcterms:modified>
</cp:coreProperties>
</file>